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13_ncr:1_{2B3744B6-46B1-46CC-9686-5FF275C01D9F}" xr6:coauthVersionLast="47" xr6:coauthVersionMax="47" xr10:uidLastSave="{00000000-0000-0000-0000-000000000000}"/>
  <bookViews>
    <workbookView xWindow="-120" yWindow="-120" windowWidth="29040" windowHeight="15840" tabRatio="792" activeTab="4" xr2:uid="{00000000-000D-0000-FFFF-FFFF00000000}"/>
  </bookViews>
  <sheets>
    <sheet name="Overview" sheetId="1" r:id="rId1"/>
    <sheet name="Title " sheetId="2" r:id="rId2"/>
    <sheet name="PLAT" sheetId="3" r:id="rId3"/>
    <sheet name="OGLs" sheetId="4" r:id="rId4"/>
    <sheet name="Runsheet" sheetId="5" r:id="rId5"/>
    <sheet name="Tract 1" sheetId="6" r:id="rId6"/>
    <sheet name="Tract 2" sheetId="7" r:id="rId7"/>
    <sheet name="Tract 3" sheetId="8" r:id="rId8"/>
    <sheet name="Tract 4" sheetId="9" r:id="rId9"/>
    <sheet name="Tract 5" sheetId="10" r:id="rId10"/>
    <sheet name="Tract 6" sheetId="11" r:id="rId11"/>
    <sheet name="Tract 7" sheetId="12" r:id="rId12"/>
    <sheet name="Tract 8" sheetId="13" r:id="rId13"/>
    <sheet name="WI 1" sheetId="14" r:id="rId14"/>
    <sheet name="WI 2" sheetId="15" r:id="rId15"/>
    <sheet name="Wells" sheetId="16" r:id="rId16"/>
    <sheet name="raw" sheetId="17" r:id="rId17"/>
    <sheet name="WIsheet" sheetId="18" r:id="rId18"/>
    <sheet name="Title_BACKUP" sheetId="19" state="hidden" r:id="rId19"/>
    <sheet name="Runsheet_BACKUP" sheetId="20" state="hidden" r:id="rId20"/>
  </sheets>
  <externalReferences>
    <externalReference r:id="rId21"/>
    <externalReference r:id="rId22"/>
  </externalReferences>
  <definedNames>
    <definedName name="_Fill" hidden="1">#REF!</definedName>
    <definedName name="_xlnm._FilterDatabase" localSheetId="3" hidden="1">OGLs!$A$1:$AC$1</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3">OGLs!$A$1:$V$616</definedName>
    <definedName name="_xlnm.Print_Area" localSheetId="0">Overview!$A$1:$AH$57</definedName>
    <definedName name="_xlnm.Print_Area" localSheetId="4">Runsheet!$A$1:$K$1110</definedName>
    <definedName name="_xlnm.Print_Area" localSheetId="19">Runsheet_BACKUP!$A$1:$K$1778</definedName>
    <definedName name="_xlnm.Print_Area" localSheetId="1">'Title '!$A$1:$G$144</definedName>
    <definedName name="_xlnm.Print_Area" localSheetId="18">Title_BACKUP!$A$1:$G$122</definedName>
    <definedName name="_xlnm.Print_Area" localSheetId="5">'Tract 1'!$A$1:$F$45</definedName>
    <definedName name="_xlnm.Print_Area" localSheetId="6">'Tract 2'!$A$1:$F$45</definedName>
    <definedName name="_xlnm.Print_Area" localSheetId="7">'Tract 3'!$A$1:$F$45</definedName>
    <definedName name="_xlnm.Print_Area" localSheetId="8">'Tract 4'!$A$1:$F$36</definedName>
    <definedName name="_xlnm.Print_Area" localSheetId="9">'Tract 5'!$A$1:$F$45</definedName>
    <definedName name="_xlnm.Print_Area" localSheetId="15">Wells!$A$1:$I$3</definedName>
    <definedName name="_xlnm.Print_Titles" localSheetId="3">OGLs!$1:$1</definedName>
    <definedName name="_xlnm.Print_Titles" localSheetId="4">Runsheet!$1:$1</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4" i="5" l="1"/>
  <c r="K1771" i="20" l="1"/>
  <c r="K1770" i="20"/>
  <c r="K1769" i="20"/>
  <c r="K1768" i="20"/>
  <c r="K1767" i="20"/>
  <c r="K1766" i="20"/>
  <c r="K1765" i="20"/>
  <c r="K1764" i="20"/>
  <c r="K1763" i="20"/>
  <c r="K1762" i="20"/>
  <c r="K1761" i="20"/>
  <c r="K1760" i="20"/>
  <c r="K1759" i="20"/>
  <c r="K1758" i="20"/>
  <c r="K1757" i="20"/>
  <c r="K1756" i="20"/>
  <c r="K1755" i="20"/>
  <c r="K1754" i="20"/>
  <c r="K1753" i="20"/>
  <c r="K1752" i="20"/>
  <c r="K1751" i="20"/>
  <c r="K1750" i="20"/>
  <c r="K1749" i="20"/>
  <c r="K1748" i="20"/>
  <c r="K1747" i="20"/>
  <c r="K1746" i="20"/>
  <c r="K1745" i="20"/>
  <c r="K1744" i="20"/>
  <c r="K1743" i="20"/>
  <c r="K1742" i="20"/>
  <c r="K1741" i="20"/>
  <c r="K1740" i="20"/>
  <c r="K1739" i="20"/>
  <c r="K1738" i="20"/>
  <c r="K1737" i="20"/>
  <c r="K1736" i="20"/>
  <c r="K1735" i="20"/>
  <c r="K1734" i="20"/>
  <c r="K1733" i="20"/>
  <c r="K1732" i="20"/>
  <c r="K1731" i="20"/>
  <c r="K1730" i="20"/>
  <c r="K1729" i="20"/>
  <c r="K1728" i="20"/>
  <c r="K1727" i="20"/>
  <c r="K1726" i="20"/>
  <c r="K1725" i="20"/>
  <c r="K1724" i="20"/>
  <c r="K1723" i="20"/>
  <c r="K1722" i="20"/>
  <c r="K1721" i="20"/>
  <c r="K1720" i="20"/>
  <c r="K1719" i="20"/>
  <c r="K1718" i="20"/>
  <c r="K1717" i="20"/>
  <c r="K1716" i="20"/>
  <c r="K1715" i="20"/>
  <c r="K1714" i="20"/>
  <c r="K1713" i="20"/>
  <c r="K1712" i="20"/>
  <c r="K1711" i="20"/>
  <c r="K1710" i="20"/>
  <c r="K1709" i="20"/>
  <c r="K1708" i="20"/>
  <c r="K1707" i="20"/>
  <c r="K1706" i="20"/>
  <c r="K1705" i="20"/>
  <c r="K1704" i="20"/>
  <c r="K1703" i="20"/>
  <c r="K1702" i="20"/>
  <c r="K1701" i="20"/>
  <c r="K1700" i="20"/>
  <c r="K1699" i="20"/>
  <c r="K1698" i="20"/>
  <c r="K1697" i="20"/>
  <c r="K1696" i="20"/>
  <c r="K1695" i="20"/>
  <c r="K1694" i="20"/>
  <c r="K1693" i="20"/>
  <c r="K1692" i="20"/>
  <c r="K1691" i="20"/>
  <c r="K1690" i="20"/>
  <c r="K1689" i="20"/>
  <c r="K1688" i="20"/>
  <c r="K1687" i="20"/>
  <c r="K1686" i="20"/>
  <c r="K1685" i="20"/>
  <c r="K1684" i="20"/>
  <c r="K1683" i="20"/>
  <c r="K1682" i="20"/>
  <c r="K1681" i="20"/>
  <c r="K1680" i="20"/>
  <c r="K1679" i="20"/>
  <c r="K1678" i="20"/>
  <c r="K1677" i="20"/>
  <c r="K1676" i="20"/>
  <c r="K1675" i="20"/>
  <c r="K1674" i="20"/>
  <c r="K1673" i="20"/>
  <c r="K1672" i="20"/>
  <c r="K1671" i="20"/>
  <c r="K1670" i="20"/>
  <c r="K1669" i="20"/>
  <c r="K1668" i="20"/>
  <c r="K1667" i="20"/>
  <c r="K1666" i="20"/>
  <c r="K1665" i="20"/>
  <c r="K1664" i="20"/>
  <c r="K1663" i="20"/>
  <c r="K1662" i="20"/>
  <c r="K1661" i="20"/>
  <c r="K1660" i="20"/>
  <c r="K1659" i="20"/>
  <c r="K1658" i="20"/>
  <c r="K1657" i="20"/>
  <c r="K1656" i="20"/>
  <c r="K1655" i="20"/>
  <c r="K1654" i="20"/>
  <c r="K1653" i="20"/>
  <c r="K1652" i="20"/>
  <c r="K1651" i="20"/>
  <c r="K1650" i="20"/>
  <c r="K1649" i="20"/>
  <c r="K1648" i="20"/>
  <c r="K1647" i="20"/>
  <c r="K1646" i="20"/>
  <c r="K1645" i="20"/>
  <c r="K1644" i="20"/>
  <c r="K1643" i="20"/>
  <c r="K1642" i="20"/>
  <c r="K1641" i="20"/>
  <c r="K1640" i="20"/>
  <c r="K1639" i="20"/>
  <c r="K1638" i="20"/>
  <c r="K1637" i="20"/>
  <c r="K1636" i="20"/>
  <c r="K1635" i="20"/>
  <c r="K1634" i="20"/>
  <c r="K1633" i="20"/>
  <c r="K1632" i="20"/>
  <c r="K1631" i="20"/>
  <c r="K1630" i="20"/>
  <c r="K1629" i="20"/>
  <c r="K1628" i="20"/>
  <c r="K1627" i="20"/>
  <c r="K1626" i="20"/>
  <c r="K1625" i="20"/>
  <c r="K1624" i="20"/>
  <c r="K1623" i="20"/>
  <c r="K1622" i="20"/>
  <c r="K1621" i="20"/>
  <c r="K1620" i="20"/>
  <c r="K1619" i="20"/>
  <c r="K1618" i="20"/>
  <c r="K1617" i="20"/>
  <c r="K1616" i="20"/>
  <c r="K1615" i="20"/>
  <c r="K1614" i="20"/>
  <c r="K1613" i="20"/>
  <c r="K1612" i="20"/>
  <c r="K1611" i="20"/>
  <c r="K1610" i="20"/>
  <c r="K1609" i="20"/>
  <c r="K1608" i="20"/>
  <c r="K1607" i="20"/>
  <c r="K1606" i="20"/>
  <c r="K1605" i="20"/>
  <c r="K1604" i="20"/>
  <c r="K1603" i="20"/>
  <c r="K1602" i="20"/>
  <c r="K1601" i="20"/>
  <c r="K1600" i="20"/>
  <c r="K1599" i="20"/>
  <c r="K1598" i="20"/>
  <c r="K1597" i="20"/>
  <c r="K1596" i="20"/>
  <c r="K1595" i="20"/>
  <c r="K1594" i="20"/>
  <c r="K1593" i="20"/>
  <c r="K1592" i="20"/>
  <c r="K1591" i="20"/>
  <c r="K1590" i="20"/>
  <c r="K1589" i="20"/>
  <c r="K1588" i="20"/>
  <c r="K1587" i="20"/>
  <c r="K1586" i="20"/>
  <c r="K1585" i="20"/>
  <c r="K1584" i="20"/>
  <c r="K1583" i="20"/>
  <c r="K1582" i="20"/>
  <c r="K1581" i="20"/>
  <c r="K1580" i="20"/>
  <c r="K1579" i="20"/>
  <c r="K1578" i="20"/>
  <c r="K1577" i="20"/>
  <c r="K1576" i="20"/>
  <c r="K1575" i="20"/>
  <c r="K1574" i="20"/>
  <c r="K1573" i="20"/>
  <c r="K1572" i="20"/>
  <c r="K1571" i="20"/>
  <c r="K1570" i="20"/>
  <c r="K1569" i="20"/>
  <c r="K1568" i="20"/>
  <c r="K1567" i="20"/>
  <c r="K1566" i="20"/>
  <c r="K1565" i="20"/>
  <c r="K1564" i="20"/>
  <c r="K1563" i="20"/>
  <c r="K1562" i="20"/>
  <c r="K1561" i="20"/>
  <c r="K1560" i="20"/>
  <c r="K1559" i="20"/>
  <c r="K1558" i="20"/>
  <c r="K1557" i="20"/>
  <c r="K1556" i="20"/>
  <c r="K1555" i="20"/>
  <c r="K1554" i="20"/>
  <c r="K1553" i="20"/>
  <c r="K1552" i="20"/>
  <c r="K1551" i="20"/>
  <c r="K1550" i="20"/>
  <c r="K1549" i="20"/>
  <c r="K1548" i="20"/>
  <c r="K1547" i="20"/>
  <c r="K1546" i="20"/>
  <c r="K1545" i="20"/>
  <c r="K1544" i="20"/>
  <c r="K1543" i="20"/>
  <c r="K1542" i="20"/>
  <c r="K1541" i="20"/>
  <c r="K1540" i="20"/>
  <c r="K1539" i="20"/>
  <c r="K1538" i="20"/>
  <c r="K1537" i="20"/>
  <c r="K1536" i="20"/>
  <c r="K1535" i="20"/>
  <c r="K1534" i="20"/>
  <c r="K1533" i="20"/>
  <c r="K1532" i="20"/>
  <c r="K1531" i="20"/>
  <c r="K1530" i="20"/>
  <c r="K1529" i="20"/>
  <c r="K1528" i="20"/>
  <c r="K1527" i="20"/>
  <c r="K1526" i="20"/>
  <c r="K1525" i="20"/>
  <c r="K1524" i="20"/>
  <c r="K1523" i="20"/>
  <c r="K1522" i="20"/>
  <c r="K1521" i="20"/>
  <c r="K1520" i="20"/>
  <c r="K1519" i="20"/>
  <c r="K1518" i="20"/>
  <c r="K1517" i="20"/>
  <c r="K1516" i="20"/>
  <c r="K1515" i="20"/>
  <c r="K1514" i="20"/>
  <c r="K1513" i="20"/>
  <c r="K1512" i="20"/>
  <c r="K1511" i="20"/>
  <c r="K1510" i="20"/>
  <c r="K1509" i="20"/>
  <c r="K1508" i="20"/>
  <c r="K1507" i="20"/>
  <c r="K1506" i="20"/>
  <c r="K1505" i="20"/>
  <c r="K1504" i="20"/>
  <c r="K1503" i="20"/>
  <c r="K1502" i="20"/>
  <c r="K1501" i="20"/>
  <c r="K1500" i="20"/>
  <c r="K1499" i="20"/>
  <c r="K1498" i="20"/>
  <c r="K1497" i="20"/>
  <c r="K1496" i="20"/>
  <c r="K1495" i="20"/>
  <c r="K1494" i="20"/>
  <c r="K1493" i="20"/>
  <c r="K1492" i="20"/>
  <c r="K1491" i="20"/>
  <c r="K1490" i="20"/>
  <c r="K1489" i="20"/>
  <c r="K1488" i="20"/>
  <c r="K1487" i="20"/>
  <c r="K1486" i="20"/>
  <c r="K1485" i="20"/>
  <c r="K1484" i="20"/>
  <c r="K1483" i="20"/>
  <c r="K1482" i="20"/>
  <c r="K1481" i="20"/>
  <c r="K1480" i="20"/>
  <c r="K1479" i="20"/>
  <c r="K1478" i="20"/>
  <c r="K1477" i="20"/>
  <c r="K1476" i="20"/>
  <c r="K1475" i="20"/>
  <c r="K1474" i="20"/>
  <c r="K1473" i="20"/>
  <c r="K1472" i="20"/>
  <c r="K1471" i="20"/>
  <c r="K1470" i="20"/>
  <c r="K1469" i="20"/>
  <c r="K1468" i="20"/>
  <c r="K1467" i="20"/>
  <c r="K1466" i="20"/>
  <c r="K1465" i="20"/>
  <c r="K1464" i="20"/>
  <c r="K1463" i="20"/>
  <c r="K1462" i="20"/>
  <c r="K1461" i="20"/>
  <c r="K1460" i="20"/>
  <c r="K1459" i="20"/>
  <c r="K1458" i="20"/>
  <c r="K1457" i="20"/>
  <c r="K1456" i="20"/>
  <c r="K1455" i="20"/>
  <c r="K1454" i="20"/>
  <c r="K1453" i="20"/>
  <c r="K1452" i="20"/>
  <c r="K1451" i="20"/>
  <c r="K1450" i="20"/>
  <c r="K1449" i="20"/>
  <c r="K1448" i="20"/>
  <c r="K1447" i="20"/>
  <c r="K1446" i="20"/>
  <c r="K1445" i="20"/>
  <c r="K1444" i="20"/>
  <c r="K1443" i="20"/>
  <c r="K1442" i="20"/>
  <c r="K1441" i="20"/>
  <c r="K1440" i="20"/>
  <c r="K1439" i="20"/>
  <c r="K1438" i="20"/>
  <c r="K1437" i="20"/>
  <c r="K1436" i="20"/>
  <c r="K1435" i="20"/>
  <c r="K1434" i="20"/>
  <c r="K1433" i="20"/>
  <c r="K1432" i="20"/>
  <c r="K1431" i="20"/>
  <c r="K1430" i="20"/>
  <c r="K1429" i="20"/>
  <c r="K1428" i="20"/>
  <c r="K1427" i="20"/>
  <c r="K1426" i="20"/>
  <c r="K1425" i="20"/>
  <c r="K1424" i="20"/>
  <c r="K1423" i="20"/>
  <c r="K1422" i="20"/>
  <c r="K1421" i="20"/>
  <c r="K1420" i="20"/>
  <c r="K1419" i="20"/>
  <c r="K1418" i="20"/>
  <c r="K1417" i="20"/>
  <c r="K1416" i="20"/>
  <c r="K1415" i="20"/>
  <c r="K1414" i="20"/>
  <c r="K1413" i="20"/>
  <c r="K1412" i="20"/>
  <c r="K1411" i="20"/>
  <c r="K1410" i="20"/>
  <c r="K1409" i="20"/>
  <c r="K1408" i="20"/>
  <c r="K1407" i="20"/>
  <c r="K1406" i="20"/>
  <c r="K1405" i="20"/>
  <c r="K1404" i="20"/>
  <c r="K1403" i="20"/>
  <c r="K1402" i="20"/>
  <c r="K1401" i="20"/>
  <c r="K1400" i="20"/>
  <c r="K1399" i="20"/>
  <c r="K1398" i="20"/>
  <c r="K1397" i="20"/>
  <c r="K1396" i="20"/>
  <c r="K1395" i="20"/>
  <c r="K1394" i="20"/>
  <c r="K1393" i="20"/>
  <c r="K1392" i="20"/>
  <c r="K1391" i="20"/>
  <c r="K1390" i="20"/>
  <c r="K1389" i="20"/>
  <c r="K1388" i="20"/>
  <c r="K1387" i="20"/>
  <c r="K1386" i="20"/>
  <c r="K1385" i="20"/>
  <c r="K1384" i="20"/>
  <c r="K1383" i="20"/>
  <c r="K1382" i="20"/>
  <c r="K1381" i="20"/>
  <c r="K1380" i="20"/>
  <c r="K1379" i="20"/>
  <c r="K1378" i="20"/>
  <c r="K1377" i="20"/>
  <c r="K1376" i="20"/>
  <c r="K1375" i="20"/>
  <c r="K1374" i="20"/>
  <c r="K1373" i="20"/>
  <c r="K1372" i="20"/>
  <c r="K1371" i="20"/>
  <c r="K1370" i="20"/>
  <c r="K1369" i="20"/>
  <c r="K1368" i="20"/>
  <c r="K1367" i="20"/>
  <c r="K1366" i="20"/>
  <c r="K1365" i="20"/>
  <c r="K1364" i="20"/>
  <c r="K1363" i="20"/>
  <c r="K1362" i="20"/>
  <c r="K1361" i="20"/>
  <c r="K1360" i="20"/>
  <c r="K1359" i="20"/>
  <c r="K1358" i="20"/>
  <c r="K1357" i="20"/>
  <c r="K1356" i="20"/>
  <c r="K1355" i="20"/>
  <c r="K1354" i="20"/>
  <c r="K1353" i="20"/>
  <c r="K1352" i="20"/>
  <c r="K1351" i="20"/>
  <c r="K1350" i="20"/>
  <c r="K1349" i="20"/>
  <c r="K1348" i="20"/>
  <c r="K1347" i="20"/>
  <c r="K1346" i="20"/>
  <c r="K1345" i="20"/>
  <c r="K1344" i="20"/>
  <c r="K1343" i="20"/>
  <c r="K1342" i="20"/>
  <c r="K1341" i="20"/>
  <c r="K1340" i="20"/>
  <c r="K1339" i="20"/>
  <c r="K1338" i="20"/>
  <c r="K1337" i="20"/>
  <c r="K1336" i="20"/>
  <c r="K1335" i="20"/>
  <c r="K1334" i="20"/>
  <c r="K1333" i="20"/>
  <c r="K1332" i="20"/>
  <c r="K1331" i="20"/>
  <c r="K1330" i="20"/>
  <c r="K1329" i="20"/>
  <c r="K1328" i="20"/>
  <c r="K1327" i="20"/>
  <c r="K1326" i="20"/>
  <c r="K1325" i="20"/>
  <c r="K1324" i="20"/>
  <c r="K1323" i="20"/>
  <c r="K1322" i="20"/>
  <c r="K1321" i="20"/>
  <c r="K1320" i="20"/>
  <c r="K1319" i="20"/>
  <c r="K1318" i="20"/>
  <c r="K1317" i="20"/>
  <c r="K1316" i="20"/>
  <c r="K1315" i="20"/>
  <c r="K1314" i="20"/>
  <c r="K1313" i="20"/>
  <c r="K1312" i="20"/>
  <c r="K1311" i="20"/>
  <c r="K1310" i="20"/>
  <c r="K1309" i="20"/>
  <c r="K1308" i="20"/>
  <c r="K1307" i="20"/>
  <c r="K1306" i="20"/>
  <c r="K1305" i="20"/>
  <c r="K1304" i="20"/>
  <c r="K1303" i="20"/>
  <c r="K1302" i="20"/>
  <c r="K1301" i="20"/>
  <c r="K1300" i="20"/>
  <c r="K1299" i="20"/>
  <c r="K1298" i="20"/>
  <c r="K1297" i="20"/>
  <c r="K1296" i="20"/>
  <c r="K1295" i="20"/>
  <c r="K1294" i="20"/>
  <c r="K1293" i="20"/>
  <c r="K1292" i="20"/>
  <c r="K1291" i="20"/>
  <c r="K1290" i="20"/>
  <c r="K1289" i="20"/>
  <c r="K1288" i="20"/>
  <c r="K1287" i="20"/>
  <c r="K1286" i="20"/>
  <c r="K1285" i="20"/>
  <c r="K1284" i="20"/>
  <c r="K1283" i="20"/>
  <c r="K1282" i="20"/>
  <c r="K1281" i="20"/>
  <c r="K1280" i="20"/>
  <c r="K1279" i="20"/>
  <c r="K1278" i="20"/>
  <c r="K1277" i="20"/>
  <c r="K1276" i="20"/>
  <c r="K1275" i="20"/>
  <c r="K1274" i="20"/>
  <c r="K1273" i="20"/>
  <c r="K1272" i="20"/>
  <c r="K1271" i="20"/>
  <c r="K1270" i="20"/>
  <c r="K1269" i="20"/>
  <c r="K1268" i="20"/>
  <c r="K1267" i="20"/>
  <c r="K1266" i="20"/>
  <c r="K1265" i="20"/>
  <c r="K1264" i="20"/>
  <c r="K1263" i="20"/>
  <c r="K1262" i="20"/>
  <c r="K1261" i="20"/>
  <c r="K1260" i="20"/>
  <c r="K1259" i="20"/>
  <c r="K1258" i="20"/>
  <c r="K1257" i="20"/>
  <c r="K1256" i="20"/>
  <c r="K1255" i="20"/>
  <c r="K1254" i="20"/>
  <c r="K1253" i="20"/>
  <c r="K1252" i="20"/>
  <c r="K1251" i="20"/>
  <c r="K1250" i="20"/>
  <c r="K1249" i="20"/>
  <c r="K1248" i="20"/>
  <c r="K1247" i="20"/>
  <c r="K1246" i="20"/>
  <c r="K1245" i="20"/>
  <c r="K1244" i="20"/>
  <c r="K1243" i="20"/>
  <c r="K1242" i="20"/>
  <c r="K1241" i="20"/>
  <c r="K1240" i="20"/>
  <c r="K1239" i="20"/>
  <c r="K1238" i="20"/>
  <c r="K1237" i="20"/>
  <c r="K1236" i="20"/>
  <c r="K1235" i="20"/>
  <c r="K1234" i="20"/>
  <c r="K1233" i="20"/>
  <c r="K1232" i="20"/>
  <c r="K1231" i="20"/>
  <c r="K1230" i="20"/>
  <c r="K1229" i="20"/>
  <c r="K1228" i="20"/>
  <c r="K1227" i="20"/>
  <c r="K1226" i="20"/>
  <c r="K1225" i="20"/>
  <c r="K1224" i="20"/>
  <c r="K1223" i="20"/>
  <c r="K1222" i="20"/>
  <c r="K1221" i="20"/>
  <c r="K1220" i="20"/>
  <c r="K1219" i="20"/>
  <c r="K1218" i="20"/>
  <c r="K1217" i="20"/>
  <c r="K1216" i="20"/>
  <c r="K1215" i="20"/>
  <c r="K1214" i="20"/>
  <c r="K1213" i="20"/>
  <c r="K1212" i="20"/>
  <c r="K1211" i="20"/>
  <c r="K1210" i="20"/>
  <c r="K1209" i="20"/>
  <c r="K1208" i="20"/>
  <c r="K1207" i="20"/>
  <c r="K1206" i="20"/>
  <c r="K1205" i="20"/>
  <c r="K1204" i="20"/>
  <c r="K1203" i="20"/>
  <c r="K1202" i="20"/>
  <c r="K1201" i="20"/>
  <c r="K1200" i="20"/>
  <c r="K1199" i="20"/>
  <c r="K1198" i="20"/>
  <c r="K1197" i="20"/>
  <c r="K1196" i="20"/>
  <c r="K1195" i="20"/>
  <c r="K1194" i="20"/>
  <c r="K1193" i="20"/>
  <c r="K1192" i="20"/>
  <c r="K1191" i="20"/>
  <c r="K1190" i="20"/>
  <c r="K1189" i="20"/>
  <c r="K1188" i="20"/>
  <c r="K1187" i="20"/>
  <c r="K1186" i="20"/>
  <c r="K1185" i="20"/>
  <c r="K1184" i="20"/>
  <c r="K1183" i="20"/>
  <c r="K1182" i="20"/>
  <c r="K1181" i="20"/>
  <c r="K1180" i="20"/>
  <c r="K1179" i="20"/>
  <c r="K1178" i="20"/>
  <c r="K1177" i="20"/>
  <c r="K1176" i="20"/>
  <c r="K1175" i="20"/>
  <c r="K1174" i="20"/>
  <c r="K1173" i="20"/>
  <c r="K1172" i="20"/>
  <c r="K1171" i="20"/>
  <c r="K1170" i="20"/>
  <c r="K1169" i="20"/>
  <c r="K1168" i="20"/>
  <c r="K1167" i="20"/>
  <c r="K1166" i="20"/>
  <c r="K1165" i="20"/>
  <c r="K1164" i="20"/>
  <c r="K1163" i="20"/>
  <c r="K1162" i="20"/>
  <c r="K1161" i="20"/>
  <c r="K1160" i="20"/>
  <c r="K1159" i="20"/>
  <c r="K1158" i="20"/>
  <c r="K1157" i="20"/>
  <c r="K1156" i="20"/>
  <c r="K1155" i="20"/>
  <c r="K1154" i="20"/>
  <c r="K1153" i="20"/>
  <c r="K1152" i="20"/>
  <c r="K1151" i="20"/>
  <c r="K1150" i="20"/>
  <c r="K1149" i="20"/>
  <c r="K1148" i="20"/>
  <c r="K1147" i="20"/>
  <c r="K1146" i="20"/>
  <c r="K1145" i="20"/>
  <c r="K1144" i="20"/>
  <c r="K1143" i="20"/>
  <c r="K1142" i="20"/>
  <c r="K1141" i="20"/>
  <c r="K1140" i="20"/>
  <c r="K1139" i="20"/>
  <c r="K1138" i="20"/>
  <c r="K1137" i="20"/>
  <c r="K1136" i="20"/>
  <c r="K1135" i="20"/>
  <c r="K1134" i="20"/>
  <c r="K1133" i="20"/>
  <c r="K1132" i="20"/>
  <c r="K1131" i="20"/>
  <c r="K1130" i="20"/>
  <c r="K1129" i="20"/>
  <c r="K1128" i="20"/>
  <c r="K1127" i="20"/>
  <c r="K1126" i="20"/>
  <c r="K1125" i="20"/>
  <c r="K1124" i="20"/>
  <c r="K1123" i="20"/>
  <c r="K1122" i="20"/>
  <c r="K1121" i="20"/>
  <c r="K1120" i="20"/>
  <c r="K1119" i="20"/>
  <c r="K1118" i="20"/>
  <c r="K1117" i="20"/>
  <c r="K1116" i="20"/>
  <c r="K1115" i="20"/>
  <c r="K1114" i="20"/>
  <c r="K1113" i="20"/>
  <c r="K1112" i="20"/>
  <c r="K1111" i="20"/>
  <c r="K1110" i="20"/>
  <c r="K1109" i="20"/>
  <c r="K1108" i="20"/>
  <c r="K1107" i="20"/>
  <c r="K1106" i="20"/>
  <c r="K1105" i="20"/>
  <c r="K1104" i="20"/>
  <c r="K1103" i="20"/>
  <c r="K1102" i="20"/>
  <c r="K1101" i="20"/>
  <c r="K1100" i="20"/>
  <c r="K1099" i="20"/>
  <c r="K1098" i="20"/>
  <c r="K1097" i="20"/>
  <c r="K1096" i="20"/>
  <c r="K1095" i="20"/>
  <c r="K1094" i="20"/>
  <c r="K1093" i="20"/>
  <c r="K1092" i="20"/>
  <c r="K1091" i="20"/>
  <c r="K1090" i="20"/>
  <c r="K1089" i="20"/>
  <c r="K1088" i="20"/>
  <c r="K1087" i="20"/>
  <c r="K1086" i="20"/>
  <c r="K1085" i="20"/>
  <c r="K1084" i="20"/>
  <c r="K1083" i="20"/>
  <c r="K1082" i="20"/>
  <c r="K1081" i="20"/>
  <c r="K1080" i="20"/>
  <c r="K1079" i="20"/>
  <c r="K1078" i="20"/>
  <c r="K1077" i="20"/>
  <c r="K1076" i="20"/>
  <c r="K1075" i="20"/>
  <c r="K1074" i="20"/>
  <c r="K1073" i="20"/>
  <c r="K1072" i="20"/>
  <c r="K1071" i="20"/>
  <c r="K1070" i="20"/>
  <c r="K1069" i="20"/>
  <c r="K1068" i="20"/>
  <c r="K1067" i="20"/>
  <c r="K1066" i="20"/>
  <c r="K1065" i="20"/>
  <c r="K1064" i="20"/>
  <c r="K1063" i="20"/>
  <c r="K1062" i="20"/>
  <c r="K1061" i="20"/>
  <c r="K1060" i="20"/>
  <c r="K1059" i="20"/>
  <c r="K1058" i="20"/>
  <c r="K1057" i="20"/>
  <c r="K1056" i="20"/>
  <c r="K1055" i="20"/>
  <c r="K1054" i="20"/>
  <c r="K1053" i="20"/>
  <c r="K1052" i="20"/>
  <c r="K1051" i="20"/>
  <c r="K1050" i="20"/>
  <c r="K1049" i="20"/>
  <c r="K1048" i="20"/>
  <c r="K1047" i="20"/>
  <c r="K1046" i="20"/>
  <c r="K1045" i="20"/>
  <c r="K1044" i="20"/>
  <c r="K1043" i="20"/>
  <c r="K1042" i="20"/>
  <c r="K1041" i="20"/>
  <c r="K1040" i="20"/>
  <c r="K1039" i="20"/>
  <c r="K1038" i="20"/>
  <c r="K1037" i="20"/>
  <c r="K1036" i="20"/>
  <c r="K1035" i="20"/>
  <c r="K1034" i="20"/>
  <c r="K1033" i="20"/>
  <c r="K1032" i="20"/>
  <c r="K1031" i="20"/>
  <c r="K1030" i="20"/>
  <c r="K1029" i="20"/>
  <c r="K1028" i="20"/>
  <c r="K1027" i="20"/>
  <c r="K1026" i="20"/>
  <c r="K1025" i="20"/>
  <c r="K1024" i="20"/>
  <c r="K1023" i="20"/>
  <c r="K1022" i="20"/>
  <c r="K1021" i="20"/>
  <c r="K1020" i="20"/>
  <c r="K1019" i="20"/>
  <c r="K1018" i="20"/>
  <c r="K1017" i="20"/>
  <c r="K1016" i="20"/>
  <c r="K1015" i="20"/>
  <c r="K1014" i="20"/>
  <c r="K1013" i="20"/>
  <c r="K1012" i="20"/>
  <c r="K1011" i="20"/>
  <c r="K1010" i="20"/>
  <c r="K1009" i="20"/>
  <c r="K1008" i="20"/>
  <c r="K1007" i="20"/>
  <c r="K1006" i="20"/>
  <c r="K1005" i="20"/>
  <c r="K1004" i="20"/>
  <c r="K1003" i="20"/>
  <c r="K1002" i="20"/>
  <c r="K1001" i="20"/>
  <c r="K1000" i="20"/>
  <c r="K999" i="20"/>
  <c r="K998" i="20"/>
  <c r="K997" i="20"/>
  <c r="K996" i="20"/>
  <c r="K995" i="20"/>
  <c r="K994" i="20"/>
  <c r="K993" i="20"/>
  <c r="K992" i="20"/>
  <c r="K991" i="20"/>
  <c r="K990" i="20"/>
  <c r="K989" i="20"/>
  <c r="K988" i="20"/>
  <c r="K987" i="20"/>
  <c r="K986" i="20"/>
  <c r="K985" i="20"/>
  <c r="K984" i="20"/>
  <c r="K983" i="20"/>
  <c r="K982" i="20"/>
  <c r="K981" i="20"/>
  <c r="K980" i="20"/>
  <c r="K979" i="20"/>
  <c r="K978" i="20"/>
  <c r="K977" i="20"/>
  <c r="K976" i="20"/>
  <c r="K975" i="20"/>
  <c r="K974" i="20"/>
  <c r="K973" i="20"/>
  <c r="K972" i="20"/>
  <c r="K971" i="20"/>
  <c r="K970" i="20"/>
  <c r="K969" i="20"/>
  <c r="K968" i="20"/>
  <c r="K967" i="20"/>
  <c r="K966" i="20"/>
  <c r="K965" i="20"/>
  <c r="K964" i="20"/>
  <c r="K963" i="20"/>
  <c r="K962" i="20"/>
  <c r="K961" i="20"/>
  <c r="K960"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2" i="20"/>
  <c r="C119" i="19"/>
  <c r="C118" i="19"/>
  <c r="C107" i="19"/>
  <c r="C106" i="19"/>
  <c r="C94" i="19"/>
  <c r="C93" i="19"/>
  <c r="C82" i="19"/>
  <c r="C81" i="19"/>
  <c r="C72" i="19"/>
  <c r="C71" i="19"/>
  <c r="C62" i="19"/>
  <c r="C61" i="19"/>
  <c r="C47" i="19"/>
  <c r="C46" i="19"/>
  <c r="C31" i="19"/>
  <c r="C30" i="19"/>
  <c r="C17" i="19"/>
  <c r="C16" i="19"/>
  <c r="J41" i="15"/>
  <c r="I41" i="15"/>
  <c r="H41" i="15"/>
  <c r="K41" i="15" s="1"/>
  <c r="G41" i="15"/>
  <c r="F41" i="15"/>
  <c r="E41" i="15"/>
  <c r="D41" i="15"/>
  <c r="C41" i="15"/>
  <c r="B41" i="15"/>
  <c r="J40" i="15"/>
  <c r="I40" i="15"/>
  <c r="H40" i="15"/>
  <c r="K40" i="15" s="1"/>
  <c r="G40" i="15"/>
  <c r="F40" i="15"/>
  <c r="E40" i="15"/>
  <c r="D40" i="15"/>
  <c r="C40" i="15"/>
  <c r="B40" i="15"/>
  <c r="J39" i="15"/>
  <c r="I39" i="15"/>
  <c r="H39" i="15"/>
  <c r="K39" i="15" s="1"/>
  <c r="G39" i="15"/>
  <c r="F39" i="15"/>
  <c r="E39" i="15"/>
  <c r="D39" i="15"/>
  <c r="C39" i="15"/>
  <c r="B39" i="15"/>
  <c r="J38" i="15"/>
  <c r="I38" i="15"/>
  <c r="H38" i="15"/>
  <c r="K38" i="15" s="1"/>
  <c r="G38" i="15"/>
  <c r="F38" i="15"/>
  <c r="E38" i="15"/>
  <c r="D38" i="15"/>
  <c r="C38" i="15"/>
  <c r="B38" i="15"/>
  <c r="J37" i="15"/>
  <c r="I37" i="15"/>
  <c r="H37" i="15"/>
  <c r="K37" i="15" s="1"/>
  <c r="G37" i="15"/>
  <c r="F37" i="15"/>
  <c r="E37" i="15"/>
  <c r="D37" i="15"/>
  <c r="C37" i="15"/>
  <c r="B37" i="15"/>
  <c r="J36" i="15"/>
  <c r="I36" i="15"/>
  <c r="H36" i="15"/>
  <c r="K36" i="15" s="1"/>
  <c r="G36" i="15"/>
  <c r="F36" i="15"/>
  <c r="E36" i="15"/>
  <c r="D36" i="15"/>
  <c r="C36" i="15"/>
  <c r="B36" i="15"/>
  <c r="J35" i="15"/>
  <c r="I35" i="15"/>
  <c r="H35" i="15"/>
  <c r="K35" i="15" s="1"/>
  <c r="G35" i="15"/>
  <c r="F35" i="15"/>
  <c r="E35" i="15"/>
  <c r="D35" i="15"/>
  <c r="C35" i="15"/>
  <c r="B35" i="15"/>
  <c r="J34" i="15"/>
  <c r="I34" i="15"/>
  <c r="H34" i="15"/>
  <c r="K34" i="15" s="1"/>
  <c r="G34" i="15"/>
  <c r="F34" i="15"/>
  <c r="E34" i="15"/>
  <c r="D34" i="15"/>
  <c r="C34" i="15"/>
  <c r="B34" i="15"/>
  <c r="J33" i="15"/>
  <c r="I33" i="15"/>
  <c r="H33" i="15"/>
  <c r="K33" i="15" s="1"/>
  <c r="G33" i="15"/>
  <c r="F33" i="15"/>
  <c r="E33" i="15"/>
  <c r="D33" i="15"/>
  <c r="C33" i="15"/>
  <c r="B33" i="15"/>
  <c r="J32" i="15"/>
  <c r="I32" i="15"/>
  <c r="H32" i="15"/>
  <c r="K32" i="15" s="1"/>
  <c r="G32" i="15"/>
  <c r="F32" i="15"/>
  <c r="E32" i="15"/>
  <c r="D32" i="15"/>
  <c r="C32" i="15"/>
  <c r="B32" i="15"/>
  <c r="J31" i="15"/>
  <c r="I31" i="15"/>
  <c r="H31" i="15"/>
  <c r="K31" i="15" s="1"/>
  <c r="G31" i="15"/>
  <c r="F31" i="15"/>
  <c r="E31" i="15"/>
  <c r="D31" i="15"/>
  <c r="C31" i="15"/>
  <c r="B31" i="15"/>
  <c r="J30" i="15"/>
  <c r="I30" i="15"/>
  <c r="H30" i="15"/>
  <c r="K30" i="15" s="1"/>
  <c r="G30" i="15"/>
  <c r="F30" i="15"/>
  <c r="E30" i="15"/>
  <c r="D30" i="15"/>
  <c r="C30" i="15"/>
  <c r="B30" i="15"/>
  <c r="J29" i="15"/>
  <c r="I29" i="15"/>
  <c r="H29" i="15"/>
  <c r="K29" i="15" s="1"/>
  <c r="G29" i="15"/>
  <c r="F29" i="15"/>
  <c r="E29" i="15"/>
  <c r="D29" i="15"/>
  <c r="C29" i="15"/>
  <c r="B29" i="15"/>
  <c r="J28" i="15"/>
  <c r="I28" i="15"/>
  <c r="H28" i="15"/>
  <c r="K28" i="15" s="1"/>
  <c r="G28" i="15"/>
  <c r="F28" i="15"/>
  <c r="E28" i="15"/>
  <c r="D28" i="15"/>
  <c r="C28" i="15"/>
  <c r="B28" i="15"/>
  <c r="J27" i="15"/>
  <c r="I27" i="15"/>
  <c r="H27" i="15"/>
  <c r="K27" i="15" s="1"/>
  <c r="G27" i="15"/>
  <c r="F27" i="15"/>
  <c r="E27" i="15"/>
  <c r="D27" i="15"/>
  <c r="C27" i="15"/>
  <c r="B27" i="15"/>
  <c r="J26" i="15"/>
  <c r="I26" i="15"/>
  <c r="H26" i="15"/>
  <c r="K26" i="15" s="1"/>
  <c r="G26" i="15"/>
  <c r="F26" i="15"/>
  <c r="E26" i="15"/>
  <c r="D26" i="15"/>
  <c r="C26" i="15"/>
  <c r="B26" i="15"/>
  <c r="J25" i="15"/>
  <c r="I25" i="15"/>
  <c r="H25" i="15"/>
  <c r="K25" i="15" s="1"/>
  <c r="G25" i="15"/>
  <c r="F25" i="15"/>
  <c r="E25" i="15"/>
  <c r="D25" i="15"/>
  <c r="C25" i="15"/>
  <c r="B25" i="15"/>
  <c r="J24" i="15"/>
  <c r="I24" i="15"/>
  <c r="H24" i="15"/>
  <c r="K24" i="15" s="1"/>
  <c r="G24" i="15"/>
  <c r="F24" i="15"/>
  <c r="E24" i="15"/>
  <c r="D24" i="15"/>
  <c r="C24" i="15"/>
  <c r="B24" i="15"/>
  <c r="J23" i="15"/>
  <c r="I23" i="15"/>
  <c r="H23" i="15"/>
  <c r="K23" i="15" s="1"/>
  <c r="G23" i="15"/>
  <c r="F23" i="15"/>
  <c r="E23" i="15"/>
  <c r="D23" i="15"/>
  <c r="C23" i="15"/>
  <c r="B23" i="15"/>
  <c r="J22" i="15"/>
  <c r="I22" i="15"/>
  <c r="H22" i="15"/>
  <c r="K22" i="15" s="1"/>
  <c r="G22" i="15"/>
  <c r="F22" i="15"/>
  <c r="E22" i="15"/>
  <c r="D22" i="15"/>
  <c r="C22" i="15"/>
  <c r="B22" i="15"/>
  <c r="J21" i="15"/>
  <c r="I21" i="15"/>
  <c r="H21" i="15"/>
  <c r="K21" i="15" s="1"/>
  <c r="G21" i="15"/>
  <c r="F21" i="15"/>
  <c r="E21" i="15"/>
  <c r="D21" i="15"/>
  <c r="C21" i="15"/>
  <c r="B21" i="15"/>
  <c r="J20" i="15"/>
  <c r="I20" i="15"/>
  <c r="H20" i="15"/>
  <c r="K20" i="15" s="1"/>
  <c r="G20" i="15"/>
  <c r="F20" i="15"/>
  <c r="E20" i="15"/>
  <c r="D20" i="15"/>
  <c r="C20" i="15"/>
  <c r="B20" i="15"/>
  <c r="J19" i="15"/>
  <c r="I19" i="15"/>
  <c r="H19" i="15"/>
  <c r="K19" i="15" s="1"/>
  <c r="G19" i="15"/>
  <c r="F19" i="15"/>
  <c r="E19" i="15"/>
  <c r="D19" i="15"/>
  <c r="C19" i="15"/>
  <c r="B19" i="15"/>
  <c r="J18" i="15"/>
  <c r="I18" i="15"/>
  <c r="H18" i="15"/>
  <c r="K18" i="15" s="1"/>
  <c r="G18" i="15"/>
  <c r="F18" i="15"/>
  <c r="E18" i="15"/>
  <c r="D18" i="15"/>
  <c r="C18" i="15"/>
  <c r="B18" i="15"/>
  <c r="J17" i="15"/>
  <c r="I17" i="15"/>
  <c r="H17" i="15"/>
  <c r="K17" i="15" s="1"/>
  <c r="G17" i="15"/>
  <c r="F17" i="15"/>
  <c r="E17" i="15"/>
  <c r="D17" i="15"/>
  <c r="C17" i="15"/>
  <c r="B17" i="15"/>
  <c r="J16" i="15"/>
  <c r="I16" i="15"/>
  <c r="H16" i="15"/>
  <c r="K16" i="15" s="1"/>
  <c r="G16" i="15"/>
  <c r="F16" i="15"/>
  <c r="E16" i="15"/>
  <c r="D16" i="15"/>
  <c r="C16" i="15"/>
  <c r="B16" i="15"/>
  <c r="J15" i="15"/>
  <c r="I15" i="15"/>
  <c r="H15" i="15"/>
  <c r="K15" i="15" s="1"/>
  <c r="G15" i="15"/>
  <c r="F15" i="15"/>
  <c r="E15" i="15"/>
  <c r="D15" i="15"/>
  <c r="C15" i="15"/>
  <c r="B15" i="15"/>
  <c r="J11" i="15"/>
  <c r="I11" i="15"/>
  <c r="H11" i="15"/>
  <c r="K11" i="15" s="1"/>
  <c r="G11" i="15"/>
  <c r="F11" i="15"/>
  <c r="E11" i="15"/>
  <c r="D11" i="15"/>
  <c r="C11" i="15"/>
  <c r="B11" i="15"/>
  <c r="J10" i="15"/>
  <c r="I10" i="15"/>
  <c r="H10" i="15"/>
  <c r="K10" i="15" s="1"/>
  <c r="G10" i="15"/>
  <c r="F10" i="15"/>
  <c r="E10" i="15"/>
  <c r="D10" i="15"/>
  <c r="C10" i="15"/>
  <c r="B10" i="15"/>
  <c r="J9" i="15"/>
  <c r="I9" i="15"/>
  <c r="H9" i="15"/>
  <c r="K9" i="15" s="1"/>
  <c r="G9" i="15"/>
  <c r="F9" i="15"/>
  <c r="E9" i="15"/>
  <c r="D9" i="15"/>
  <c r="C9" i="15"/>
  <c r="B9" i="15"/>
  <c r="J8" i="15"/>
  <c r="I8" i="15"/>
  <c r="H8" i="15"/>
  <c r="K8" i="15" s="1"/>
  <c r="G8" i="15"/>
  <c r="F8" i="15"/>
  <c r="E8" i="15"/>
  <c r="D8" i="15"/>
  <c r="C8" i="15"/>
  <c r="B8" i="15"/>
  <c r="J7" i="15"/>
  <c r="I7" i="15"/>
  <c r="H7" i="15"/>
  <c r="K7" i="15" s="1"/>
  <c r="G7" i="15"/>
  <c r="F7" i="15"/>
  <c r="E7" i="15"/>
  <c r="D7" i="15"/>
  <c r="C7" i="15"/>
  <c r="B7" i="15"/>
  <c r="J6" i="15"/>
  <c r="I6" i="15"/>
  <c r="H6" i="15"/>
  <c r="K6" i="15" s="1"/>
  <c r="G6" i="15"/>
  <c r="F6" i="15"/>
  <c r="E6" i="15"/>
  <c r="D6" i="15"/>
  <c r="C6" i="15"/>
  <c r="B6" i="15"/>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FQ7" i="14"/>
  <c r="FQ6" i="14" s="1"/>
  <c r="FP7" i="14"/>
  <c r="FP6" i="14" s="1"/>
  <c r="FO7" i="14"/>
  <c r="FO6" i="14" s="1"/>
  <c r="FN7" i="14"/>
  <c r="FN6" i="14" s="1"/>
  <c r="FM7" i="14"/>
  <c r="FM6" i="14" s="1"/>
  <c r="FL7" i="14"/>
  <c r="FL6" i="14" s="1"/>
  <c r="FK7" i="14"/>
  <c r="FK6" i="14" s="1"/>
  <c r="FJ7" i="14"/>
  <c r="FI7" i="14"/>
  <c r="FI6" i="14" s="1"/>
  <c r="FH7" i="14"/>
  <c r="FH6" i="14" s="1"/>
  <c r="FG7" i="14"/>
  <c r="FG6" i="14" s="1"/>
  <c r="FF7" i="14"/>
  <c r="FE7" i="14"/>
  <c r="FE6" i="14" s="1"/>
  <c r="FD7" i="14"/>
  <c r="FD6" i="14" s="1"/>
  <c r="FC7" i="14"/>
  <c r="FC6" i="14" s="1"/>
  <c r="FB7" i="14"/>
  <c r="FA7" i="14"/>
  <c r="FA6" i="14" s="1"/>
  <c r="EZ7" i="14"/>
  <c r="EZ6" i="14" s="1"/>
  <c r="EY7" i="14"/>
  <c r="EY6" i="14" s="1"/>
  <c r="EX7" i="14"/>
  <c r="EX6" i="14" s="1"/>
  <c r="EW7" i="14"/>
  <c r="EV7" i="14"/>
  <c r="EV6" i="14" s="1"/>
  <c r="EU7" i="14"/>
  <c r="EU6" i="14" s="1"/>
  <c r="ET7" i="14"/>
  <c r="ES7" i="14"/>
  <c r="ES6" i="14" s="1"/>
  <c r="ER7" i="14"/>
  <c r="ER6" i="14" s="1"/>
  <c r="EQ7" i="14"/>
  <c r="EQ6" i="14" s="1"/>
  <c r="EP7" i="14"/>
  <c r="EO7" i="14"/>
  <c r="EO6" i="14" s="1"/>
  <c r="EN7" i="14"/>
  <c r="EN6" i="14" s="1"/>
  <c r="EM7" i="14"/>
  <c r="EM6" i="14" s="1"/>
  <c r="EL7" i="14"/>
  <c r="EK7" i="14"/>
  <c r="EK6" i="14" s="1"/>
  <c r="EJ7" i="14"/>
  <c r="EJ6" i="14" s="1"/>
  <c r="EI7" i="14"/>
  <c r="EI6" i="14" s="1"/>
  <c r="EH7" i="14"/>
  <c r="EG7" i="14"/>
  <c r="EG6" i="14" s="1"/>
  <c r="EF7" i="14"/>
  <c r="EF6" i="14" s="1"/>
  <c r="EE7" i="14"/>
  <c r="EE6" i="14" s="1"/>
  <c r="ED7" i="14"/>
  <c r="EC7" i="14"/>
  <c r="EC6" i="14" s="1"/>
  <c r="EB7" i="14"/>
  <c r="EB6" i="14" s="1"/>
  <c r="EA7" i="14"/>
  <c r="EA6" i="14" s="1"/>
  <c r="DZ7" i="14"/>
  <c r="DZ6" i="14" s="1"/>
  <c r="DY7" i="14"/>
  <c r="DX7" i="14"/>
  <c r="DX6" i="14" s="1"/>
  <c r="DW7" i="14"/>
  <c r="DW6" i="14" s="1"/>
  <c r="DV7" i="14"/>
  <c r="DU7" i="14"/>
  <c r="DU6" i="14" s="1"/>
  <c r="DT7" i="14"/>
  <c r="DT6" i="14" s="1"/>
  <c r="DS7" i="14"/>
  <c r="DS6" i="14" s="1"/>
  <c r="DR7" i="14"/>
  <c r="DR6" i="14" s="1"/>
  <c r="DQ7" i="14"/>
  <c r="DQ6" i="14" s="1"/>
  <c r="DP7" i="14"/>
  <c r="DP6" i="14" s="1"/>
  <c r="DO7" i="14"/>
  <c r="DO6" i="14" s="1"/>
  <c r="DN7" i="14"/>
  <c r="DM7" i="14"/>
  <c r="DM6" i="14" s="1"/>
  <c r="DL7" i="14"/>
  <c r="DL6" i="14" s="1"/>
  <c r="DK7" i="14"/>
  <c r="DK6" i="14" s="1"/>
  <c r="DJ7" i="14"/>
  <c r="DJ6" i="14" s="1"/>
  <c r="DI7" i="14"/>
  <c r="DH7" i="14"/>
  <c r="DH6" i="14" s="1"/>
  <c r="DG7" i="14"/>
  <c r="DG6" i="14" s="1"/>
  <c r="DF7" i="14"/>
  <c r="DE7" i="14"/>
  <c r="DE6" i="14" s="1"/>
  <c r="DD7" i="14"/>
  <c r="DD6" i="14" s="1"/>
  <c r="DC7" i="14"/>
  <c r="DC6" i="14" s="1"/>
  <c r="DB7" i="14"/>
  <c r="DB6" i="14" s="1"/>
  <c r="DA7" i="14"/>
  <c r="DA6" i="14" s="1"/>
  <c r="CZ7" i="14"/>
  <c r="CZ6" i="14" s="1"/>
  <c r="CY7" i="14"/>
  <c r="CY6" i="14" s="1"/>
  <c r="CX7" i="14"/>
  <c r="CW7" i="14"/>
  <c r="CW6" i="14" s="1"/>
  <c r="CV7" i="14"/>
  <c r="CV6" i="14" s="1"/>
  <c r="CU7" i="14"/>
  <c r="CU6" i="14" s="1"/>
  <c r="CT7" i="14"/>
  <c r="CS7" i="14"/>
  <c r="CS6" i="14" s="1"/>
  <c r="CR7" i="14"/>
  <c r="CR6" i="14" s="1"/>
  <c r="CQ7" i="14"/>
  <c r="CQ6" i="14" s="1"/>
  <c r="CP7" i="14"/>
  <c r="CO7" i="14"/>
  <c r="CO6" i="14" s="1"/>
  <c r="CN7" i="14"/>
  <c r="CN6" i="14" s="1"/>
  <c r="CM7" i="14"/>
  <c r="CM6" i="14" s="1"/>
  <c r="CL7" i="14"/>
  <c r="CL6" i="14" s="1"/>
  <c r="CK7" i="14"/>
  <c r="CK6" i="14" s="1"/>
  <c r="CJ7" i="14"/>
  <c r="CJ6" i="14" s="1"/>
  <c r="CI7" i="14"/>
  <c r="CI6" i="14" s="1"/>
  <c r="CH7" i="14"/>
  <c r="CG7" i="14"/>
  <c r="CG6" i="14" s="1"/>
  <c r="CF7" i="14"/>
  <c r="CF6" i="14" s="1"/>
  <c r="CE7" i="14"/>
  <c r="CE6" i="14" s="1"/>
  <c r="CD7" i="14"/>
  <c r="CC7" i="14"/>
  <c r="CC6" i="14" s="1"/>
  <c r="CB7" i="14"/>
  <c r="CB6" i="14" s="1"/>
  <c r="CA7" i="14"/>
  <c r="CA6" i="14" s="1"/>
  <c r="BZ7" i="14"/>
  <c r="BY7" i="14"/>
  <c r="BY6" i="14" s="1"/>
  <c r="BX7" i="14"/>
  <c r="BX6" i="14" s="1"/>
  <c r="BW7" i="14"/>
  <c r="BW6" i="14" s="1"/>
  <c r="BV7" i="14"/>
  <c r="BU7" i="14"/>
  <c r="BU6" i="14" s="1"/>
  <c r="BT7" i="14"/>
  <c r="BT6" i="14" s="1"/>
  <c r="BS7" i="14"/>
  <c r="BS6" i="14" s="1"/>
  <c r="BR7" i="14"/>
  <c r="BQ7" i="14"/>
  <c r="BQ6" i="14" s="1"/>
  <c r="BP7" i="14"/>
  <c r="BP6" i="14" s="1"/>
  <c r="BO7" i="14"/>
  <c r="BO6" i="14" s="1"/>
  <c r="BN7" i="14"/>
  <c r="BN6" i="14" s="1"/>
  <c r="BM7" i="14"/>
  <c r="BM6" i="14" s="1"/>
  <c r="BL7" i="14"/>
  <c r="BL6" i="14" s="1"/>
  <c r="BK7" i="14"/>
  <c r="BK6" i="14" s="1"/>
  <c r="BJ7" i="14"/>
  <c r="BI7" i="14"/>
  <c r="BI6" i="14" s="1"/>
  <c r="BH7" i="14"/>
  <c r="BH6" i="14" s="1"/>
  <c r="BG7" i="14"/>
  <c r="BG6" i="14" s="1"/>
  <c r="BF7" i="14"/>
  <c r="BF6" i="14" s="1"/>
  <c r="BE7" i="14"/>
  <c r="BD7" i="14"/>
  <c r="BD6" i="14" s="1"/>
  <c r="BC7" i="14"/>
  <c r="BC6" i="14" s="1"/>
  <c r="BB7" i="14"/>
  <c r="BA7" i="14"/>
  <c r="BA6" i="14" s="1"/>
  <c r="AZ7" i="14"/>
  <c r="AZ6" i="14" s="1"/>
  <c r="AY7" i="14"/>
  <c r="AY6" i="14" s="1"/>
  <c r="AX7" i="14"/>
  <c r="AX6" i="14" s="1"/>
  <c r="AW7" i="14"/>
  <c r="AW6" i="14" s="1"/>
  <c r="AV7" i="14"/>
  <c r="AV6" i="14" s="1"/>
  <c r="AU7" i="14"/>
  <c r="AU6" i="14" s="1"/>
  <c r="AT7" i="14"/>
  <c r="AS7" i="14"/>
  <c r="AS6" i="14" s="1"/>
  <c r="AR7" i="14"/>
  <c r="AR6" i="14" s="1"/>
  <c r="AQ7" i="14"/>
  <c r="AQ6" i="14" s="1"/>
  <c r="AP7" i="14"/>
  <c r="AP6" i="14" s="1"/>
  <c r="AO7" i="14"/>
  <c r="AO6" i="14" s="1"/>
  <c r="AN7" i="14"/>
  <c r="AN6" i="14" s="1"/>
  <c r="AM7" i="14"/>
  <c r="AM6" i="14" s="1"/>
  <c r="AL7" i="14"/>
  <c r="AK7" i="14"/>
  <c r="AK6" i="14" s="1"/>
  <c r="AJ7" i="14"/>
  <c r="AJ6" i="14" s="1"/>
  <c r="AI7" i="14"/>
  <c r="AI6" i="14" s="1"/>
  <c r="AH7" i="14"/>
  <c r="AG7" i="14"/>
  <c r="AF7" i="14"/>
  <c r="AF6" i="14" s="1"/>
  <c r="AE7" i="14"/>
  <c r="AE6" i="14" s="1"/>
  <c r="AD7" i="14"/>
  <c r="AC7" i="14"/>
  <c r="AC6" i="14" s="1"/>
  <c r="AB7" i="14"/>
  <c r="AB6" i="14" s="1"/>
  <c r="AA7" i="14"/>
  <c r="Z7" i="14"/>
  <c r="Z6" i="14" s="1"/>
  <c r="Y7" i="14"/>
  <c r="Y6" i="14" s="1"/>
  <c r="X7" i="14"/>
  <c r="X6" i="14" s="1"/>
  <c r="W7" i="14"/>
  <c r="W6" i="14" s="1"/>
  <c r="V7" i="14"/>
  <c r="U7" i="14"/>
  <c r="U6" i="14" s="1"/>
  <c r="T7" i="14"/>
  <c r="T6" i="14" s="1"/>
  <c r="S7" i="14"/>
  <c r="S6" i="14" s="1"/>
  <c r="R7" i="14"/>
  <c r="Q7" i="14"/>
  <c r="Q6" i="14" s="1"/>
  <c r="P7" i="14"/>
  <c r="P6" i="14" s="1"/>
  <c r="O7" i="14"/>
  <c r="O6" i="14" s="1"/>
  <c r="N7" i="14"/>
  <c r="M7" i="14"/>
  <c r="M6" i="14" s="1"/>
  <c r="L7" i="14"/>
  <c r="L6" i="14" s="1"/>
  <c r="K7" i="14"/>
  <c r="K6" i="14" s="1"/>
  <c r="J7" i="14"/>
  <c r="I7" i="14"/>
  <c r="H7" i="14"/>
  <c r="H6" i="14" s="1"/>
  <c r="G7" i="14"/>
  <c r="FJ6" i="14"/>
  <c r="FF6" i="14"/>
  <c r="FB6" i="14"/>
  <c r="EW6" i="14"/>
  <c r="ET6" i="14"/>
  <c r="EP6" i="14"/>
  <c r="EL6" i="14"/>
  <c r="EH6" i="14"/>
  <c r="ED6" i="14"/>
  <c r="DY6" i="14"/>
  <c r="DV6" i="14"/>
  <c r="DN6" i="14"/>
  <c r="DI6" i="14"/>
  <c r="DF6" i="14"/>
  <c r="CX6" i="14"/>
  <c r="CT6" i="14"/>
  <c r="CP6" i="14"/>
  <c r="CH6" i="14"/>
  <c r="CD6" i="14"/>
  <c r="BZ6" i="14"/>
  <c r="BV6" i="14"/>
  <c r="BR6" i="14"/>
  <c r="BJ6" i="14"/>
  <c r="BE6" i="14"/>
  <c r="BB6" i="14"/>
  <c r="AT6" i="14"/>
  <c r="AL6" i="14"/>
  <c r="AH6" i="14"/>
  <c r="AG6" i="14"/>
  <c r="AD6" i="14"/>
  <c r="V6" i="14"/>
  <c r="R6" i="14"/>
  <c r="N6" i="14"/>
  <c r="J6" i="14"/>
  <c r="I6" i="14"/>
  <c r="E130" i="13" a="1"/>
  <c r="E130" i="13" s="1"/>
  <c r="E129" i="13" a="1"/>
  <c r="E129" i="13" s="1"/>
  <c r="E128" i="13" a="1"/>
  <c r="E128" i="13" s="1"/>
  <c r="E127" i="13" a="1"/>
  <c r="E127" i="13" s="1"/>
  <c r="E126" i="13" a="1"/>
  <c r="E126" i="13" s="1"/>
  <c r="E125" i="13" a="1"/>
  <c r="E125" i="13" s="1"/>
  <c r="E124" i="13" a="1"/>
  <c r="E124" i="13" s="1"/>
  <c r="E123" i="13" a="1"/>
  <c r="E123" i="13" s="1"/>
  <c r="E122" i="13" a="1"/>
  <c r="E122" i="13" s="1"/>
  <c r="E121" i="13" a="1"/>
  <c r="E121" i="13" s="1"/>
  <c r="E120" i="13" a="1"/>
  <c r="E120" i="13" s="1"/>
  <c r="E119" i="13" a="1"/>
  <c r="E119" i="13" s="1"/>
  <c r="E118" i="13" a="1"/>
  <c r="E118" i="13" s="1"/>
  <c r="E117" i="13" a="1"/>
  <c r="E117" i="13" s="1"/>
  <c r="E116" i="13" a="1"/>
  <c r="E116" i="13"/>
  <c r="E115" i="13" a="1"/>
  <c r="E115" i="13" s="1"/>
  <c r="E114" i="13" a="1"/>
  <c r="E114" i="13" s="1"/>
  <c r="E113" i="13" a="1"/>
  <c r="E113" i="13" s="1"/>
  <c r="E112" i="13" a="1"/>
  <c r="E112" i="13" s="1"/>
  <c r="E111" i="13" a="1"/>
  <c r="E111" i="13" s="1"/>
  <c r="E110" i="13" a="1"/>
  <c r="E110" i="13" s="1"/>
  <c r="E109" i="13" a="1"/>
  <c r="E109" i="13" s="1"/>
  <c r="E108" i="13" a="1"/>
  <c r="E108" i="13" s="1"/>
  <c r="E107" i="13" a="1"/>
  <c r="E107" i="13" s="1"/>
  <c r="E106" i="13" a="1"/>
  <c r="E106" i="13" s="1"/>
  <c r="E105" i="13" a="1"/>
  <c r="E105" i="13" s="1"/>
  <c r="BA104" i="13"/>
  <c r="E104" i="13" s="1" a="1"/>
  <c r="E104" i="13" s="1"/>
  <c r="BA103" i="13"/>
  <c r="E103" i="13" s="1" a="1"/>
  <c r="E103" i="13" s="1"/>
  <c r="BA102" i="13"/>
  <c r="E102" i="13" s="1" a="1"/>
  <c r="E102" i="13" s="1"/>
  <c r="E101" i="13" a="1"/>
  <c r="E101" i="13" s="1"/>
  <c r="E100" i="13" a="1"/>
  <c r="E100" i="13" s="1"/>
  <c r="E99" i="13" a="1"/>
  <c r="E99" i="13"/>
  <c r="E98" i="13" a="1"/>
  <c r="E98" i="13"/>
  <c r="E97" i="13" a="1"/>
  <c r="E97" i="13" s="1"/>
  <c r="E96" i="13" a="1"/>
  <c r="E96" i="13" s="1"/>
  <c r="E95" i="13" a="1"/>
  <c r="E95" i="13" s="1"/>
  <c r="E94" i="13" a="1"/>
  <c r="E94" i="13"/>
  <c r="E93" i="13" a="1"/>
  <c r="E93" i="13" s="1"/>
  <c r="E92" i="13" a="1"/>
  <c r="E92" i="13" s="1"/>
  <c r="E91" i="13" a="1"/>
  <c r="E91" i="13" s="1"/>
  <c r="E90" i="13" a="1"/>
  <c r="E90" i="13" s="1"/>
  <c r="C90" i="13" s="1"/>
  <c r="E89" i="13" a="1"/>
  <c r="E89" i="13" s="1"/>
  <c r="C89" i="13" s="1"/>
  <c r="E88" i="13" a="1"/>
  <c r="E88" i="13"/>
  <c r="C88" i="13" s="1"/>
  <c r="E87" i="13" a="1"/>
  <c r="E87" i="13" s="1"/>
  <c r="C87" i="13" s="1"/>
  <c r="E86" i="13" a="1"/>
  <c r="E86" i="13" s="1"/>
  <c r="C86" i="13" s="1"/>
  <c r="E85" i="13" a="1"/>
  <c r="E85" i="13" s="1"/>
  <c r="C85" i="13" s="1"/>
  <c r="E84" i="13" a="1"/>
  <c r="E84" i="13" s="1"/>
  <c r="C84" i="13" s="1"/>
  <c r="E83" i="13" a="1"/>
  <c r="E83" i="13" s="1"/>
  <c r="C83" i="13" s="1"/>
  <c r="E82" i="13" a="1"/>
  <c r="E82" i="13" s="1"/>
  <c r="C82" i="13" s="1"/>
  <c r="E81" i="13" a="1"/>
  <c r="E81" i="13" s="1"/>
  <c r="C81" i="13" s="1"/>
  <c r="E80" i="13" a="1"/>
  <c r="E80" i="13"/>
  <c r="C80" i="13" s="1"/>
  <c r="E79" i="13" a="1"/>
  <c r="E79" i="13" s="1"/>
  <c r="C79" i="13" s="1"/>
  <c r="E78" i="13" a="1"/>
  <c r="E78" i="13" s="1"/>
  <c r="C78" i="13" s="1"/>
  <c r="E77" i="13" a="1"/>
  <c r="E77" i="13" s="1"/>
  <c r="C77" i="13" s="1"/>
  <c r="E76" i="13" a="1"/>
  <c r="E76" i="13" s="1"/>
  <c r="C76" i="13" s="1"/>
  <c r="E75" i="13" a="1"/>
  <c r="E75" i="13" s="1"/>
  <c r="C75" i="13" s="1"/>
  <c r="E74" i="13" a="1"/>
  <c r="E74" i="13" s="1"/>
  <c r="E73" i="13" a="1"/>
  <c r="E73" i="13" s="1"/>
  <c r="E72" i="13" a="1"/>
  <c r="E72" i="13" s="1"/>
  <c r="C72" i="13" s="1"/>
  <c r="E71" i="13" a="1"/>
  <c r="E71" i="13" s="1"/>
  <c r="E70" i="13" a="1"/>
  <c r="E70" i="13"/>
  <c r="C70" i="13" s="1"/>
  <c r="E69" i="13" a="1"/>
  <c r="E69" i="13" s="1"/>
  <c r="C69" i="13" s="1"/>
  <c r="E68" i="13" a="1"/>
  <c r="E68" i="13" s="1"/>
  <c r="C68" i="13" s="1"/>
  <c r="E67" i="13" a="1"/>
  <c r="E67" i="13" s="1"/>
  <c r="C67" i="13" s="1"/>
  <c r="E66" i="13" a="1"/>
  <c r="E66" i="13" s="1"/>
  <c r="C66" i="13" s="1"/>
  <c r="E65" i="13" a="1"/>
  <c r="E65" i="13" s="1"/>
  <c r="E64" i="13" a="1"/>
  <c r="E64" i="13" s="1"/>
  <c r="C64" i="13" s="1"/>
  <c r="E63" i="13" a="1"/>
  <c r="E63" i="13" s="1"/>
  <c r="C63" i="13" s="1"/>
  <c r="E62" i="13" a="1"/>
  <c r="E62" i="13" s="1"/>
  <c r="E61" i="13" a="1"/>
  <c r="E61" i="13" s="1"/>
  <c r="C61" i="13" s="1"/>
  <c r="E60" i="13" a="1"/>
  <c r="E60" i="13" s="1"/>
  <c r="C60" i="13" s="1"/>
  <c r="E59" i="13" a="1"/>
  <c r="E59" i="13" s="1"/>
  <c r="C59" i="13" s="1"/>
  <c r="E58" i="13" a="1"/>
  <c r="E58" i="13"/>
  <c r="C58" i="13" s="1"/>
  <c r="E57" i="13" a="1"/>
  <c r="E57" i="13" s="1"/>
  <c r="C57" i="13" s="1"/>
  <c r="E56" i="13" a="1"/>
  <c r="E56" i="13" s="1"/>
  <c r="C56" i="13" s="1"/>
  <c r="E55" i="13" a="1"/>
  <c r="E55" i="13" s="1"/>
  <c r="C55" i="13" s="1"/>
  <c r="E54" i="13" a="1"/>
  <c r="E54" i="13"/>
  <c r="C54" i="13" s="1"/>
  <c r="E53" i="13" a="1"/>
  <c r="E53" i="13" s="1"/>
  <c r="C53" i="13" s="1"/>
  <c r="E52" i="13" a="1"/>
  <c r="E52" i="13" s="1"/>
  <c r="C52" i="13" s="1"/>
  <c r="E51" i="13" a="1"/>
  <c r="E51" i="13" s="1"/>
  <c r="C51" i="13" s="1"/>
  <c r="E50" i="13" a="1"/>
  <c r="E50" i="13" s="1"/>
  <c r="C50" i="13" s="1"/>
  <c r="E49" i="13" a="1"/>
  <c r="E49" i="13" s="1"/>
  <c r="C49" i="13" s="1"/>
  <c r="E48" i="13" a="1"/>
  <c r="E48" i="13" s="1"/>
  <c r="C48" i="13" s="1"/>
  <c r="E47" i="13" a="1"/>
  <c r="E47" i="13"/>
  <c r="C47" i="13" s="1"/>
  <c r="E46" i="13" a="1"/>
  <c r="E46" i="13"/>
  <c r="C46" i="13" s="1"/>
  <c r="E45" i="13" a="1"/>
  <c r="E45" i="13" s="1"/>
  <c r="C45" i="13" s="1"/>
  <c r="E44" i="13" a="1"/>
  <c r="E44" i="13" s="1"/>
  <c r="C44" i="13" s="1"/>
  <c r="E43" i="13" a="1"/>
  <c r="E43" i="13" s="1"/>
  <c r="C43" i="13" s="1"/>
  <c r="E42" i="13" a="1"/>
  <c r="E42" i="13" s="1"/>
  <c r="C42" i="13" s="1"/>
  <c r="E41" i="13" a="1"/>
  <c r="E41" i="13" s="1"/>
  <c r="C41" i="13"/>
  <c r="E40" i="13" a="1"/>
  <c r="E40" i="13"/>
  <c r="C40" i="13" s="1"/>
  <c r="E39" i="13" a="1"/>
  <c r="E39" i="13" s="1"/>
  <c r="C39" i="13" s="1"/>
  <c r="E38" i="13" a="1"/>
  <c r="E38" i="13" s="1"/>
  <c r="E37" i="13" a="1"/>
  <c r="E37" i="13" s="1"/>
  <c r="C37" i="13" s="1"/>
  <c r="E36" i="13" a="1"/>
  <c r="E36" i="13" s="1"/>
  <c r="C36" i="13" s="1"/>
  <c r="E35" i="13" a="1"/>
  <c r="E35" i="13" s="1"/>
  <c r="C35" i="13" s="1"/>
  <c r="E34" i="13" a="1"/>
  <c r="E34" i="13" s="1"/>
  <c r="C34" i="13" s="1"/>
  <c r="E33" i="13" a="1"/>
  <c r="E33" i="13" s="1"/>
  <c r="C33" i="13" s="1"/>
  <c r="E32" i="13" a="1"/>
  <c r="E32" i="13" s="1"/>
  <c r="C32" i="13" s="1"/>
  <c r="E31" i="13" a="1"/>
  <c r="E31" i="13" s="1"/>
  <c r="C31" i="13" s="1"/>
  <c r="E30" i="13" a="1"/>
  <c r="E30" i="13" s="1"/>
  <c r="C30" i="13" s="1"/>
  <c r="E29" i="13" a="1"/>
  <c r="E29" i="13" s="1"/>
  <c r="C29" i="13" s="1"/>
  <c r="E28" i="13" a="1"/>
  <c r="E28" i="13" s="1"/>
  <c r="C28" i="13" s="1"/>
  <c r="E27" i="13" a="1"/>
  <c r="E27" i="13" s="1"/>
  <c r="C27" i="13" s="1"/>
  <c r="E26" i="13" a="1"/>
  <c r="E26" i="13" s="1"/>
  <c r="E25" i="13" a="1"/>
  <c r="E25" i="13" s="1"/>
  <c r="C25" i="13"/>
  <c r="E24" i="13" a="1"/>
  <c r="E24" i="13"/>
  <c r="C24" i="13" s="1"/>
  <c r="E23" i="13" a="1"/>
  <c r="E23" i="13" s="1"/>
  <c r="C23" i="13" s="1"/>
  <c r="E22" i="13" a="1"/>
  <c r="E22" i="13" s="1"/>
  <c r="C22" i="13" s="1"/>
  <c r="E21" i="13" a="1"/>
  <c r="E21" i="13" s="1"/>
  <c r="C21" i="13" s="1"/>
  <c r="E20" i="13" a="1"/>
  <c r="E20" i="13" s="1"/>
  <c r="C20" i="13" s="1"/>
  <c r="E19" i="13" a="1"/>
  <c r="E19" i="13" s="1"/>
  <c r="C19" i="13" s="1"/>
  <c r="E18" i="13" a="1"/>
  <c r="E18" i="13" s="1"/>
  <c r="C18" i="13" s="1"/>
  <c r="E17" i="13" a="1"/>
  <c r="E17" i="13" s="1"/>
  <c r="C17" i="13" s="1"/>
  <c r="E16" i="13" a="1"/>
  <c r="E16" i="13" s="1"/>
  <c r="C16" i="13" s="1"/>
  <c r="E15" i="13" a="1"/>
  <c r="E15" i="13" s="1"/>
  <c r="C15" i="13" s="1"/>
  <c r="E14" i="13" a="1"/>
  <c r="E14" i="13" s="1"/>
  <c r="E13" i="13" a="1"/>
  <c r="E13" i="13" s="1"/>
  <c r="C13" i="13" s="1"/>
  <c r="E12" i="13" a="1"/>
  <c r="E12" i="13" s="1"/>
  <c r="C12" i="13" s="1"/>
  <c r="E11" i="13" a="1"/>
  <c r="E11" i="13" s="1"/>
  <c r="C11" i="13" s="1"/>
  <c r="E10" i="13" a="1"/>
  <c r="E10" i="13" s="1"/>
  <c r="C10" i="13" s="1"/>
  <c r="FT7" i="13"/>
  <c r="FT6" i="13" s="1"/>
  <c r="FS7" i="13"/>
  <c r="FR7" i="13"/>
  <c r="FR6" i="13" s="1"/>
  <c r="FQ7" i="13"/>
  <c r="FQ6" i="13" s="1"/>
  <c r="FP7" i="13"/>
  <c r="FP6" i="13" s="1"/>
  <c r="FO7" i="13"/>
  <c r="FN7" i="13"/>
  <c r="FN6" i="13" s="1"/>
  <c r="FM7" i="13"/>
  <c r="FM6" i="13" s="1"/>
  <c r="FL7" i="13"/>
  <c r="FL6" i="13" s="1"/>
  <c r="FK7" i="13"/>
  <c r="FK6" i="13" s="1"/>
  <c r="FJ7" i="13"/>
  <c r="FJ6" i="13" s="1"/>
  <c r="FI7" i="13"/>
  <c r="FI6" i="13" s="1"/>
  <c r="FH7" i="13"/>
  <c r="FH6" i="13" s="1"/>
  <c r="FG7" i="13"/>
  <c r="FG6" i="13" s="1"/>
  <c r="FF7" i="13"/>
  <c r="FF6" i="13" s="1"/>
  <c r="FE7" i="13"/>
  <c r="FD7" i="13"/>
  <c r="FD6" i="13" s="1"/>
  <c r="FC7" i="13"/>
  <c r="FB7" i="13"/>
  <c r="FB6" i="13" s="1"/>
  <c r="FA7" i="13"/>
  <c r="EZ7" i="13"/>
  <c r="EZ6" i="13" s="1"/>
  <c r="EY7" i="13"/>
  <c r="EY6" i="13" s="1"/>
  <c r="EX7" i="13"/>
  <c r="EW7" i="13"/>
  <c r="EV7" i="13"/>
  <c r="EV6" i="13" s="1"/>
  <c r="EU7" i="13"/>
  <c r="ET7" i="13"/>
  <c r="ET6" i="13" s="1"/>
  <c r="ES7" i="13"/>
  <c r="ES6" i="13" s="1"/>
  <c r="ER7" i="13"/>
  <c r="ER6" i="13" s="1"/>
  <c r="EQ7" i="13"/>
  <c r="EQ6" i="13" s="1"/>
  <c r="EP7" i="13"/>
  <c r="EP6" i="13" s="1"/>
  <c r="EO7" i="13"/>
  <c r="EO6" i="13" s="1"/>
  <c r="EN7" i="13"/>
  <c r="EN6" i="13" s="1"/>
  <c r="EM7" i="13"/>
  <c r="EL7" i="13"/>
  <c r="EL6" i="13" s="1"/>
  <c r="EK7" i="13"/>
  <c r="EJ7" i="13"/>
  <c r="EJ6" i="13" s="1"/>
  <c r="EI7" i="13"/>
  <c r="EI6" i="13" s="1"/>
  <c r="EH7" i="13"/>
  <c r="EH6" i="13" s="1"/>
  <c r="EG7" i="13"/>
  <c r="EG6" i="13" s="1"/>
  <c r="EF7" i="13"/>
  <c r="EF6" i="13" s="1"/>
  <c r="EE7" i="13"/>
  <c r="ED7" i="13"/>
  <c r="ED6" i="13" s="1"/>
  <c r="EC7" i="13"/>
  <c r="EC6" i="13" s="1"/>
  <c r="EB7" i="13"/>
  <c r="EB6" i="13" s="1"/>
  <c r="EA7" i="13"/>
  <c r="EA6" i="13" s="1"/>
  <c r="DZ7" i="13"/>
  <c r="DZ6" i="13" s="1"/>
  <c r="DY7" i="13"/>
  <c r="DX7" i="13"/>
  <c r="DX6" i="13" s="1"/>
  <c r="DW7" i="13"/>
  <c r="DV7" i="13"/>
  <c r="DV6" i="13" s="1"/>
  <c r="DU7" i="13"/>
  <c r="DT7" i="13"/>
  <c r="DT6" i="13" s="1"/>
  <c r="DS7" i="13"/>
  <c r="DS6" i="13" s="1"/>
  <c r="DR7" i="13"/>
  <c r="DR6" i="13" s="1"/>
  <c r="DQ7" i="13"/>
  <c r="DQ6" i="13" s="1"/>
  <c r="DP7" i="13"/>
  <c r="DP6" i="13" s="1"/>
  <c r="DO7" i="13"/>
  <c r="DN7" i="13"/>
  <c r="DN6" i="13" s="1"/>
  <c r="DM7" i="13"/>
  <c r="DM6" i="13" s="1"/>
  <c r="DL7" i="13"/>
  <c r="DL6" i="13" s="1"/>
  <c r="DK7" i="13"/>
  <c r="DK6" i="13" s="1"/>
  <c r="DJ7" i="13"/>
  <c r="DJ6" i="13" s="1"/>
  <c r="DI7" i="13"/>
  <c r="DI6" i="13" s="1"/>
  <c r="DH7" i="13"/>
  <c r="DH6" i="13" s="1"/>
  <c r="DG7" i="13"/>
  <c r="DF7" i="13"/>
  <c r="DF6" i="13" s="1"/>
  <c r="DE7" i="13"/>
  <c r="DD7" i="13"/>
  <c r="DD6" i="13" s="1"/>
  <c r="DC7" i="13"/>
  <c r="DC6" i="13" s="1"/>
  <c r="DB7" i="13"/>
  <c r="DB6" i="13" s="1"/>
  <c r="DA7" i="13"/>
  <c r="DA6" i="13" s="1"/>
  <c r="CZ7" i="13"/>
  <c r="CZ6" i="13" s="1"/>
  <c r="CY7" i="13"/>
  <c r="CY6" i="13" s="1"/>
  <c r="CX7" i="13"/>
  <c r="CX6" i="13" s="1"/>
  <c r="CW7" i="13"/>
  <c r="CW6" i="13" s="1"/>
  <c r="CV7" i="13"/>
  <c r="CV6" i="13" s="1"/>
  <c r="CU7" i="13"/>
  <c r="CU6" i="13" s="1"/>
  <c r="CT7" i="13"/>
  <c r="CT6" i="13" s="1"/>
  <c r="CS7" i="13"/>
  <c r="CS6" i="13" s="1"/>
  <c r="CR7" i="13"/>
  <c r="CR6" i="13" s="1"/>
  <c r="CQ7" i="13"/>
  <c r="CP7" i="13"/>
  <c r="CP6" i="13" s="1"/>
  <c r="CO7" i="13"/>
  <c r="CO6" i="13" s="1"/>
  <c r="CN7" i="13"/>
  <c r="CN6" i="13" s="1"/>
  <c r="CM7" i="13"/>
  <c r="CL7" i="13"/>
  <c r="CL6" i="13" s="1"/>
  <c r="CK7" i="13"/>
  <c r="CJ7" i="13"/>
  <c r="CJ6" i="13" s="1"/>
  <c r="CI7" i="13"/>
  <c r="CH7" i="13"/>
  <c r="CH6" i="13" s="1"/>
  <c r="CG7" i="13"/>
  <c r="CG6" i="13" s="1"/>
  <c r="CF7" i="13"/>
  <c r="CF6" i="13" s="1"/>
  <c r="CE7" i="13"/>
  <c r="CE6" i="13" s="1"/>
  <c r="CD7" i="13"/>
  <c r="CD6" i="13" s="1"/>
  <c r="CC7" i="13"/>
  <c r="CC6" i="13" s="1"/>
  <c r="CB7" i="13"/>
  <c r="CB6" i="13" s="1"/>
  <c r="CA7" i="13"/>
  <c r="BZ7" i="13"/>
  <c r="BZ6" i="13" s="1"/>
  <c r="BY7" i="13"/>
  <c r="BY6" i="13" s="1"/>
  <c r="BX7" i="13"/>
  <c r="BX6" i="13" s="1"/>
  <c r="BW7" i="13"/>
  <c r="BV7" i="13"/>
  <c r="BV6" i="13" s="1"/>
  <c r="BU7" i="13"/>
  <c r="BU6" i="13" s="1"/>
  <c r="BT7" i="13"/>
  <c r="BT6" i="13" s="1"/>
  <c r="BS7" i="13"/>
  <c r="BS6" i="13" s="1"/>
  <c r="BR7" i="13"/>
  <c r="BR6" i="13" s="1"/>
  <c r="BQ7" i="13"/>
  <c r="BQ6" i="13" s="1"/>
  <c r="BP7" i="13"/>
  <c r="BP6" i="13" s="1"/>
  <c r="BO7" i="13"/>
  <c r="BO6" i="13" s="1"/>
  <c r="BN7" i="13"/>
  <c r="BN6" i="13" s="1"/>
  <c r="BM7" i="13"/>
  <c r="BM6" i="13" s="1"/>
  <c r="BL7" i="13"/>
  <c r="BL6" i="13" s="1"/>
  <c r="BK7" i="13"/>
  <c r="BJ7" i="13"/>
  <c r="BJ6" i="13" s="1"/>
  <c r="BI7" i="13"/>
  <c r="BI6" i="13" s="1"/>
  <c r="BH7" i="13"/>
  <c r="BH6" i="13" s="1"/>
  <c r="BG7" i="13"/>
  <c r="BG6" i="13" s="1"/>
  <c r="BF7" i="13"/>
  <c r="BE7" i="13"/>
  <c r="BE6" i="13" s="1"/>
  <c r="BD7" i="13"/>
  <c r="BD6" i="13" s="1"/>
  <c r="BC7" i="13"/>
  <c r="BB7" i="13"/>
  <c r="BB6" i="13" s="1"/>
  <c r="BA7" i="13"/>
  <c r="BA6" i="13" s="1"/>
  <c r="AZ7" i="13"/>
  <c r="AZ6" i="13" s="1"/>
  <c r="AY7" i="13"/>
  <c r="AX7" i="13"/>
  <c r="AX6" i="13" s="1"/>
  <c r="AW7" i="13"/>
  <c r="AW6" i="13" s="1"/>
  <c r="AV7" i="13"/>
  <c r="AV6" i="13" s="1"/>
  <c r="AU7" i="13"/>
  <c r="AT7" i="13"/>
  <c r="AT6" i="13" s="1"/>
  <c r="AS7" i="13"/>
  <c r="AS6" i="13" s="1"/>
  <c r="AR7" i="13"/>
  <c r="AR6" i="13" s="1"/>
  <c r="AQ7" i="13"/>
  <c r="AQ6" i="13" s="1"/>
  <c r="AP7" i="13"/>
  <c r="AP6" i="13" s="1"/>
  <c r="AO7" i="13"/>
  <c r="AO6" i="13" s="1"/>
  <c r="AN7" i="13"/>
  <c r="AN6" i="13" s="1"/>
  <c r="AM7" i="13"/>
  <c r="AM6" i="13" s="1"/>
  <c r="AL7" i="13"/>
  <c r="AL6" i="13" s="1"/>
  <c r="AK7" i="13"/>
  <c r="AJ7" i="13"/>
  <c r="AJ6" i="13" s="1"/>
  <c r="AI7" i="13"/>
  <c r="AI6" i="13" s="1"/>
  <c r="AH7" i="13"/>
  <c r="AH6" i="13" s="1"/>
  <c r="AG7" i="13"/>
  <c r="AG6" i="13" s="1"/>
  <c r="AF7" i="13"/>
  <c r="AF6" i="13" s="1"/>
  <c r="AE7" i="13"/>
  <c r="AD7" i="13"/>
  <c r="AC7" i="13"/>
  <c r="AB7" i="13"/>
  <c r="AB6" i="13" s="1"/>
  <c r="Z7" i="13"/>
  <c r="Z6" i="13" s="1"/>
  <c r="Y7" i="13"/>
  <c r="Y6" i="13" s="1"/>
  <c r="X7" i="13"/>
  <c r="W7" i="13"/>
  <c r="V7" i="13"/>
  <c r="V6" i="13" s="1"/>
  <c r="U7" i="13"/>
  <c r="U6" i="13" s="1"/>
  <c r="T7" i="13"/>
  <c r="T6" i="13" s="1"/>
  <c r="S7" i="13"/>
  <c r="S6" i="13" s="1"/>
  <c r="R7" i="13"/>
  <c r="R6" i="13" s="1"/>
  <c r="Q7" i="13"/>
  <c r="Q6" i="13" s="1"/>
  <c r="P7" i="13"/>
  <c r="P6" i="13" s="1"/>
  <c r="O7" i="13"/>
  <c r="O6" i="13" s="1"/>
  <c r="N7" i="13"/>
  <c r="M7" i="13"/>
  <c r="M6" i="13" s="1"/>
  <c r="L7" i="13"/>
  <c r="L6" i="13" s="1"/>
  <c r="K7" i="13"/>
  <c r="J7" i="13"/>
  <c r="J6" i="13" s="1"/>
  <c r="I7" i="13"/>
  <c r="I6" i="13" s="1"/>
  <c r="H7" i="13"/>
  <c r="G7" i="13"/>
  <c r="FS6" i="13"/>
  <c r="FO6" i="13"/>
  <c r="FE6" i="13"/>
  <c r="FC6" i="13"/>
  <c r="FA6" i="13"/>
  <c r="EX6" i="13"/>
  <c r="EW6" i="13"/>
  <c r="EU6" i="13"/>
  <c r="EM6" i="13"/>
  <c r="EK6" i="13"/>
  <c r="EE6" i="13"/>
  <c r="DY6" i="13"/>
  <c r="DW6" i="13"/>
  <c r="DU6" i="13"/>
  <c r="DO6" i="13"/>
  <c r="DG6" i="13"/>
  <c r="DE6" i="13"/>
  <c r="CQ6" i="13"/>
  <c r="CM6" i="13"/>
  <c r="CK6" i="13"/>
  <c r="CI6" i="13"/>
  <c r="CA6" i="13"/>
  <c r="BW6" i="13"/>
  <c r="BK6" i="13"/>
  <c r="BF6" i="13"/>
  <c r="BC6" i="13"/>
  <c r="AY6" i="13"/>
  <c r="AU6" i="13"/>
  <c r="AK6" i="13"/>
  <c r="AE6" i="13"/>
  <c r="AA6" i="13"/>
  <c r="X6" i="13"/>
  <c r="W6" i="13"/>
  <c r="N6" i="13"/>
  <c r="K6" i="13"/>
  <c r="H6" i="13"/>
  <c r="E65" i="12" a="1"/>
  <c r="E65" i="12" s="1"/>
  <c r="C65" i="12" s="1"/>
  <c r="E64" i="12" a="1"/>
  <c r="E64" i="12" s="1"/>
  <c r="C64" i="12" s="1"/>
  <c r="E63" i="12" a="1"/>
  <c r="E63" i="12" s="1"/>
  <c r="C63" i="12" s="1"/>
  <c r="E62" i="12" a="1"/>
  <c r="E62" i="12" s="1"/>
  <c r="C62" i="12" s="1"/>
  <c r="E61" i="12" a="1"/>
  <c r="E61" i="12" s="1"/>
  <c r="C61" i="12" s="1"/>
  <c r="E60" i="12" a="1"/>
  <c r="E60" i="12" s="1"/>
  <c r="C60" i="12" s="1"/>
  <c r="E59" i="12" a="1"/>
  <c r="E59" i="12" s="1"/>
  <c r="C59" i="12" s="1"/>
  <c r="E58" i="12" a="1"/>
  <c r="E58" i="12" s="1"/>
  <c r="C58" i="12" s="1"/>
  <c r="E57" i="12" a="1"/>
  <c r="E57" i="12" s="1"/>
  <c r="C57" i="12" s="1"/>
  <c r="E56" i="12" a="1"/>
  <c r="E56" i="12"/>
  <c r="C56" i="12" s="1"/>
  <c r="E55" i="12" a="1"/>
  <c r="E55" i="12" s="1"/>
  <c r="C55" i="12"/>
  <c r="E54" i="12" a="1"/>
  <c r="E54" i="12" s="1"/>
  <c r="C54" i="12" s="1"/>
  <c r="E53" i="12" a="1"/>
  <c r="E53" i="12" s="1"/>
  <c r="C53" i="12" s="1"/>
  <c r="E52" i="12" a="1"/>
  <c r="E52" i="12" s="1"/>
  <c r="C52" i="12" s="1"/>
  <c r="E51" i="12" a="1"/>
  <c r="E51" i="12" s="1"/>
  <c r="C51" i="12" s="1"/>
  <c r="E50" i="12" a="1"/>
  <c r="E50" i="12" s="1"/>
  <c r="C50" i="12" s="1"/>
  <c r="E49" i="12" a="1"/>
  <c r="E49" i="12" s="1"/>
  <c r="C49" i="12" s="1"/>
  <c r="E48" i="12" a="1"/>
  <c r="E48" i="12" s="1"/>
  <c r="C48" i="12" s="1"/>
  <c r="E47" i="12" a="1"/>
  <c r="E47" i="12" s="1"/>
  <c r="C47" i="12" s="1"/>
  <c r="E46" i="12" a="1"/>
  <c r="E46" i="12"/>
  <c r="C46" i="12" s="1"/>
  <c r="E45" i="12" a="1"/>
  <c r="E45" i="12" s="1"/>
  <c r="C45" i="12" s="1"/>
  <c r="E44" i="12" a="1"/>
  <c r="E44" i="12" s="1"/>
  <c r="C44" i="12" s="1"/>
  <c r="E43" i="12" a="1"/>
  <c r="E43" i="12" s="1"/>
  <c r="C43" i="12" s="1"/>
  <c r="E42" i="12" a="1"/>
  <c r="E42" i="12" s="1"/>
  <c r="C42" i="12" s="1"/>
  <c r="E41" i="12" a="1"/>
  <c r="E41" i="12" s="1"/>
  <c r="C41" i="12" s="1"/>
  <c r="E40" i="12" a="1"/>
  <c r="E40" i="12" s="1"/>
  <c r="C40" i="12" s="1"/>
  <c r="E39" i="12" a="1"/>
  <c r="E39" i="12" s="1"/>
  <c r="C39" i="12"/>
  <c r="E38" i="12" a="1"/>
  <c r="E38" i="12" s="1"/>
  <c r="C38" i="12" s="1"/>
  <c r="E37" i="12" a="1"/>
  <c r="E37" i="12" s="1"/>
  <c r="C37" i="12" s="1"/>
  <c r="E36" i="12" a="1"/>
  <c r="E36" i="12" s="1"/>
  <c r="E35" i="12" a="1"/>
  <c r="E35" i="12" s="1"/>
  <c r="C35" i="12" s="1"/>
  <c r="E34" i="12" a="1"/>
  <c r="E34" i="12"/>
  <c r="C34" i="12" s="1"/>
  <c r="E33" i="12" a="1"/>
  <c r="E33" i="12" s="1"/>
  <c r="E32" i="12" a="1"/>
  <c r="E32" i="12" s="1"/>
  <c r="C32" i="12" s="1"/>
  <c r="E31" i="12" a="1"/>
  <c r="E31" i="12" s="1"/>
  <c r="C31" i="12" s="1"/>
  <c r="E30" i="12" a="1"/>
  <c r="E30" i="12" s="1"/>
  <c r="E29" i="12" a="1"/>
  <c r="E29" i="12" s="1"/>
  <c r="C29" i="12" s="1"/>
  <c r="E28" i="12" a="1"/>
  <c r="E28" i="12" s="1"/>
  <c r="C28" i="12" s="1"/>
  <c r="E27" i="12" a="1"/>
  <c r="E27" i="12" s="1"/>
  <c r="C27" i="12" s="1"/>
  <c r="E26" i="12" a="1"/>
  <c r="E26" i="12" s="1"/>
  <c r="E25" i="12" a="1"/>
  <c r="E25" i="12" s="1"/>
  <c r="C25" i="12" s="1"/>
  <c r="E24" i="12" a="1"/>
  <c r="E24" i="12"/>
  <c r="C24" i="12" s="1"/>
  <c r="E23" i="12" a="1"/>
  <c r="E23" i="12" s="1"/>
  <c r="C23" i="12" s="1"/>
  <c r="E22" i="12" a="1"/>
  <c r="E22" i="12" s="1"/>
  <c r="E21" i="12" a="1"/>
  <c r="E21" i="12"/>
  <c r="C21" i="12" s="1"/>
  <c r="E20" i="12" a="1"/>
  <c r="E20" i="12"/>
  <c r="E19" i="12" a="1"/>
  <c r="E19" i="12" s="1"/>
  <c r="C19" i="12" s="1"/>
  <c r="E18" i="12" a="1"/>
  <c r="E18" i="12" s="1"/>
  <c r="C18" i="12" s="1"/>
  <c r="E17" i="12" a="1"/>
  <c r="E17" i="12" s="1"/>
  <c r="C17" i="12" s="1"/>
  <c r="E16" i="12" a="1"/>
  <c r="E16" i="12" s="1"/>
  <c r="E15" i="12" a="1"/>
  <c r="E15" i="12" s="1"/>
  <c r="E14" i="12" a="1"/>
  <c r="E14" i="12" s="1"/>
  <c r="C14" i="12" s="1"/>
  <c r="E13" i="12" a="1"/>
  <c r="E13" i="12" s="1"/>
  <c r="E12" i="12" a="1"/>
  <c r="E12" i="12" s="1"/>
  <c r="C12" i="12" s="1"/>
  <c r="E11" i="12" a="1"/>
  <c r="E11" i="12" s="1"/>
  <c r="E10" i="12" a="1"/>
  <c r="E10" i="12" s="1"/>
  <c r="FT7" i="12"/>
  <c r="FT6" i="12" s="1"/>
  <c r="FS7" i="12"/>
  <c r="FR7" i="12"/>
  <c r="FR6" i="12" s="1"/>
  <c r="FQ7" i="12"/>
  <c r="FP7" i="12"/>
  <c r="FP6" i="12" s="1"/>
  <c r="FO7" i="12"/>
  <c r="FO6" i="12" s="1"/>
  <c r="FN7" i="12"/>
  <c r="FN6" i="12" s="1"/>
  <c r="FM7" i="12"/>
  <c r="FL7" i="12"/>
  <c r="FL6" i="12" s="1"/>
  <c r="FK7" i="12"/>
  <c r="FJ7" i="12"/>
  <c r="FJ6" i="12" s="1"/>
  <c r="FI7" i="12"/>
  <c r="FH7" i="12"/>
  <c r="FH6" i="12" s="1"/>
  <c r="FG7" i="12"/>
  <c r="FG6" i="12" s="1"/>
  <c r="FF7" i="12"/>
  <c r="FF6" i="12" s="1"/>
  <c r="FE7" i="12"/>
  <c r="FD7" i="12"/>
  <c r="FD6" i="12" s="1"/>
  <c r="FC7" i="12"/>
  <c r="FB7" i="12"/>
  <c r="FB6" i="12" s="1"/>
  <c r="FA7" i="12"/>
  <c r="FA6" i="12" s="1"/>
  <c r="EZ7" i="12"/>
  <c r="EZ6" i="12" s="1"/>
  <c r="EY7" i="12"/>
  <c r="EY6" i="12" s="1"/>
  <c r="EX7" i="12"/>
  <c r="EX6" i="12" s="1"/>
  <c r="EW7" i="12"/>
  <c r="EV7" i="12"/>
  <c r="EV6" i="12" s="1"/>
  <c r="EU7" i="12"/>
  <c r="ET7" i="12"/>
  <c r="ET6" i="12" s="1"/>
  <c r="ES7" i="12"/>
  <c r="ER7" i="12"/>
  <c r="EQ7" i="12"/>
  <c r="EQ6" i="12" s="1"/>
  <c r="EP7" i="12"/>
  <c r="EP6" i="12" s="1"/>
  <c r="EO7" i="12"/>
  <c r="EO6" i="12" s="1"/>
  <c r="EN7" i="12"/>
  <c r="EN6" i="12" s="1"/>
  <c r="EM7" i="12"/>
  <c r="EL7" i="12"/>
  <c r="EL6" i="12" s="1"/>
  <c r="EK7" i="12"/>
  <c r="EJ7" i="12"/>
  <c r="EJ6" i="12" s="1"/>
  <c r="EI7" i="12"/>
  <c r="EI6" i="12" s="1"/>
  <c r="EH7" i="12"/>
  <c r="EH6" i="12" s="1"/>
  <c r="EG7" i="12"/>
  <c r="EF7" i="12"/>
  <c r="EF6" i="12" s="1"/>
  <c r="EE7" i="12"/>
  <c r="ED7" i="12"/>
  <c r="ED6" i="12" s="1"/>
  <c r="EC7" i="12"/>
  <c r="EB7" i="12"/>
  <c r="EB6" i="12" s="1"/>
  <c r="EA7" i="12"/>
  <c r="DZ7" i="12"/>
  <c r="DZ6" i="12" s="1"/>
  <c r="DY7" i="12"/>
  <c r="DY6" i="12" s="1"/>
  <c r="DX7" i="12"/>
  <c r="DX6" i="12" s="1"/>
  <c r="DW7" i="12"/>
  <c r="DV7" i="12"/>
  <c r="DV6" i="12" s="1"/>
  <c r="DU7" i="12"/>
  <c r="DU6" i="12" s="1"/>
  <c r="DT7" i="12"/>
  <c r="DT6" i="12" s="1"/>
  <c r="DS7" i="12"/>
  <c r="DS6" i="12" s="1"/>
  <c r="DR7" i="12"/>
  <c r="DR6" i="12" s="1"/>
  <c r="DQ7" i="12"/>
  <c r="DP7" i="12"/>
  <c r="DO7" i="12"/>
  <c r="DN7" i="12"/>
  <c r="DN6" i="12" s="1"/>
  <c r="DM7" i="12"/>
  <c r="DL7" i="12"/>
  <c r="DL6" i="12" s="1"/>
  <c r="DK7" i="12"/>
  <c r="DK6" i="12" s="1"/>
  <c r="DJ7" i="12"/>
  <c r="DJ6" i="12" s="1"/>
  <c r="DI7" i="12"/>
  <c r="DI6" i="12" s="1"/>
  <c r="DH7" i="12"/>
  <c r="DH6" i="12" s="1"/>
  <c r="DG7" i="12"/>
  <c r="DF7" i="12"/>
  <c r="DF6" i="12" s="1"/>
  <c r="DE7" i="12"/>
  <c r="DD7" i="12"/>
  <c r="DD6" i="12" s="1"/>
  <c r="DC7" i="12"/>
  <c r="DC6" i="12" s="1"/>
  <c r="DB7" i="12"/>
  <c r="DB6" i="12" s="1"/>
  <c r="DA7" i="12"/>
  <c r="CZ7" i="12"/>
  <c r="CZ6" i="12" s="1"/>
  <c r="CY7" i="12"/>
  <c r="CX7" i="12"/>
  <c r="CX6" i="12" s="1"/>
  <c r="CW7" i="12"/>
  <c r="CW6" i="12" s="1"/>
  <c r="CV7" i="12"/>
  <c r="CV6" i="12" s="1"/>
  <c r="CU7" i="12"/>
  <c r="CT7" i="12"/>
  <c r="CT6" i="12" s="1"/>
  <c r="CS7" i="12"/>
  <c r="CS6" i="12" s="1"/>
  <c r="CR7" i="12"/>
  <c r="CR6" i="12" s="1"/>
  <c r="CQ7" i="12"/>
  <c r="CP7" i="12"/>
  <c r="CP6" i="12" s="1"/>
  <c r="CO7" i="12"/>
  <c r="CN7" i="12"/>
  <c r="CN6" i="12" s="1"/>
  <c r="CM7" i="12"/>
  <c r="CM6" i="12" s="1"/>
  <c r="CL7" i="12"/>
  <c r="CL6" i="12" s="1"/>
  <c r="CK7" i="12"/>
  <c r="CJ7" i="12"/>
  <c r="CI7" i="12"/>
  <c r="CH7" i="12"/>
  <c r="CH6" i="12" s="1"/>
  <c r="CG7" i="12"/>
  <c r="CG6" i="12" s="1"/>
  <c r="CF7" i="12"/>
  <c r="CF6" i="12" s="1"/>
  <c r="CE7" i="12"/>
  <c r="CE6" i="12" s="1"/>
  <c r="CD7" i="12"/>
  <c r="CD6" i="12" s="1"/>
  <c r="CC7" i="12"/>
  <c r="CC6" i="12" s="1"/>
  <c r="CB7" i="12"/>
  <c r="CB6" i="12" s="1"/>
  <c r="CA7" i="12"/>
  <c r="BZ7" i="12"/>
  <c r="BZ6" i="12" s="1"/>
  <c r="BY7" i="12"/>
  <c r="BY6" i="12" s="1"/>
  <c r="BX7" i="12"/>
  <c r="BX6" i="12" s="1"/>
  <c r="BW7" i="12"/>
  <c r="BW6" i="12" s="1"/>
  <c r="BV7" i="12"/>
  <c r="BV6" i="12" s="1"/>
  <c r="BU7" i="12"/>
  <c r="BT7" i="12"/>
  <c r="BT6" i="12" s="1"/>
  <c r="BS7" i="12"/>
  <c r="BR7" i="12"/>
  <c r="BR6" i="12" s="1"/>
  <c r="BQ7" i="12"/>
  <c r="BQ6" i="12" s="1"/>
  <c r="BP7" i="12"/>
  <c r="BO7" i="12"/>
  <c r="BN7" i="12"/>
  <c r="BN6" i="12" s="1"/>
  <c r="BM7" i="12"/>
  <c r="BM6" i="12" s="1"/>
  <c r="BL7" i="12"/>
  <c r="BL6" i="12" s="1"/>
  <c r="BK7" i="12"/>
  <c r="BK6" i="12" s="1"/>
  <c r="BJ7" i="12"/>
  <c r="BJ6" i="12" s="1"/>
  <c r="BI7" i="12"/>
  <c r="BH7" i="12"/>
  <c r="BH6" i="12" s="1"/>
  <c r="BG7" i="12"/>
  <c r="BG6" i="12" s="1"/>
  <c r="BF7" i="12"/>
  <c r="BF6" i="12" s="1"/>
  <c r="BE7" i="12"/>
  <c r="BD7" i="12"/>
  <c r="BC7" i="12"/>
  <c r="BB7" i="12"/>
  <c r="BB6" i="12" s="1"/>
  <c r="BA7" i="12"/>
  <c r="BA6" i="12" s="1"/>
  <c r="AZ7" i="12"/>
  <c r="AY7" i="12"/>
  <c r="AY6" i="12" s="1"/>
  <c r="AX7" i="12"/>
  <c r="AX6" i="12" s="1"/>
  <c r="AW7" i="12"/>
  <c r="AW6" i="12" s="1"/>
  <c r="AV7" i="12"/>
  <c r="AV6" i="12" s="1"/>
  <c r="AU7" i="12"/>
  <c r="AU6" i="12" s="1"/>
  <c r="AT7" i="12"/>
  <c r="AT6" i="12" s="1"/>
  <c r="AS7" i="12"/>
  <c r="AS6" i="12" s="1"/>
  <c r="AR7" i="12"/>
  <c r="AR6" i="12" s="1"/>
  <c r="AQ7" i="12"/>
  <c r="AQ6" i="12" s="1"/>
  <c r="AP7" i="12"/>
  <c r="AP6" i="12" s="1"/>
  <c r="AO7" i="12"/>
  <c r="AN7" i="12"/>
  <c r="AM7" i="12"/>
  <c r="AL7" i="12"/>
  <c r="AL6" i="12" s="1"/>
  <c r="AK7" i="12"/>
  <c r="AJ7" i="12"/>
  <c r="AJ6" i="12" s="1"/>
  <c r="AI7" i="12"/>
  <c r="AI6" i="12" s="1"/>
  <c r="AH7" i="12"/>
  <c r="AH6" i="12" s="1"/>
  <c r="AG7" i="12"/>
  <c r="AF7" i="12"/>
  <c r="AF6" i="12" s="1"/>
  <c r="AE7" i="12"/>
  <c r="AD7" i="12"/>
  <c r="AC7" i="12"/>
  <c r="AB7" i="12"/>
  <c r="AB6" i="12" s="1"/>
  <c r="Z7" i="12"/>
  <c r="Z6" i="12" s="1"/>
  <c r="Y7" i="12"/>
  <c r="Y6" i="12" s="1"/>
  <c r="X7" i="12"/>
  <c r="X6" i="12" s="1"/>
  <c r="W7" i="12"/>
  <c r="W6" i="12" s="1"/>
  <c r="V7" i="12"/>
  <c r="V6" i="12" s="1"/>
  <c r="U7" i="12"/>
  <c r="U6" i="12" s="1"/>
  <c r="T7" i="12"/>
  <c r="S7" i="12"/>
  <c r="S6" i="12" s="1"/>
  <c r="R7" i="12"/>
  <c r="R6" i="12" s="1"/>
  <c r="Q7" i="12"/>
  <c r="Q6" i="12" s="1"/>
  <c r="P7" i="12"/>
  <c r="O7" i="12"/>
  <c r="N7" i="12"/>
  <c r="M7" i="12"/>
  <c r="M6" i="12" s="1"/>
  <c r="L7" i="12"/>
  <c r="L6" i="12" s="1"/>
  <c r="K7" i="12"/>
  <c r="K6" i="12" s="1"/>
  <c r="J7" i="12"/>
  <c r="J6" i="12" s="1"/>
  <c r="I7" i="12"/>
  <c r="I6" i="12" s="1"/>
  <c r="H7" i="12"/>
  <c r="G7" i="12"/>
  <c r="FS6" i="12"/>
  <c r="FQ6" i="12"/>
  <c r="FM6" i="12"/>
  <c r="FK6" i="12"/>
  <c r="FI6" i="12"/>
  <c r="FE6" i="12"/>
  <c r="FC6" i="12"/>
  <c r="EW6" i="12"/>
  <c r="EU6" i="12"/>
  <c r="ES6" i="12"/>
  <c r="ER6" i="12"/>
  <c r="EM6" i="12"/>
  <c r="EK6" i="12"/>
  <c r="EG6" i="12"/>
  <c r="EE6" i="12"/>
  <c r="EC6" i="12"/>
  <c r="EA6" i="12"/>
  <c r="DW6" i="12"/>
  <c r="DQ6" i="12"/>
  <c r="DP6" i="12"/>
  <c r="DO6" i="12"/>
  <c r="DM6" i="12"/>
  <c r="DG6" i="12"/>
  <c r="DE6" i="12"/>
  <c r="DA6" i="12"/>
  <c r="CY6" i="12"/>
  <c r="CU6" i="12"/>
  <c r="CQ6" i="12"/>
  <c r="CO6" i="12"/>
  <c r="CK6" i="12"/>
  <c r="CJ6" i="12"/>
  <c r="CI6" i="12"/>
  <c r="CA6" i="12"/>
  <c r="BU6" i="12"/>
  <c r="BS6" i="12"/>
  <c r="BP6" i="12"/>
  <c r="BO6" i="12"/>
  <c r="BI6" i="12"/>
  <c r="BE6" i="12"/>
  <c r="BD6" i="12"/>
  <c r="BC6" i="12"/>
  <c r="AZ6" i="12"/>
  <c r="AO6" i="12"/>
  <c r="AN6" i="12"/>
  <c r="AM6" i="12"/>
  <c r="AK6" i="12"/>
  <c r="AG6" i="12"/>
  <c r="AE6" i="12"/>
  <c r="AA6" i="12"/>
  <c r="T6" i="12"/>
  <c r="P6" i="12"/>
  <c r="O6" i="12"/>
  <c r="N6" i="12"/>
  <c r="H6" i="12"/>
  <c r="E18" i="11"/>
  <c r="E17" i="11"/>
  <c r="E16" i="11"/>
  <c r="C16" i="11" s="1"/>
  <c r="E15" i="11"/>
  <c r="C15" i="11"/>
  <c r="E14" i="11"/>
  <c r="C14" i="11" s="1"/>
  <c r="E13" i="11"/>
  <c r="C13" i="11" s="1"/>
  <c r="E12" i="11"/>
  <c r="C12" i="11" s="1"/>
  <c r="E11" i="11"/>
  <c r="C11" i="11" s="1"/>
  <c r="E10" i="11"/>
  <c r="C10" i="11" s="1"/>
  <c r="O9" i="11"/>
  <c r="N9" i="11"/>
  <c r="M9" i="11"/>
  <c r="M7" i="11" s="1"/>
  <c r="L9" i="11"/>
  <c r="L7" i="11" s="1"/>
  <c r="K9" i="11"/>
  <c r="K7" i="11" s="1"/>
  <c r="J9" i="11"/>
  <c r="J7" i="11" s="1"/>
  <c r="I9" i="11"/>
  <c r="H9" i="11"/>
  <c r="FT7" i="11"/>
  <c r="FS7" i="11"/>
  <c r="FS6" i="11" s="1"/>
  <c r="FR7" i="11"/>
  <c r="FR6" i="11" s="1"/>
  <c r="FQ7" i="11"/>
  <c r="FP7" i="11"/>
  <c r="FP6" i="11" s="1"/>
  <c r="FO7" i="11"/>
  <c r="FO6" i="11" s="1"/>
  <c r="FN7" i="11"/>
  <c r="FM7" i="11"/>
  <c r="FL7" i="11"/>
  <c r="FK7" i="11"/>
  <c r="FK6" i="11" s="1"/>
  <c r="FJ7" i="11"/>
  <c r="FJ6" i="11" s="1"/>
  <c r="FI7" i="11"/>
  <c r="FI6" i="11" s="1"/>
  <c r="FH7" i="11"/>
  <c r="FH6" i="11" s="1"/>
  <c r="FG7" i="11"/>
  <c r="FG6" i="11" s="1"/>
  <c r="FF7" i="11"/>
  <c r="FE7" i="11"/>
  <c r="FD7" i="11"/>
  <c r="FC7" i="11"/>
  <c r="FC6" i="11" s="1"/>
  <c r="FB7" i="11"/>
  <c r="FB6" i="11" s="1"/>
  <c r="FA7" i="11"/>
  <c r="EZ7" i="11"/>
  <c r="EZ6" i="11" s="1"/>
  <c r="EY7" i="11"/>
  <c r="EY6" i="11" s="1"/>
  <c r="EX7" i="11"/>
  <c r="EW7" i="11"/>
  <c r="EV7" i="11"/>
  <c r="EU7" i="11"/>
  <c r="EU6" i="11" s="1"/>
  <c r="ET7" i="11"/>
  <c r="ET6" i="11" s="1"/>
  <c r="ES7" i="11"/>
  <c r="ES6" i="11" s="1"/>
  <c r="ER7" i="11"/>
  <c r="ER6" i="11" s="1"/>
  <c r="EQ7" i="11"/>
  <c r="EQ6" i="11" s="1"/>
  <c r="EP7" i="11"/>
  <c r="EO7" i="11"/>
  <c r="EN7" i="11"/>
  <c r="EM7" i="11"/>
  <c r="EM6" i="11" s="1"/>
  <c r="EL7" i="11"/>
  <c r="EL6" i="11" s="1"/>
  <c r="EK7" i="11"/>
  <c r="EJ7" i="11"/>
  <c r="EJ6" i="11" s="1"/>
  <c r="EI7" i="11"/>
  <c r="EI6" i="11" s="1"/>
  <c r="EH7" i="11"/>
  <c r="EG7" i="11"/>
  <c r="EF7" i="11"/>
  <c r="EE7" i="11"/>
  <c r="EE6" i="11" s="1"/>
  <c r="ED7" i="11"/>
  <c r="ED6" i="11" s="1"/>
  <c r="EC7" i="11"/>
  <c r="EC6" i="11" s="1"/>
  <c r="EB7" i="11"/>
  <c r="EB6" i="11" s="1"/>
  <c r="EA7" i="11"/>
  <c r="EA6" i="11" s="1"/>
  <c r="DZ7" i="11"/>
  <c r="DY7" i="11"/>
  <c r="DX7" i="11"/>
  <c r="DW7" i="11"/>
  <c r="DW6" i="11" s="1"/>
  <c r="DV7" i="11"/>
  <c r="DV6" i="11" s="1"/>
  <c r="DU7" i="11"/>
  <c r="DT7" i="11"/>
  <c r="DT6" i="11" s="1"/>
  <c r="DS7" i="11"/>
  <c r="DS6" i="11" s="1"/>
  <c r="DR7" i="11"/>
  <c r="DQ7" i="11"/>
  <c r="DP7" i="11"/>
  <c r="DO7" i="11"/>
  <c r="DO6" i="11" s="1"/>
  <c r="DN7" i="11"/>
  <c r="DN6" i="11" s="1"/>
  <c r="DM7" i="11"/>
  <c r="DM6" i="11" s="1"/>
  <c r="DL7" i="11"/>
  <c r="DL6" i="11" s="1"/>
  <c r="DK7" i="11"/>
  <c r="DK6" i="11" s="1"/>
  <c r="DJ7" i="11"/>
  <c r="DI7" i="11"/>
  <c r="DH7" i="11"/>
  <c r="DG7" i="11"/>
  <c r="DG6" i="11" s="1"/>
  <c r="DF7" i="11"/>
  <c r="DF6" i="11" s="1"/>
  <c r="DE7" i="11"/>
  <c r="DD7" i="11"/>
  <c r="DD6" i="11" s="1"/>
  <c r="DC7" i="11"/>
  <c r="DC6" i="11" s="1"/>
  <c r="DB7" i="11"/>
  <c r="DA7" i="11"/>
  <c r="CZ7" i="11"/>
  <c r="CY7" i="11"/>
  <c r="CY6" i="11" s="1"/>
  <c r="CX7" i="11"/>
  <c r="CX6" i="11" s="1"/>
  <c r="CW7" i="11"/>
  <c r="CW6" i="11" s="1"/>
  <c r="CV7" i="11"/>
  <c r="CV6" i="11" s="1"/>
  <c r="CU7" i="11"/>
  <c r="CU6" i="11" s="1"/>
  <c r="CT7" i="11"/>
  <c r="CS7" i="11"/>
  <c r="CR7" i="11"/>
  <c r="CQ7" i="11"/>
  <c r="CQ6" i="11" s="1"/>
  <c r="CP7" i="11"/>
  <c r="CP6" i="11" s="1"/>
  <c r="CO7" i="11"/>
  <c r="CN7" i="11"/>
  <c r="CN6" i="11" s="1"/>
  <c r="CM7" i="11"/>
  <c r="CM6" i="11" s="1"/>
  <c r="CL7" i="11"/>
  <c r="CK7" i="11"/>
  <c r="CJ7" i="11"/>
  <c r="CI7" i="11"/>
  <c r="CI6" i="11" s="1"/>
  <c r="CH7" i="11"/>
  <c r="CH6" i="11" s="1"/>
  <c r="CG7" i="11"/>
  <c r="CG6" i="11" s="1"/>
  <c r="CF7" i="11"/>
  <c r="CF6" i="11" s="1"/>
  <c r="CE7" i="11"/>
  <c r="CE6" i="11" s="1"/>
  <c r="CD7" i="11"/>
  <c r="CC7" i="11"/>
  <c r="CB7" i="11"/>
  <c r="CA7" i="11"/>
  <c r="CA6" i="11" s="1"/>
  <c r="BZ7" i="11"/>
  <c r="BZ6" i="11" s="1"/>
  <c r="BY7" i="11"/>
  <c r="BX7" i="11"/>
  <c r="BX6" i="11" s="1"/>
  <c r="BW7" i="11"/>
  <c r="BW6" i="11" s="1"/>
  <c r="BV7" i="11"/>
  <c r="BU7" i="11"/>
  <c r="BT7" i="11"/>
  <c r="BS7" i="11"/>
  <c r="BS6" i="11" s="1"/>
  <c r="BR7" i="11"/>
  <c r="BR6" i="11" s="1"/>
  <c r="BQ7" i="11"/>
  <c r="BQ6" i="11" s="1"/>
  <c r="BP7" i="11"/>
  <c r="BP6" i="11" s="1"/>
  <c r="BO7" i="11"/>
  <c r="BO6" i="11" s="1"/>
  <c r="BN7" i="11"/>
  <c r="BM7" i="11"/>
  <c r="BL7" i="11"/>
  <c r="BK7" i="11"/>
  <c r="BK6" i="11" s="1"/>
  <c r="BJ7" i="11"/>
  <c r="BJ6" i="11" s="1"/>
  <c r="BI7" i="11"/>
  <c r="BH7" i="11"/>
  <c r="BH6" i="11" s="1"/>
  <c r="BG7" i="11"/>
  <c r="BG6" i="11" s="1"/>
  <c r="BF7" i="11"/>
  <c r="BE7" i="11"/>
  <c r="BD7" i="11"/>
  <c r="BC7" i="11"/>
  <c r="BC6" i="11" s="1"/>
  <c r="BB7" i="11"/>
  <c r="BB6" i="11" s="1"/>
  <c r="BA7" i="11"/>
  <c r="BA6" i="11" s="1"/>
  <c r="AZ7" i="11"/>
  <c r="AZ6" i="11" s="1"/>
  <c r="AY7" i="11"/>
  <c r="AY6" i="11" s="1"/>
  <c r="AX7" i="11"/>
  <c r="AW7" i="11"/>
  <c r="AV7" i="11"/>
  <c r="AU7" i="11"/>
  <c r="AU6" i="11" s="1"/>
  <c r="AT7" i="11"/>
  <c r="AT6" i="11" s="1"/>
  <c r="AS7" i="11"/>
  <c r="AR7" i="11"/>
  <c r="AR6" i="11" s="1"/>
  <c r="AQ7" i="11"/>
  <c r="AQ6" i="11" s="1"/>
  <c r="AP7" i="11"/>
  <c r="AO7" i="11"/>
  <c r="AN7" i="11"/>
  <c r="AM7" i="11"/>
  <c r="AM6" i="11" s="1"/>
  <c r="AL7" i="11"/>
  <c r="AL6" i="11" s="1"/>
  <c r="AK7" i="11"/>
  <c r="AK6" i="11" s="1"/>
  <c r="AJ7" i="11"/>
  <c r="AJ6" i="11" s="1"/>
  <c r="AI7" i="11"/>
  <c r="AI6" i="11" s="1"/>
  <c r="AH7" i="11"/>
  <c r="AG7" i="11"/>
  <c r="AF7" i="11"/>
  <c r="AE7" i="11"/>
  <c r="AE6" i="11" s="1"/>
  <c r="AD7" i="11"/>
  <c r="AC7" i="11"/>
  <c r="O7" i="11"/>
  <c r="N7" i="11"/>
  <c r="I7" i="11"/>
  <c r="H7" i="11"/>
  <c r="G7" i="11"/>
  <c r="FT6" i="11"/>
  <c r="FQ6" i="11"/>
  <c r="FN6" i="11"/>
  <c r="FM6" i="11"/>
  <c r="FL6" i="11"/>
  <c r="FF6" i="11"/>
  <c r="FE6" i="11"/>
  <c r="FD6" i="11"/>
  <c r="FA6" i="11"/>
  <c r="EX6" i="11"/>
  <c r="EW6" i="11"/>
  <c r="EV6" i="11"/>
  <c r="EP6" i="11"/>
  <c r="EO6" i="11"/>
  <c r="EN6" i="11"/>
  <c r="EK6" i="11"/>
  <c r="EH6" i="11"/>
  <c r="EG6" i="11"/>
  <c r="EF6" i="11"/>
  <c r="DZ6" i="11"/>
  <c r="DY6" i="11"/>
  <c r="DX6" i="11"/>
  <c r="DU6" i="11"/>
  <c r="DR6" i="11"/>
  <c r="DQ6" i="11"/>
  <c r="DP6" i="11"/>
  <c r="DJ6" i="11"/>
  <c r="DI6" i="11"/>
  <c r="DH6" i="11"/>
  <c r="DE6" i="11"/>
  <c r="DB6" i="11"/>
  <c r="DA6" i="11"/>
  <c r="CZ6" i="11"/>
  <c r="CT6" i="11"/>
  <c r="CS6" i="11"/>
  <c r="CR6" i="11"/>
  <c r="CO6" i="11"/>
  <c r="CL6" i="11"/>
  <c r="CK6" i="11"/>
  <c r="CJ6" i="11"/>
  <c r="CD6" i="11"/>
  <c r="CC6" i="11"/>
  <c r="CB6" i="11"/>
  <c r="BY6" i="11"/>
  <c r="BV6" i="11"/>
  <c r="BU6" i="11"/>
  <c r="BT6" i="11"/>
  <c r="BN6" i="11"/>
  <c r="BM6" i="11"/>
  <c r="BL6" i="11"/>
  <c r="BI6" i="11"/>
  <c r="BF6" i="11"/>
  <c r="BE6" i="11"/>
  <c r="BD6" i="11"/>
  <c r="AX6" i="11"/>
  <c r="AW6" i="11"/>
  <c r="AV6" i="11"/>
  <c r="AS6" i="11"/>
  <c r="AP6" i="11"/>
  <c r="AO6" i="11"/>
  <c r="AN6" i="11"/>
  <c r="AH6" i="11"/>
  <c r="AG6" i="11"/>
  <c r="AF6" i="11"/>
  <c r="E203" i="10"/>
  <c r="C203" i="10" s="1"/>
  <c r="E202" i="10"/>
  <c r="C202" i="10" s="1"/>
  <c r="E201" i="10"/>
  <c r="C201" i="10" s="1"/>
  <c r="E200" i="10"/>
  <c r="C200" i="10" s="1"/>
  <c r="E199" i="10"/>
  <c r="C199" i="10"/>
  <c r="E198" i="10"/>
  <c r="C198" i="10" s="1"/>
  <c r="E197" i="10"/>
  <c r="C197" i="10"/>
  <c r="E196" i="10"/>
  <c r="C196" i="10" s="1"/>
  <c r="E195" i="10"/>
  <c r="C195" i="10" s="1"/>
  <c r="E194" i="10"/>
  <c r="C194" i="10" s="1"/>
  <c r="E193" i="10"/>
  <c r="C193" i="10" s="1"/>
  <c r="E192" i="10"/>
  <c r="C192" i="10" s="1"/>
  <c r="E191" i="10"/>
  <c r="C191" i="10" s="1"/>
  <c r="E190" i="10"/>
  <c r="C190" i="10"/>
  <c r="E189" i="10"/>
  <c r="C189" i="10" s="1"/>
  <c r="E188" i="10"/>
  <c r="C188" i="10" s="1"/>
  <c r="E187" i="10"/>
  <c r="C187" i="10" s="1"/>
  <c r="E186" i="10"/>
  <c r="C186" i="10" s="1"/>
  <c r="E185" i="10"/>
  <c r="C185" i="10" s="1"/>
  <c r="E184" i="10"/>
  <c r="C184" i="10" s="1"/>
  <c r="E183" i="10"/>
  <c r="C183" i="10"/>
  <c r="E182" i="10"/>
  <c r="C182" i="10" s="1"/>
  <c r="E181" i="10"/>
  <c r="C181" i="10"/>
  <c r="E180" i="10"/>
  <c r="C180" i="10" s="1"/>
  <c r="E179" i="10"/>
  <c r="C179" i="10" s="1"/>
  <c r="E178" i="10"/>
  <c r="C178" i="10" s="1"/>
  <c r="E177" i="10"/>
  <c r="C177" i="10" s="1"/>
  <c r="E176" i="10"/>
  <c r="C176" i="10" s="1"/>
  <c r="E175" i="10"/>
  <c r="C175" i="10" s="1"/>
  <c r="E174" i="10"/>
  <c r="C174" i="10"/>
  <c r="E173" i="10"/>
  <c r="C173" i="10" s="1"/>
  <c r="E172" i="10"/>
  <c r="C172" i="10" s="1"/>
  <c r="E171" i="10"/>
  <c r="C171" i="10" s="1"/>
  <c r="E170" i="10"/>
  <c r="C170" i="10" s="1"/>
  <c r="E169" i="10"/>
  <c r="C169" i="10" s="1"/>
  <c r="E168" i="10"/>
  <c r="C168" i="10" s="1"/>
  <c r="E167" i="10"/>
  <c r="C167" i="10"/>
  <c r="E166" i="10"/>
  <c r="C166" i="10" s="1"/>
  <c r="E165" i="10"/>
  <c r="C165" i="10"/>
  <c r="E164" i="10"/>
  <c r="C164" i="10" s="1"/>
  <c r="E163" i="10"/>
  <c r="C163" i="10" s="1"/>
  <c r="E162" i="10"/>
  <c r="C162" i="10" s="1"/>
  <c r="E161" i="10"/>
  <c r="C161" i="10" s="1"/>
  <c r="E160" i="10"/>
  <c r="C160" i="10" s="1"/>
  <c r="E159" i="10"/>
  <c r="C159" i="10" s="1"/>
  <c r="E158" i="10"/>
  <c r="C158" i="10"/>
  <c r="E157" i="10"/>
  <c r="C157" i="10" s="1"/>
  <c r="E156" i="10"/>
  <c r="C156" i="10" s="1"/>
  <c r="E155" i="10"/>
  <c r="C155" i="10" s="1"/>
  <c r="E154" i="10"/>
  <c r="C154" i="10" s="1"/>
  <c r="E153" i="10"/>
  <c r="C153" i="10" s="1"/>
  <c r="E152" i="10"/>
  <c r="C152" i="10" s="1"/>
  <c r="E151" i="10"/>
  <c r="C151" i="10"/>
  <c r="E150" i="10"/>
  <c r="C150" i="10" s="1"/>
  <c r="E149" i="10"/>
  <c r="C149" i="10" s="1"/>
  <c r="E148" i="10"/>
  <c r="C148" i="10" s="1"/>
  <c r="E147" i="10"/>
  <c r="C147" i="10" s="1"/>
  <c r="E146" i="10"/>
  <c r="C146" i="10" s="1"/>
  <c r="E145" i="10"/>
  <c r="C145" i="10" s="1"/>
  <c r="E144" i="10"/>
  <c r="C144" i="10" s="1"/>
  <c r="E143" i="10"/>
  <c r="C143" i="10" s="1"/>
  <c r="E142" i="10"/>
  <c r="C142" i="10" s="1"/>
  <c r="E141" i="10"/>
  <c r="C141" i="10"/>
  <c r="E140" i="10"/>
  <c r="C140" i="10" s="1"/>
  <c r="E139" i="10"/>
  <c r="C139" i="10" s="1"/>
  <c r="E138" i="10"/>
  <c r="C138" i="10" s="1"/>
  <c r="E137" i="10"/>
  <c r="C137" i="10" s="1"/>
  <c r="E136" i="10"/>
  <c r="C136" i="10" s="1"/>
  <c r="E135" i="10"/>
  <c r="C135" i="10" s="1"/>
  <c r="E134" i="10"/>
  <c r="C134" i="10" s="1"/>
  <c r="E133" i="10"/>
  <c r="C133" i="10" s="1"/>
  <c r="E132" i="10"/>
  <c r="C132" i="10" s="1"/>
  <c r="E131" i="10"/>
  <c r="C131" i="10" s="1"/>
  <c r="E130" i="10"/>
  <c r="C130" i="10" s="1"/>
  <c r="E129" i="10"/>
  <c r="C129" i="10" s="1"/>
  <c r="E128" i="10"/>
  <c r="C128" i="10" s="1"/>
  <c r="E127" i="10"/>
  <c r="C127" i="10"/>
  <c r="E126" i="10"/>
  <c r="C126" i="10" s="1"/>
  <c r="E125" i="10"/>
  <c r="C125" i="10" s="1"/>
  <c r="E124" i="10"/>
  <c r="C124" i="10" s="1"/>
  <c r="E123" i="10"/>
  <c r="C123" i="10" s="1"/>
  <c r="E122" i="10"/>
  <c r="C122" i="10" s="1"/>
  <c r="E121" i="10"/>
  <c r="C121" i="10" s="1"/>
  <c r="E120" i="10"/>
  <c r="C120" i="10" s="1"/>
  <c r="E119" i="10"/>
  <c r="C119" i="10" s="1"/>
  <c r="E118" i="10"/>
  <c r="C118" i="10" s="1"/>
  <c r="E117" i="10"/>
  <c r="C117" i="10" s="1"/>
  <c r="E116" i="10"/>
  <c r="C116" i="10" s="1"/>
  <c r="E115" i="10"/>
  <c r="C115" i="10" s="1"/>
  <c r="E114" i="10"/>
  <c r="C114" i="10" s="1"/>
  <c r="E113" i="10"/>
  <c r="C113" i="10"/>
  <c r="E112" i="10"/>
  <c r="C112" i="10" s="1"/>
  <c r="E111" i="10"/>
  <c r="C111" i="10" s="1"/>
  <c r="E110" i="10"/>
  <c r="C110" i="10" s="1"/>
  <c r="E109" i="10"/>
  <c r="C109" i="10" s="1"/>
  <c r="E108" i="10"/>
  <c r="C108" i="10" s="1"/>
  <c r="E107" i="10"/>
  <c r="C107" i="10" s="1"/>
  <c r="E106" i="10"/>
  <c r="C106" i="10" s="1"/>
  <c r="E105" i="10"/>
  <c r="C105" i="10" s="1"/>
  <c r="E104" i="10"/>
  <c r="C104" i="10" s="1"/>
  <c r="E103" i="10"/>
  <c r="C103" i="10" s="1"/>
  <c r="E102" i="10"/>
  <c r="C102" i="10" s="1"/>
  <c r="E101" i="10"/>
  <c r="C101" i="10" s="1"/>
  <c r="E100" i="10"/>
  <c r="C100" i="10" s="1"/>
  <c r="E99" i="10"/>
  <c r="C99" i="10" s="1"/>
  <c r="E98" i="10"/>
  <c r="C98" i="10" s="1"/>
  <c r="E97" i="10"/>
  <c r="C97" i="10" s="1"/>
  <c r="E96" i="10"/>
  <c r="C96" i="10" s="1"/>
  <c r="E95" i="10"/>
  <c r="C95" i="10" s="1"/>
  <c r="E94" i="10"/>
  <c r="C94" i="10" s="1"/>
  <c r="E93" i="10"/>
  <c r="C93" i="10" s="1"/>
  <c r="E92" i="10"/>
  <c r="C92" i="10" s="1"/>
  <c r="E91" i="10"/>
  <c r="C91" i="10" s="1"/>
  <c r="E90" i="10"/>
  <c r="C90" i="10" s="1"/>
  <c r="E89" i="10"/>
  <c r="C89" i="10" s="1"/>
  <c r="E88" i="10"/>
  <c r="C88" i="10" s="1"/>
  <c r="E87" i="10"/>
  <c r="C87" i="10" s="1"/>
  <c r="E86" i="10"/>
  <c r="C86" i="10" s="1"/>
  <c r="E85" i="10"/>
  <c r="C85" i="10"/>
  <c r="E84" i="10"/>
  <c r="C84" i="10" s="1"/>
  <c r="E83" i="10"/>
  <c r="C83" i="10" s="1"/>
  <c r="E82" i="10"/>
  <c r="C82" i="10" s="1"/>
  <c r="E81" i="10"/>
  <c r="C81" i="10" s="1"/>
  <c r="E80" i="10"/>
  <c r="C80" i="10" s="1"/>
  <c r="E79" i="10"/>
  <c r="C79" i="10" s="1"/>
  <c r="E78" i="10"/>
  <c r="C78" i="10"/>
  <c r="E77" i="10"/>
  <c r="C77" i="10" s="1"/>
  <c r="E76" i="10"/>
  <c r="C76" i="10" s="1"/>
  <c r="E75" i="10"/>
  <c r="C75" i="10" s="1"/>
  <c r="E74" i="10"/>
  <c r="C74" i="10" s="1"/>
  <c r="E73" i="10"/>
  <c r="C73" i="10" s="1"/>
  <c r="E72" i="10"/>
  <c r="C72" i="10" s="1"/>
  <c r="E71" i="10"/>
  <c r="C71" i="10" s="1"/>
  <c r="E70" i="10"/>
  <c r="C70" i="10" s="1"/>
  <c r="E69" i="10"/>
  <c r="C69" i="10" s="1"/>
  <c r="E68" i="10"/>
  <c r="C68" i="10" s="1"/>
  <c r="E67" i="10"/>
  <c r="C67" i="10" s="1"/>
  <c r="E66" i="10"/>
  <c r="C66" i="10" s="1"/>
  <c r="E65" i="10"/>
  <c r="C65" i="10" s="1"/>
  <c r="E64" i="10"/>
  <c r="C64" i="10" s="1"/>
  <c r="E63" i="10"/>
  <c r="C63" i="10" s="1"/>
  <c r="E62" i="10"/>
  <c r="C62" i="10" s="1"/>
  <c r="E61" i="10"/>
  <c r="C61" i="10" s="1"/>
  <c r="E60" i="10"/>
  <c r="C60" i="10" s="1"/>
  <c r="E59" i="10"/>
  <c r="C59" i="10" s="1"/>
  <c r="E58" i="10"/>
  <c r="C58" i="10" s="1"/>
  <c r="E57" i="10"/>
  <c r="C57" i="10" s="1"/>
  <c r="E56" i="10"/>
  <c r="C56" i="10" s="1"/>
  <c r="E55" i="10"/>
  <c r="C55" i="10" s="1"/>
  <c r="E54" i="10"/>
  <c r="C54" i="10"/>
  <c r="E53" i="10"/>
  <c r="C53" i="10" s="1"/>
  <c r="E52" i="10"/>
  <c r="C52" i="10" s="1"/>
  <c r="E51" i="10"/>
  <c r="C51" i="10" s="1"/>
  <c r="E50" i="10"/>
  <c r="C50" i="10" s="1"/>
  <c r="E49" i="10"/>
  <c r="C49" i="10" s="1"/>
  <c r="E48" i="10"/>
  <c r="C48" i="10" s="1"/>
  <c r="E47" i="10"/>
  <c r="C47" i="10" s="1"/>
  <c r="E46" i="10"/>
  <c r="C46" i="10" s="1"/>
  <c r="E45" i="10"/>
  <c r="C45" i="10" s="1"/>
  <c r="E44" i="10"/>
  <c r="C44" i="10" s="1"/>
  <c r="E43" i="10"/>
  <c r="C43" i="10" s="1"/>
  <c r="E42" i="10"/>
  <c r="C42" i="10" s="1"/>
  <c r="E41" i="10"/>
  <c r="C41" i="10" s="1"/>
  <c r="E40" i="10"/>
  <c r="C40" i="10" s="1"/>
  <c r="E39" i="10"/>
  <c r="C39" i="10" s="1"/>
  <c r="E38" i="10"/>
  <c r="C38" i="10" s="1"/>
  <c r="E37" i="10"/>
  <c r="C37" i="10" s="1"/>
  <c r="E36" i="10"/>
  <c r="C36" i="10" s="1"/>
  <c r="E35" i="10"/>
  <c r="C35" i="10" s="1"/>
  <c r="E34" i="10"/>
  <c r="C34" i="10" s="1"/>
  <c r="E33" i="10"/>
  <c r="C33" i="10" s="1"/>
  <c r="E32" i="10"/>
  <c r="C32" i="10" s="1"/>
  <c r="E31" i="10"/>
  <c r="C31" i="10" s="1"/>
  <c r="E30" i="10"/>
  <c r="C30" i="10" s="1"/>
  <c r="E29" i="10"/>
  <c r="C29" i="10" s="1"/>
  <c r="E28" i="10"/>
  <c r="C28" i="10" s="1"/>
  <c r="E27" i="10"/>
  <c r="C27" i="10" s="1"/>
  <c r="E26" i="10"/>
  <c r="C26" i="10" s="1"/>
  <c r="E25" i="10"/>
  <c r="C25" i="10" s="1"/>
  <c r="E24" i="10"/>
  <c r="C24" i="10" s="1"/>
  <c r="E23" i="10"/>
  <c r="C23" i="10" s="1"/>
  <c r="E22" i="10"/>
  <c r="C22" i="10" s="1"/>
  <c r="E21" i="10"/>
  <c r="C21" i="10" s="1"/>
  <c r="E20" i="10"/>
  <c r="C20" i="10" s="1"/>
  <c r="E19" i="10"/>
  <c r="C19" i="10" s="1"/>
  <c r="E18" i="10"/>
  <c r="C18" i="10" s="1"/>
  <c r="E17" i="10"/>
  <c r="C17" i="10" s="1"/>
  <c r="E16" i="10"/>
  <c r="C16" i="10" s="1"/>
  <c r="E15" i="10"/>
  <c r="C15" i="10" s="1"/>
  <c r="E14" i="10"/>
  <c r="C14" i="10" s="1"/>
  <c r="E13" i="10"/>
  <c r="C13" i="10" s="1"/>
  <c r="E12" i="10"/>
  <c r="E11" i="10"/>
  <c r="C11" i="10" s="1"/>
  <c r="E10" i="10"/>
  <c r="C10" i="10" s="1"/>
  <c r="FT7" i="10"/>
  <c r="FT6" i="10" s="1"/>
  <c r="FS7" i="10"/>
  <c r="FR7" i="10"/>
  <c r="FQ7" i="10"/>
  <c r="FP7" i="10"/>
  <c r="FO7" i="10"/>
  <c r="FN7" i="10"/>
  <c r="FM7" i="10"/>
  <c r="FL7" i="10"/>
  <c r="FL6" i="10" s="1"/>
  <c r="FK7" i="10"/>
  <c r="FK6" i="10" s="1"/>
  <c r="FJ7" i="10"/>
  <c r="FI7" i="10"/>
  <c r="FH7" i="10"/>
  <c r="FH6" i="10" s="1"/>
  <c r="FG7" i="10"/>
  <c r="FG6" i="10" s="1"/>
  <c r="FF7" i="10"/>
  <c r="FE7" i="10"/>
  <c r="FD7" i="10"/>
  <c r="FD6" i="10" s="1"/>
  <c r="FC7" i="10"/>
  <c r="FC6" i="10" s="1"/>
  <c r="FB7" i="10"/>
  <c r="FB6" i="10" s="1"/>
  <c r="FA7" i="10"/>
  <c r="EZ7" i="10"/>
  <c r="EY7" i="10"/>
  <c r="EY6" i="10" s="1"/>
  <c r="EX7" i="10"/>
  <c r="EW7" i="10"/>
  <c r="EV7" i="10"/>
  <c r="EV6" i="10" s="1"/>
  <c r="EU7" i="10"/>
  <c r="EU6" i="10" s="1"/>
  <c r="ET7" i="10"/>
  <c r="ET6" i="10" s="1"/>
  <c r="ES7" i="10"/>
  <c r="ER7" i="10"/>
  <c r="EQ7" i="10"/>
  <c r="EP7" i="10"/>
  <c r="EO7" i="10"/>
  <c r="EN7" i="10"/>
  <c r="EN6" i="10" s="1"/>
  <c r="EM7" i="10"/>
  <c r="EL7" i="10"/>
  <c r="EL6" i="10" s="1"/>
  <c r="EK7" i="10"/>
  <c r="EK6" i="10" s="1"/>
  <c r="EJ7" i="10"/>
  <c r="EJ6" i="10" s="1"/>
  <c r="EI7" i="10"/>
  <c r="EI6" i="10" s="1"/>
  <c r="EH7" i="10"/>
  <c r="EG7" i="10"/>
  <c r="EF7" i="10"/>
  <c r="EF6" i="10" s="1"/>
  <c r="EE7" i="10"/>
  <c r="EE6" i="10" s="1"/>
  <c r="ED7" i="10"/>
  <c r="EC7" i="10"/>
  <c r="EB7" i="10"/>
  <c r="EB6" i="10" s="1"/>
  <c r="EA7" i="10"/>
  <c r="EA6" i="10" s="1"/>
  <c r="DZ7" i="10"/>
  <c r="DY7" i="10"/>
  <c r="DX7" i="10"/>
  <c r="DX6" i="10" s="1"/>
  <c r="DW7" i="10"/>
  <c r="DW6" i="10" s="1"/>
  <c r="DV7" i="10"/>
  <c r="DV6" i="10" s="1"/>
  <c r="DU7" i="10"/>
  <c r="DT7" i="10"/>
  <c r="DT6" i="10" s="1"/>
  <c r="DS7" i="10"/>
  <c r="DS6" i="10" s="1"/>
  <c r="DR7" i="10"/>
  <c r="DQ7" i="10"/>
  <c r="DP7" i="10"/>
  <c r="DP6" i="10" s="1"/>
  <c r="DO7" i="10"/>
  <c r="DN7" i="10"/>
  <c r="DN6" i="10" s="1"/>
  <c r="DM7" i="10"/>
  <c r="DL7" i="10"/>
  <c r="DK7" i="10"/>
  <c r="DK6" i="10" s="1"/>
  <c r="DJ7" i="10"/>
  <c r="DI7" i="10"/>
  <c r="DH7" i="10"/>
  <c r="DH6" i="10" s="1"/>
  <c r="DG7" i="10"/>
  <c r="DF7" i="10"/>
  <c r="DF6" i="10" s="1"/>
  <c r="DE7" i="10"/>
  <c r="DE6" i="10" s="1"/>
  <c r="DD7" i="10"/>
  <c r="DC7" i="10"/>
  <c r="DB7" i="10"/>
  <c r="DA7" i="10"/>
  <c r="CZ7" i="10"/>
  <c r="CZ6" i="10" s="1"/>
  <c r="CY7" i="10"/>
  <c r="CY6" i="10" s="1"/>
  <c r="CX7" i="10"/>
  <c r="CW7" i="10"/>
  <c r="CV7" i="10"/>
  <c r="CV6" i="10" s="1"/>
  <c r="CU7" i="10"/>
  <c r="CU6" i="10" s="1"/>
  <c r="CT7" i="10"/>
  <c r="CS7" i="10"/>
  <c r="CR7" i="10"/>
  <c r="CR6" i="10" s="1"/>
  <c r="CQ7" i="10"/>
  <c r="CQ6" i="10" s="1"/>
  <c r="CP7" i="10"/>
  <c r="CP6" i="10" s="1"/>
  <c r="CO7" i="10"/>
  <c r="CO6" i="10" s="1"/>
  <c r="CN7" i="10"/>
  <c r="CM7" i="10"/>
  <c r="CM6" i="10" s="1"/>
  <c r="CL7" i="10"/>
  <c r="CK7" i="10"/>
  <c r="CJ7" i="10"/>
  <c r="CJ6" i="10" s="1"/>
  <c r="CI7" i="10"/>
  <c r="CI6" i="10" s="1"/>
  <c r="CH7" i="10"/>
  <c r="CH6" i="10" s="1"/>
  <c r="CG7" i="10"/>
  <c r="CF7" i="10"/>
  <c r="CE7" i="10"/>
  <c r="CE6" i="10" s="1"/>
  <c r="CD7" i="10"/>
  <c r="CC7" i="10"/>
  <c r="CB7" i="10"/>
  <c r="CB6" i="10" s="1"/>
  <c r="CA7" i="10"/>
  <c r="BZ7" i="10"/>
  <c r="BZ6" i="10" s="1"/>
  <c r="BY7" i="10"/>
  <c r="BX7" i="10"/>
  <c r="BX6" i="10" s="1"/>
  <c r="BW7" i="10"/>
  <c r="BW6" i="10" s="1"/>
  <c r="BV7" i="10"/>
  <c r="BU7" i="10"/>
  <c r="BT7" i="10"/>
  <c r="BT6" i="10" s="1"/>
  <c r="BS7" i="10"/>
  <c r="BS6" i="10" s="1"/>
  <c r="BR7" i="10"/>
  <c r="BR6" i="10" s="1"/>
  <c r="BQ7" i="10"/>
  <c r="BP7" i="10"/>
  <c r="BP6" i="10" s="1"/>
  <c r="BO7" i="10"/>
  <c r="BO6" i="10" s="1"/>
  <c r="BN7" i="10"/>
  <c r="BM7" i="10"/>
  <c r="BL7" i="10"/>
  <c r="BL6" i="10" s="1"/>
  <c r="BK7" i="10"/>
  <c r="BK6" i="10" s="1"/>
  <c r="BJ7" i="10"/>
  <c r="BJ6" i="10" s="1"/>
  <c r="BI7" i="10"/>
  <c r="BI6" i="10" s="1"/>
  <c r="BH7" i="10"/>
  <c r="BH6" i="10" s="1"/>
  <c r="BG7" i="10"/>
  <c r="BG6" i="10" s="1"/>
  <c r="BF7" i="10"/>
  <c r="BE7" i="10"/>
  <c r="BD7" i="10"/>
  <c r="BD6" i="10" s="1"/>
  <c r="BC7" i="10"/>
  <c r="BB7" i="10"/>
  <c r="BB6" i="10" s="1"/>
  <c r="BA7" i="10"/>
  <c r="BA6" i="10" s="1"/>
  <c r="AZ7" i="10"/>
  <c r="AY7" i="10"/>
  <c r="AY6" i="10" s="1"/>
  <c r="AX7" i="10"/>
  <c r="AW7" i="10"/>
  <c r="AV7" i="10"/>
  <c r="AV6" i="10" s="1"/>
  <c r="AU7" i="10"/>
  <c r="AT7" i="10"/>
  <c r="AT6" i="10" s="1"/>
  <c r="AS7" i="10"/>
  <c r="AS6" i="10" s="1"/>
  <c r="AR7" i="10"/>
  <c r="AQ7" i="10"/>
  <c r="AQ6" i="10" s="1"/>
  <c r="AP7" i="10"/>
  <c r="AO7" i="10"/>
  <c r="AN7" i="10"/>
  <c r="AN6" i="10" s="1"/>
  <c r="AM7" i="10"/>
  <c r="AM6" i="10" s="1"/>
  <c r="AL7" i="10"/>
  <c r="AK7" i="10"/>
  <c r="AK6" i="10" s="1"/>
  <c r="AJ7" i="10"/>
  <c r="AJ6" i="10" s="1"/>
  <c r="AI7" i="10"/>
  <c r="AI6" i="10" s="1"/>
  <c r="AH7" i="10"/>
  <c r="AG7" i="10"/>
  <c r="AF7" i="10"/>
  <c r="AF6" i="10" s="1"/>
  <c r="AE7" i="10"/>
  <c r="AE6" i="10" s="1"/>
  <c r="AD7" i="10"/>
  <c r="AC7" i="10"/>
  <c r="AB7" i="10"/>
  <c r="AB6" i="10" s="1"/>
  <c r="Z7" i="10"/>
  <c r="Z6" i="10" s="1"/>
  <c r="Y7" i="10"/>
  <c r="X7" i="10"/>
  <c r="W7" i="10"/>
  <c r="V7" i="10"/>
  <c r="U7" i="10"/>
  <c r="U6" i="10" s="1"/>
  <c r="T7" i="10"/>
  <c r="T6" i="10" s="1"/>
  <c r="S7" i="10"/>
  <c r="S6" i="10" s="1"/>
  <c r="R7" i="10"/>
  <c r="Q7" i="10"/>
  <c r="P7" i="10"/>
  <c r="O7" i="10"/>
  <c r="N7" i="10"/>
  <c r="M7" i="10"/>
  <c r="M6" i="10" s="1"/>
  <c r="L7" i="10"/>
  <c r="L6" i="10" s="1"/>
  <c r="K7" i="10"/>
  <c r="K6" i="10" s="1"/>
  <c r="J7" i="10"/>
  <c r="I7" i="10"/>
  <c r="H7" i="10"/>
  <c r="G7" i="10"/>
  <c r="FS6" i="10"/>
  <c r="FR6" i="10"/>
  <c r="FQ6" i="10"/>
  <c r="FP6" i="10"/>
  <c r="FO6" i="10"/>
  <c r="FN6" i="10"/>
  <c r="FM6" i="10"/>
  <c r="FJ6" i="10"/>
  <c r="FI6" i="10"/>
  <c r="FF6" i="10"/>
  <c r="FE6" i="10"/>
  <c r="FA6" i="10"/>
  <c r="EZ6" i="10"/>
  <c r="EX6" i="10"/>
  <c r="EW6" i="10"/>
  <c r="ES6" i="10"/>
  <c r="ER6" i="10"/>
  <c r="EQ6" i="10"/>
  <c r="EP6" i="10"/>
  <c r="EO6" i="10"/>
  <c r="EM6" i="10"/>
  <c r="EH6" i="10"/>
  <c r="EG6" i="10"/>
  <c r="ED6" i="10"/>
  <c r="EC6" i="10"/>
  <c r="DZ6" i="10"/>
  <c r="DY6" i="10"/>
  <c r="DU6" i="10"/>
  <c r="DR6" i="10"/>
  <c r="DQ6" i="10"/>
  <c r="DO6" i="10"/>
  <c r="DM6" i="10"/>
  <c r="DL6" i="10"/>
  <c r="DJ6" i="10"/>
  <c r="DI6" i="10"/>
  <c r="DG6" i="10"/>
  <c r="DD6" i="10"/>
  <c r="DC6" i="10"/>
  <c r="DB6" i="10"/>
  <c r="DA6" i="10"/>
  <c r="CX6" i="10"/>
  <c r="CW6" i="10"/>
  <c r="CT6" i="10"/>
  <c r="CS6" i="10"/>
  <c r="CN6" i="10"/>
  <c r="CL6" i="10"/>
  <c r="CK6" i="10"/>
  <c r="CG6" i="10"/>
  <c r="CF6" i="10"/>
  <c r="CD6" i="10"/>
  <c r="CC6" i="10"/>
  <c r="CA6" i="10"/>
  <c r="BY6" i="10"/>
  <c r="BV6" i="10"/>
  <c r="BU6" i="10"/>
  <c r="BQ6" i="10"/>
  <c r="BN6" i="10"/>
  <c r="BM6" i="10"/>
  <c r="BF6" i="10"/>
  <c r="BE6" i="10"/>
  <c r="BC6" i="10"/>
  <c r="AZ6" i="10"/>
  <c r="AX6" i="10"/>
  <c r="AW6" i="10"/>
  <c r="AU6" i="10"/>
  <c r="AR6" i="10"/>
  <c r="AP6" i="10"/>
  <c r="AO6" i="10"/>
  <c r="AL6" i="10"/>
  <c r="AH6" i="10"/>
  <c r="AG6" i="10"/>
  <c r="AA6" i="10"/>
  <c r="Y6" i="10"/>
  <c r="X6" i="10"/>
  <c r="W6" i="10"/>
  <c r="V6" i="10"/>
  <c r="R6" i="10"/>
  <c r="Q6" i="10"/>
  <c r="P6" i="10"/>
  <c r="O6" i="10"/>
  <c r="N6" i="10"/>
  <c r="J6" i="10"/>
  <c r="I6" i="10"/>
  <c r="H6" i="10"/>
  <c r="E177" i="9"/>
  <c r="C177" i="9" s="1"/>
  <c r="E176" i="9"/>
  <c r="C176" i="9"/>
  <c r="E175" i="9"/>
  <c r="C175" i="9" s="1"/>
  <c r="E174" i="9"/>
  <c r="C174" i="9" s="1"/>
  <c r="E173" i="9"/>
  <c r="C173" i="9" s="1"/>
  <c r="E172" i="9"/>
  <c r="C172" i="9" s="1"/>
  <c r="E171" i="9"/>
  <c r="C171" i="9" s="1"/>
  <c r="E170" i="9"/>
  <c r="C170" i="9"/>
  <c r="E169" i="9"/>
  <c r="C169" i="9" s="1"/>
  <c r="E168" i="9"/>
  <c r="C168" i="9" s="1"/>
  <c r="E167" i="9"/>
  <c r="C167" i="9" s="1"/>
  <c r="E166" i="9"/>
  <c r="C166" i="9" s="1"/>
  <c r="E165" i="9"/>
  <c r="C165" i="9" s="1"/>
  <c r="E164" i="9"/>
  <c r="C164" i="9" s="1"/>
  <c r="E163" i="9"/>
  <c r="C163" i="9" s="1"/>
  <c r="E162" i="9"/>
  <c r="C162" i="9" s="1"/>
  <c r="E161" i="9"/>
  <c r="C161" i="9" s="1"/>
  <c r="E160" i="9"/>
  <c r="C160" i="9"/>
  <c r="E159" i="9"/>
  <c r="C159" i="9" s="1"/>
  <c r="E158" i="9"/>
  <c r="C158" i="9" s="1"/>
  <c r="E157" i="9"/>
  <c r="C157" i="9" s="1"/>
  <c r="E156" i="9"/>
  <c r="C156" i="9" s="1"/>
  <c r="E155" i="9"/>
  <c r="C155" i="9" s="1"/>
  <c r="E154" i="9"/>
  <c r="C154" i="9" s="1"/>
  <c r="E153" i="9"/>
  <c r="C153" i="9" s="1"/>
  <c r="E152" i="9"/>
  <c r="C152" i="9"/>
  <c r="E151" i="9"/>
  <c r="C151" i="9" s="1"/>
  <c r="E150" i="9"/>
  <c r="C150" i="9" s="1"/>
  <c r="E149" i="9"/>
  <c r="C149" i="9" s="1"/>
  <c r="E148" i="9"/>
  <c r="C148" i="9" s="1"/>
  <c r="E147" i="9"/>
  <c r="C147" i="9" s="1"/>
  <c r="E146" i="9"/>
  <c r="C146" i="9" s="1"/>
  <c r="E145" i="9"/>
  <c r="C145" i="9" s="1"/>
  <c r="E144" i="9"/>
  <c r="C144" i="9" s="1"/>
  <c r="E143" i="9"/>
  <c r="C143" i="9" s="1"/>
  <c r="E142" i="9"/>
  <c r="C142" i="9" s="1"/>
  <c r="E141" i="9"/>
  <c r="C141" i="9"/>
  <c r="E140" i="9"/>
  <c r="C140" i="9" s="1"/>
  <c r="E139" i="9"/>
  <c r="C139" i="9" s="1"/>
  <c r="E138" i="9"/>
  <c r="C138" i="9" s="1"/>
  <c r="E137" i="9"/>
  <c r="C137" i="9"/>
  <c r="E136" i="9"/>
  <c r="C136" i="9" s="1"/>
  <c r="E135" i="9"/>
  <c r="C135" i="9" s="1"/>
  <c r="E134" i="9"/>
  <c r="C134" i="9" s="1"/>
  <c r="E133" i="9"/>
  <c r="C133" i="9" s="1"/>
  <c r="E132" i="9"/>
  <c r="C132" i="9" s="1"/>
  <c r="E131" i="9"/>
  <c r="C131" i="9" s="1"/>
  <c r="E130" i="9"/>
  <c r="C130" i="9" s="1"/>
  <c r="E129" i="9"/>
  <c r="C129" i="9" s="1"/>
  <c r="E128" i="9"/>
  <c r="C128" i="9" s="1"/>
  <c r="E127" i="9"/>
  <c r="C127" i="9" s="1"/>
  <c r="E126" i="9"/>
  <c r="C126" i="9" s="1"/>
  <c r="E125" i="9"/>
  <c r="C125" i="9" s="1"/>
  <c r="E124" i="9"/>
  <c r="C124" i="9" s="1"/>
  <c r="E123" i="9"/>
  <c r="C123" i="9" s="1"/>
  <c r="E122" i="9"/>
  <c r="C122" i="9" s="1"/>
  <c r="E121" i="9"/>
  <c r="C121" i="9" s="1"/>
  <c r="E120" i="9"/>
  <c r="C120" i="9" s="1"/>
  <c r="E119" i="9"/>
  <c r="C119" i="9" s="1"/>
  <c r="E118" i="9"/>
  <c r="C118" i="9"/>
  <c r="E117" i="9"/>
  <c r="C117" i="9" s="1"/>
  <c r="E116" i="9"/>
  <c r="C116" i="9" s="1"/>
  <c r="E115" i="9"/>
  <c r="C115" i="9" s="1"/>
  <c r="E114" i="9"/>
  <c r="C114" i="9" s="1"/>
  <c r="E113" i="9"/>
  <c r="C113" i="9" s="1"/>
  <c r="E112" i="9"/>
  <c r="C112" i="9" s="1"/>
  <c r="E111" i="9"/>
  <c r="C111" i="9" s="1"/>
  <c r="E110" i="9"/>
  <c r="C110" i="9" s="1"/>
  <c r="E109" i="9"/>
  <c r="C109" i="9"/>
  <c r="E108" i="9"/>
  <c r="C108" i="9" s="1"/>
  <c r="E107" i="9"/>
  <c r="C107" i="9" s="1"/>
  <c r="E106" i="9"/>
  <c r="C106" i="9" s="1"/>
  <c r="E105" i="9"/>
  <c r="C105" i="9" s="1"/>
  <c r="E104" i="9"/>
  <c r="C104" i="9" s="1"/>
  <c r="E103" i="9"/>
  <c r="C103" i="9" s="1"/>
  <c r="E102" i="9"/>
  <c r="C102" i="9" s="1"/>
  <c r="E101" i="9"/>
  <c r="C101" i="9" s="1"/>
  <c r="E100" i="9"/>
  <c r="C100" i="9"/>
  <c r="E99" i="9"/>
  <c r="C99" i="9" s="1"/>
  <c r="E98" i="9"/>
  <c r="C98" i="9"/>
  <c r="E97" i="9"/>
  <c r="C97" i="9" s="1"/>
  <c r="E96" i="9"/>
  <c r="C96" i="9"/>
  <c r="E95" i="9"/>
  <c r="C95" i="9" s="1"/>
  <c r="E94" i="9"/>
  <c r="C94" i="9" s="1"/>
  <c r="E93" i="9"/>
  <c r="C93" i="9" s="1"/>
  <c r="E92" i="9"/>
  <c r="C92" i="9" s="1"/>
  <c r="E91" i="9"/>
  <c r="C91" i="9" s="1"/>
  <c r="E90" i="9"/>
  <c r="C90" i="9" s="1"/>
  <c r="E89" i="9"/>
  <c r="C89" i="9" s="1"/>
  <c r="E88" i="9"/>
  <c r="C88" i="9" s="1"/>
  <c r="E87" i="9"/>
  <c r="C87" i="9" s="1"/>
  <c r="E86" i="9"/>
  <c r="C86" i="9"/>
  <c r="E85" i="9"/>
  <c r="C85" i="9" s="1"/>
  <c r="E84" i="9"/>
  <c r="C84" i="9"/>
  <c r="E83" i="9"/>
  <c r="C83" i="9" s="1"/>
  <c r="E82" i="9"/>
  <c r="C82" i="9" s="1"/>
  <c r="E81" i="9"/>
  <c r="C81" i="9" s="1"/>
  <c r="E80" i="9"/>
  <c r="C80" i="9" s="1"/>
  <c r="E79" i="9"/>
  <c r="C79" i="9" s="1"/>
  <c r="E78" i="9"/>
  <c r="C78" i="9" s="1"/>
  <c r="E77" i="9"/>
  <c r="C77" i="9"/>
  <c r="E76" i="9"/>
  <c r="C76" i="9" s="1"/>
  <c r="E75" i="9"/>
  <c r="C75" i="9" s="1"/>
  <c r="E74" i="9"/>
  <c r="C74" i="9" s="1"/>
  <c r="E73" i="9"/>
  <c r="C73" i="9"/>
  <c r="E72" i="9"/>
  <c r="C72" i="9" s="1"/>
  <c r="E71" i="9"/>
  <c r="C71" i="9" s="1"/>
  <c r="E70" i="9"/>
  <c r="C70" i="9" s="1"/>
  <c r="E69" i="9"/>
  <c r="C69" i="9" s="1"/>
  <c r="E68" i="9"/>
  <c r="C68" i="9" s="1"/>
  <c r="E67" i="9"/>
  <c r="C67" i="9" s="1"/>
  <c r="E66" i="9"/>
  <c r="C66" i="9"/>
  <c r="E65" i="9"/>
  <c r="C65" i="9" s="1"/>
  <c r="E64" i="9"/>
  <c r="C64" i="9" s="1"/>
  <c r="E63" i="9"/>
  <c r="C63" i="9" s="1"/>
  <c r="E62" i="9"/>
  <c r="C62" i="9" s="1"/>
  <c r="E61" i="9"/>
  <c r="C61" i="9"/>
  <c r="E60" i="9"/>
  <c r="C60" i="9" s="1"/>
  <c r="E59" i="9"/>
  <c r="C59" i="9" s="1"/>
  <c r="E58" i="9"/>
  <c r="C58" i="9" s="1"/>
  <c r="E57" i="9"/>
  <c r="C57" i="9" s="1"/>
  <c r="E56" i="9"/>
  <c r="C56" i="9" s="1"/>
  <c r="E55" i="9"/>
  <c r="C55" i="9" s="1"/>
  <c r="E54" i="9"/>
  <c r="C54" i="9" s="1"/>
  <c r="E53" i="9"/>
  <c r="C53" i="9" s="1"/>
  <c r="E52" i="9"/>
  <c r="C52" i="9" s="1"/>
  <c r="E51" i="9"/>
  <c r="C51" i="9" s="1"/>
  <c r="E50" i="9"/>
  <c r="C50" i="9"/>
  <c r="E49" i="9"/>
  <c r="C49" i="9" s="1"/>
  <c r="E48" i="9"/>
  <c r="C48" i="9"/>
  <c r="E47" i="9"/>
  <c r="C47" i="9" s="1"/>
  <c r="E46" i="9"/>
  <c r="C46" i="9" s="1"/>
  <c r="E45" i="9"/>
  <c r="C45" i="9" s="1"/>
  <c r="E44" i="9"/>
  <c r="C44" i="9" s="1"/>
  <c r="E43" i="9"/>
  <c r="E42" i="9"/>
  <c r="C42" i="9" s="1"/>
  <c r="E41" i="9"/>
  <c r="C41" i="9" s="1"/>
  <c r="E40" i="9"/>
  <c r="E39" i="9"/>
  <c r="C39" i="9" s="1"/>
  <c r="E38" i="9"/>
  <c r="C38" i="9"/>
  <c r="E37" i="9"/>
  <c r="C37" i="9" s="1"/>
  <c r="E36" i="9"/>
  <c r="E35" i="9"/>
  <c r="C35" i="9" s="1"/>
  <c r="E34" i="9"/>
  <c r="C34" i="9" s="1"/>
  <c r="E33" i="9"/>
  <c r="C33" i="9" s="1"/>
  <c r="E32" i="9"/>
  <c r="E31" i="9"/>
  <c r="C31" i="9" s="1"/>
  <c r="E30" i="9"/>
  <c r="C30" i="9" s="1"/>
  <c r="E29" i="9"/>
  <c r="C29" i="9" s="1"/>
  <c r="E28" i="9"/>
  <c r="E27" i="9"/>
  <c r="C27" i="9" s="1"/>
  <c r="E26" i="9"/>
  <c r="C26" i="9" s="1"/>
  <c r="E25" i="9"/>
  <c r="C25" i="9" s="1"/>
  <c r="E24" i="9"/>
  <c r="C24" i="9" s="1"/>
  <c r="E23" i="9"/>
  <c r="C23" i="9" s="1"/>
  <c r="E22" i="9"/>
  <c r="C22" i="9" s="1"/>
  <c r="E21" i="9"/>
  <c r="E20" i="9"/>
  <c r="C20" i="9" s="1"/>
  <c r="E19" i="9"/>
  <c r="C19" i="9" s="1"/>
  <c r="E18" i="9"/>
  <c r="C18" i="9" s="1"/>
  <c r="E17" i="9"/>
  <c r="E16" i="9"/>
  <c r="C16" i="9" s="1"/>
  <c r="E15" i="9"/>
  <c r="C15" i="9" s="1"/>
  <c r="E14" i="9"/>
  <c r="E13" i="9"/>
  <c r="C13" i="9" s="1"/>
  <c r="E12" i="9"/>
  <c r="E11" i="9"/>
  <c r="C11" i="9" s="1"/>
  <c r="E10" i="9"/>
  <c r="C10" i="9" s="1"/>
  <c r="FM7" i="9"/>
  <c r="FL7" i="9"/>
  <c r="FK7" i="9"/>
  <c r="FJ7" i="9"/>
  <c r="FJ6" i="9" s="1"/>
  <c r="FI7" i="9"/>
  <c r="FI6" i="9" s="1"/>
  <c r="FH7" i="9"/>
  <c r="FH6" i="9" s="1"/>
  <c r="FG7" i="9"/>
  <c r="FF7" i="9"/>
  <c r="FF6" i="9" s="1"/>
  <c r="FE7" i="9"/>
  <c r="FD7" i="9"/>
  <c r="FD6" i="9" s="1"/>
  <c r="FC7" i="9"/>
  <c r="FB7" i="9"/>
  <c r="FB6" i="9" s="1"/>
  <c r="FA7" i="9"/>
  <c r="EZ7" i="9"/>
  <c r="EY7" i="9"/>
  <c r="EX7" i="9"/>
  <c r="EX6" i="9" s="1"/>
  <c r="EW7" i="9"/>
  <c r="EV7" i="9"/>
  <c r="EU7" i="9"/>
  <c r="ET7" i="9"/>
  <c r="ET6" i="9" s="1"/>
  <c r="ES7" i="9"/>
  <c r="ES6" i="9" s="1"/>
  <c r="ER7" i="9"/>
  <c r="EQ7" i="9"/>
  <c r="EP7" i="9"/>
  <c r="EP6" i="9" s="1"/>
  <c r="EO7" i="9"/>
  <c r="EO6" i="9" s="1"/>
  <c r="EN7" i="9"/>
  <c r="EN6" i="9" s="1"/>
  <c r="EM7" i="9"/>
  <c r="EL7" i="9"/>
  <c r="EL6" i="9" s="1"/>
  <c r="EK7" i="9"/>
  <c r="EJ7" i="9"/>
  <c r="EI7" i="9"/>
  <c r="EH7" i="9"/>
  <c r="EH6" i="9" s="1"/>
  <c r="EG7" i="9"/>
  <c r="EG6" i="9" s="1"/>
  <c r="EF7" i="9"/>
  <c r="EE7" i="9"/>
  <c r="ED7" i="9"/>
  <c r="ED6" i="9" s="1"/>
  <c r="EC7" i="9"/>
  <c r="EC6" i="9" s="1"/>
  <c r="EB7" i="9"/>
  <c r="EA7" i="9"/>
  <c r="DZ7" i="9"/>
  <c r="DZ6" i="9" s="1"/>
  <c r="DY7" i="9"/>
  <c r="DX7" i="9"/>
  <c r="DX6" i="9" s="1"/>
  <c r="DW7" i="9"/>
  <c r="DV7" i="9"/>
  <c r="DV6" i="9" s="1"/>
  <c r="DU7" i="9"/>
  <c r="DT7" i="9"/>
  <c r="DS7" i="9"/>
  <c r="DR7" i="9"/>
  <c r="DR6" i="9" s="1"/>
  <c r="DQ7" i="9"/>
  <c r="DP7" i="9"/>
  <c r="DO7" i="9"/>
  <c r="DN7" i="9"/>
  <c r="DN6" i="9" s="1"/>
  <c r="DM7" i="9"/>
  <c r="DM6" i="9" s="1"/>
  <c r="DL7" i="9"/>
  <c r="DL6" i="9" s="1"/>
  <c r="DK7" i="9"/>
  <c r="DJ7" i="9"/>
  <c r="DJ6" i="9" s="1"/>
  <c r="DI7" i="9"/>
  <c r="DI6" i="9" s="1"/>
  <c r="DH7" i="9"/>
  <c r="DH6" i="9" s="1"/>
  <c r="DG7" i="9"/>
  <c r="DF7" i="9"/>
  <c r="DF6" i="9" s="1"/>
  <c r="DE7" i="9"/>
  <c r="DD7" i="9"/>
  <c r="DD6" i="9" s="1"/>
  <c r="DC7" i="9"/>
  <c r="DB7" i="9"/>
  <c r="DB6" i="9" s="1"/>
  <c r="DA7" i="9"/>
  <c r="DA6" i="9" s="1"/>
  <c r="CZ7" i="9"/>
  <c r="CY7" i="9"/>
  <c r="CX7" i="9"/>
  <c r="CX6" i="9" s="1"/>
  <c r="CW7" i="9"/>
  <c r="CW6" i="9" s="1"/>
  <c r="CV7" i="9"/>
  <c r="CV6" i="9" s="1"/>
  <c r="CU7" i="9"/>
  <c r="CT7" i="9"/>
  <c r="CT6" i="9" s="1"/>
  <c r="CS7" i="9"/>
  <c r="CS6" i="9" s="1"/>
  <c r="CR7" i="9"/>
  <c r="CR6" i="9" s="1"/>
  <c r="CQ7" i="9"/>
  <c r="CP7" i="9"/>
  <c r="CP6" i="9" s="1"/>
  <c r="CO7" i="9"/>
  <c r="CN7" i="9"/>
  <c r="CN6" i="9" s="1"/>
  <c r="CM7" i="9"/>
  <c r="CL7" i="9"/>
  <c r="CL6" i="9" s="1"/>
  <c r="CK7" i="9"/>
  <c r="CJ7" i="9"/>
  <c r="CI7" i="9"/>
  <c r="CH7" i="9"/>
  <c r="CH6" i="9" s="1"/>
  <c r="CG7" i="9"/>
  <c r="CG6" i="9" s="1"/>
  <c r="CF7" i="9"/>
  <c r="CE7" i="9"/>
  <c r="CD7" i="9"/>
  <c r="CD6" i="9" s="1"/>
  <c r="CC7" i="9"/>
  <c r="CC6" i="9" s="1"/>
  <c r="CB7" i="9"/>
  <c r="CB6" i="9" s="1"/>
  <c r="CA7" i="9"/>
  <c r="BZ7" i="9"/>
  <c r="BZ6" i="9" s="1"/>
  <c r="BY7" i="9"/>
  <c r="BX7" i="9"/>
  <c r="BW7" i="9"/>
  <c r="BV7" i="9"/>
  <c r="BV6" i="9" s="1"/>
  <c r="BU7" i="9"/>
  <c r="BU6" i="9" s="1"/>
  <c r="BT7" i="9"/>
  <c r="BS7" i="9"/>
  <c r="BR7" i="9"/>
  <c r="BR6" i="9" s="1"/>
  <c r="BQ7" i="9"/>
  <c r="BQ6" i="9" s="1"/>
  <c r="BP7" i="9"/>
  <c r="BO7" i="9"/>
  <c r="BN7" i="9"/>
  <c r="BN6" i="9" s="1"/>
  <c r="BM7" i="9"/>
  <c r="BM6" i="9" s="1"/>
  <c r="BL7" i="9"/>
  <c r="BL6" i="9" s="1"/>
  <c r="BK7" i="9"/>
  <c r="BJ7" i="9"/>
  <c r="BJ6" i="9" s="1"/>
  <c r="BI7" i="9"/>
  <c r="BH7" i="9"/>
  <c r="BH6" i="9" s="1"/>
  <c r="BG7" i="9"/>
  <c r="BF7" i="9"/>
  <c r="BF6" i="9" s="1"/>
  <c r="BE7" i="9"/>
  <c r="BE6" i="9" s="1"/>
  <c r="BD7" i="9"/>
  <c r="BC7" i="9"/>
  <c r="BB7" i="9"/>
  <c r="BB6" i="9" s="1"/>
  <c r="BA7" i="9"/>
  <c r="BA6" i="9" s="1"/>
  <c r="AZ7" i="9"/>
  <c r="AY7" i="9"/>
  <c r="AX7" i="9"/>
  <c r="AX6" i="9" s="1"/>
  <c r="AW7" i="9"/>
  <c r="AW6" i="9" s="1"/>
  <c r="AV7" i="9"/>
  <c r="AV6" i="9" s="1"/>
  <c r="AU7" i="9"/>
  <c r="AT7" i="9"/>
  <c r="AT6" i="9" s="1"/>
  <c r="AS7" i="9"/>
  <c r="AR7" i="9"/>
  <c r="AR6" i="9" s="1"/>
  <c r="AQ7" i="9"/>
  <c r="AP7" i="9"/>
  <c r="AP6" i="9" s="1"/>
  <c r="AO7" i="9"/>
  <c r="AO6" i="9" s="1"/>
  <c r="AN7" i="9"/>
  <c r="AM7" i="9"/>
  <c r="AL7" i="9"/>
  <c r="AL6" i="9" s="1"/>
  <c r="AK7" i="9"/>
  <c r="AK6" i="9" s="1"/>
  <c r="AJ7" i="9"/>
  <c r="AI7" i="9"/>
  <c r="AH7" i="9"/>
  <c r="AH6" i="9" s="1"/>
  <c r="AG7" i="9"/>
  <c r="AG6" i="9" s="1"/>
  <c r="AF7" i="9"/>
  <c r="AF6" i="9" s="1"/>
  <c r="AE7" i="9"/>
  <c r="AD7" i="9"/>
  <c r="AD6" i="9" s="1"/>
  <c r="AC7" i="9"/>
  <c r="AB7" i="9"/>
  <c r="AB6" i="9" s="1"/>
  <c r="AA7" i="9"/>
  <c r="Z7" i="9"/>
  <c r="Z6" i="9" s="1"/>
  <c r="Y7" i="9"/>
  <c r="Y6" i="9" s="1"/>
  <c r="X7" i="9"/>
  <c r="W7" i="9"/>
  <c r="V7" i="9"/>
  <c r="V6" i="9" s="1"/>
  <c r="U7" i="9"/>
  <c r="U6" i="9" s="1"/>
  <c r="T7" i="9"/>
  <c r="S7" i="9"/>
  <c r="R7" i="9"/>
  <c r="R6" i="9" s="1"/>
  <c r="Q7" i="9"/>
  <c r="Q6" i="9" s="1"/>
  <c r="P7" i="9"/>
  <c r="P6" i="9" s="1"/>
  <c r="O7" i="9"/>
  <c r="N7" i="9"/>
  <c r="N6" i="9" s="1"/>
  <c r="M7" i="9"/>
  <c r="L7" i="9"/>
  <c r="L6" i="9" s="1"/>
  <c r="K7" i="9"/>
  <c r="J7" i="9"/>
  <c r="J6" i="9" s="1"/>
  <c r="I7" i="9"/>
  <c r="I6" i="9" s="1"/>
  <c r="H7" i="9"/>
  <c r="G7" i="9"/>
  <c r="FM6" i="9"/>
  <c r="FL6" i="9"/>
  <c r="FK6" i="9"/>
  <c r="FG6" i="9"/>
  <c r="FE6" i="9"/>
  <c r="FC6" i="9"/>
  <c r="FA6" i="9"/>
  <c r="EZ6" i="9"/>
  <c r="EY6" i="9"/>
  <c r="EW6" i="9"/>
  <c r="EV6" i="9"/>
  <c r="EU6" i="9"/>
  <c r="ER6" i="9"/>
  <c r="EQ6" i="9"/>
  <c r="EM6" i="9"/>
  <c r="EK6" i="9"/>
  <c r="EJ6" i="9"/>
  <c r="EI6" i="9"/>
  <c r="EF6" i="9"/>
  <c r="EE6" i="9"/>
  <c r="EB6" i="9"/>
  <c r="EA6" i="9"/>
  <c r="DY6" i="9"/>
  <c r="DW6" i="9"/>
  <c r="DU6" i="9"/>
  <c r="DT6" i="9"/>
  <c r="DS6" i="9"/>
  <c r="DQ6" i="9"/>
  <c r="DP6" i="9"/>
  <c r="DO6" i="9"/>
  <c r="DK6" i="9"/>
  <c r="DG6" i="9"/>
  <c r="DE6" i="9"/>
  <c r="DC6" i="9"/>
  <c r="CZ6" i="9"/>
  <c r="CY6" i="9"/>
  <c r="CU6" i="9"/>
  <c r="CQ6" i="9"/>
  <c r="CO6" i="9"/>
  <c r="CM6" i="9"/>
  <c r="CK6" i="9"/>
  <c r="CJ6" i="9"/>
  <c r="CI6" i="9"/>
  <c r="CF6" i="9"/>
  <c r="CE6" i="9"/>
  <c r="CA6" i="9"/>
  <c r="BY6" i="9"/>
  <c r="BX6" i="9"/>
  <c r="BW6" i="9"/>
  <c r="BT6" i="9"/>
  <c r="BS6" i="9"/>
  <c r="BP6" i="9"/>
  <c r="BO6" i="9"/>
  <c r="BK6" i="9"/>
  <c r="BI6" i="9"/>
  <c r="BG6" i="9"/>
  <c r="BD6" i="9"/>
  <c r="BC6" i="9"/>
  <c r="AZ6" i="9"/>
  <c r="AY6" i="9"/>
  <c r="AU6" i="9"/>
  <c r="AS6" i="9"/>
  <c r="AQ6" i="9"/>
  <c r="AN6" i="9"/>
  <c r="AM6" i="9"/>
  <c r="AJ6" i="9"/>
  <c r="AI6" i="9"/>
  <c r="AE6" i="9"/>
  <c r="AC6" i="9"/>
  <c r="AA6" i="9"/>
  <c r="X6" i="9"/>
  <c r="W6" i="9"/>
  <c r="T6" i="9"/>
  <c r="S6" i="9"/>
  <c r="O6" i="9"/>
  <c r="M6" i="9"/>
  <c r="K6" i="9"/>
  <c r="H6" i="9"/>
  <c r="E203" i="8"/>
  <c r="C203" i="8"/>
  <c r="E202" i="8"/>
  <c r="C202" i="8"/>
  <c r="E201" i="8"/>
  <c r="C201" i="8"/>
  <c r="E200" i="8"/>
  <c r="C200" i="8" s="1"/>
  <c r="E199" i="8"/>
  <c r="C199" i="8" s="1"/>
  <c r="E198" i="8"/>
  <c r="C198" i="8"/>
  <c r="E197" i="8"/>
  <c r="C197" i="8" s="1"/>
  <c r="E196" i="8"/>
  <c r="C196" i="8" s="1"/>
  <c r="E195" i="8"/>
  <c r="C195" i="8" s="1"/>
  <c r="E194" i="8"/>
  <c r="C194" i="8"/>
  <c r="E193" i="8"/>
  <c r="C193" i="8" s="1"/>
  <c r="E192" i="8"/>
  <c r="C192" i="8" s="1"/>
  <c r="E191" i="8"/>
  <c r="C191" i="8" s="1"/>
  <c r="E190" i="8"/>
  <c r="C190" i="8" s="1"/>
  <c r="E189" i="8"/>
  <c r="C189" i="8"/>
  <c r="E188" i="8"/>
  <c r="C188" i="8" s="1"/>
  <c r="E187" i="8"/>
  <c r="C187" i="8" s="1"/>
  <c r="E186" i="8"/>
  <c r="C186" i="8" s="1"/>
  <c r="E185" i="8"/>
  <c r="C185" i="8"/>
  <c r="E184" i="8"/>
  <c r="C184" i="8" s="1"/>
  <c r="E183" i="8"/>
  <c r="C183" i="8" s="1"/>
  <c r="E182" i="8"/>
  <c r="C182" i="8" s="1"/>
  <c r="E181" i="8"/>
  <c r="C181" i="8" s="1"/>
  <c r="E180" i="8"/>
  <c r="C180" i="8" s="1"/>
  <c r="E179" i="8"/>
  <c r="C179" i="8" s="1"/>
  <c r="E178" i="8"/>
  <c r="C178" i="8" s="1"/>
  <c r="E177" i="8"/>
  <c r="C177" i="8"/>
  <c r="E176" i="8"/>
  <c r="C176" i="8" s="1"/>
  <c r="E175" i="8"/>
  <c r="C175" i="8" s="1"/>
  <c r="E174" i="8"/>
  <c r="C174" i="8" s="1"/>
  <c r="E173" i="8"/>
  <c r="C173" i="8" s="1"/>
  <c r="E172" i="8"/>
  <c r="C172" i="8" s="1"/>
  <c r="E171" i="8"/>
  <c r="C171" i="8" s="1"/>
  <c r="E170" i="8"/>
  <c r="C170" i="8" s="1"/>
  <c r="E169" i="8"/>
  <c r="C169" i="8"/>
  <c r="E168" i="8"/>
  <c r="C168" i="8" s="1"/>
  <c r="E167" i="8"/>
  <c r="C167" i="8" s="1"/>
  <c r="E166" i="8"/>
  <c r="C166" i="8" s="1"/>
  <c r="E165" i="8"/>
  <c r="C165" i="8" s="1"/>
  <c r="E164" i="8"/>
  <c r="C164" i="8" s="1"/>
  <c r="E163" i="8"/>
  <c r="C163" i="8" s="1"/>
  <c r="E162" i="8"/>
  <c r="C162" i="8" s="1"/>
  <c r="E161" i="8"/>
  <c r="C161" i="8" s="1"/>
  <c r="E160" i="8"/>
  <c r="C160" i="8" s="1"/>
  <c r="E159" i="8"/>
  <c r="C159" i="8"/>
  <c r="E158" i="8"/>
  <c r="C158" i="8"/>
  <c r="E157" i="8"/>
  <c r="C157" i="8" s="1"/>
  <c r="E156" i="8"/>
  <c r="C156" i="8" s="1"/>
  <c r="E155" i="8"/>
  <c r="C155" i="8" s="1"/>
  <c r="E154" i="8"/>
  <c r="C154" i="8" s="1"/>
  <c r="E153" i="8"/>
  <c r="C153" i="8" s="1"/>
  <c r="E152" i="8"/>
  <c r="C152" i="8" s="1"/>
  <c r="E151" i="8"/>
  <c r="C151" i="8" s="1"/>
  <c r="E150" i="8"/>
  <c r="C150" i="8" s="1"/>
  <c r="E149" i="8"/>
  <c r="C149" i="8" s="1"/>
  <c r="E148" i="8"/>
  <c r="C148" i="8" s="1"/>
  <c r="E147" i="8"/>
  <c r="C147" i="8" s="1"/>
  <c r="E146" i="8"/>
  <c r="C146" i="8" s="1"/>
  <c r="E145" i="8"/>
  <c r="C145" i="8" s="1"/>
  <c r="E144" i="8"/>
  <c r="C144" i="8" s="1"/>
  <c r="E143" i="8"/>
  <c r="C143" i="8" s="1"/>
  <c r="E142" i="8"/>
  <c r="C142" i="8" s="1"/>
  <c r="E141" i="8"/>
  <c r="C141" i="8" s="1"/>
  <c r="E140" i="8"/>
  <c r="C140" i="8" s="1"/>
  <c r="E139" i="8"/>
  <c r="C139" i="8" s="1"/>
  <c r="E138" i="8"/>
  <c r="C138" i="8" s="1"/>
  <c r="E137" i="8"/>
  <c r="C137" i="8" s="1"/>
  <c r="E136" i="8"/>
  <c r="C136" i="8" s="1"/>
  <c r="E135" i="8"/>
  <c r="C135" i="8"/>
  <c r="E134" i="8"/>
  <c r="C134" i="8" s="1"/>
  <c r="E133" i="8"/>
  <c r="C133" i="8" s="1"/>
  <c r="E132" i="8"/>
  <c r="C132" i="8" s="1"/>
  <c r="E131" i="8"/>
  <c r="C131" i="8" s="1"/>
  <c r="E130" i="8"/>
  <c r="C130" i="8" s="1"/>
  <c r="E129" i="8"/>
  <c r="C129" i="8" s="1"/>
  <c r="E128" i="8"/>
  <c r="C128" i="8" s="1"/>
  <c r="E127" i="8"/>
  <c r="C127" i="8" s="1"/>
  <c r="E126" i="8"/>
  <c r="C126" i="8" s="1"/>
  <c r="E125" i="8"/>
  <c r="C125" i="8" s="1"/>
  <c r="E124" i="8"/>
  <c r="C124" i="8" s="1"/>
  <c r="E123" i="8"/>
  <c r="C123" i="8" s="1"/>
  <c r="E122" i="8"/>
  <c r="C122" i="8" s="1"/>
  <c r="E121" i="8"/>
  <c r="C121" i="8"/>
  <c r="E120" i="8"/>
  <c r="C120" i="8" s="1"/>
  <c r="E119" i="8"/>
  <c r="C119" i="8" s="1"/>
  <c r="E118" i="8"/>
  <c r="C118" i="8" s="1"/>
  <c r="E117" i="8"/>
  <c r="C117" i="8"/>
  <c r="E116" i="8"/>
  <c r="C116" i="8" s="1"/>
  <c r="E115" i="8"/>
  <c r="C115" i="8" s="1"/>
  <c r="E114" i="8"/>
  <c r="C114" i="8" s="1"/>
  <c r="E113" i="8"/>
  <c r="C113" i="8" s="1"/>
  <c r="E112" i="8"/>
  <c r="C112" i="8" s="1"/>
  <c r="E111" i="8"/>
  <c r="C111" i="8" s="1"/>
  <c r="E110" i="8"/>
  <c r="C110" i="8"/>
  <c r="E109" i="8"/>
  <c r="C109" i="8" s="1"/>
  <c r="E108" i="8"/>
  <c r="C108" i="8" s="1"/>
  <c r="E107" i="8"/>
  <c r="C107" i="8" s="1"/>
  <c r="E106" i="8"/>
  <c r="C106" i="8" s="1"/>
  <c r="E105" i="8"/>
  <c r="C105" i="8" s="1"/>
  <c r="E104" i="8"/>
  <c r="C104" i="8" s="1"/>
  <c r="E103" i="8"/>
  <c r="C103" i="8" s="1"/>
  <c r="E102" i="8"/>
  <c r="C102" i="8" s="1"/>
  <c r="E101" i="8"/>
  <c r="C101" i="8" s="1"/>
  <c r="E100" i="8"/>
  <c r="C100" i="8" s="1"/>
  <c r="E99" i="8"/>
  <c r="C99" i="8" s="1"/>
  <c r="E98" i="8"/>
  <c r="C98" i="8"/>
  <c r="E97" i="8"/>
  <c r="C97" i="8" s="1"/>
  <c r="E96" i="8"/>
  <c r="C96" i="8" s="1"/>
  <c r="E95" i="8"/>
  <c r="C95" i="8" s="1"/>
  <c r="E94" i="8"/>
  <c r="C94" i="8" s="1"/>
  <c r="E93" i="8"/>
  <c r="C93" i="8" s="1"/>
  <c r="E92" i="8"/>
  <c r="C92" i="8" s="1"/>
  <c r="E91" i="8"/>
  <c r="C91" i="8" s="1"/>
  <c r="E90" i="8"/>
  <c r="C90" i="8" s="1"/>
  <c r="E89" i="8"/>
  <c r="C89" i="8"/>
  <c r="E88" i="8"/>
  <c r="C88" i="8" s="1"/>
  <c r="E87" i="8"/>
  <c r="C87" i="8" s="1"/>
  <c r="E86" i="8"/>
  <c r="C86" i="8" s="1"/>
  <c r="E85" i="8"/>
  <c r="C85" i="8" s="1"/>
  <c r="E84" i="8"/>
  <c r="C84" i="8"/>
  <c r="E83" i="8"/>
  <c r="C83" i="8" s="1"/>
  <c r="E82" i="8"/>
  <c r="C82" i="8" s="1"/>
  <c r="E81" i="8"/>
  <c r="C81" i="8" s="1"/>
  <c r="E80" i="8"/>
  <c r="C80" i="8" s="1"/>
  <c r="E79" i="8"/>
  <c r="C79" i="8" s="1"/>
  <c r="E78" i="8"/>
  <c r="C78" i="8" s="1"/>
  <c r="E77" i="8"/>
  <c r="C77" i="8" s="1"/>
  <c r="E76" i="8"/>
  <c r="C76" i="8" s="1"/>
  <c r="E75" i="8"/>
  <c r="C75" i="8" s="1"/>
  <c r="E74" i="8"/>
  <c r="C74" i="8" s="1"/>
  <c r="E73" i="8"/>
  <c r="C73" i="8" s="1"/>
  <c r="E72" i="8"/>
  <c r="C72" i="8" s="1"/>
  <c r="E71" i="8"/>
  <c r="C71" i="8" s="1"/>
  <c r="E70" i="8"/>
  <c r="C70" i="8" s="1"/>
  <c r="E69" i="8"/>
  <c r="E68" i="8"/>
  <c r="C68" i="8" s="1"/>
  <c r="E67" i="8"/>
  <c r="C67" i="8" s="1"/>
  <c r="E66" i="8"/>
  <c r="C66" i="8" s="1"/>
  <c r="E65" i="8"/>
  <c r="C65" i="8"/>
  <c r="E64" i="8"/>
  <c r="C64" i="8" s="1"/>
  <c r="E63" i="8"/>
  <c r="C63" i="8" s="1"/>
  <c r="E62" i="8"/>
  <c r="C62" i="8" s="1"/>
  <c r="E61" i="8"/>
  <c r="C61" i="8"/>
  <c r="E60" i="8"/>
  <c r="C60" i="8" s="1"/>
  <c r="E59" i="8"/>
  <c r="C59" i="8" s="1"/>
  <c r="E58" i="8"/>
  <c r="C58" i="8" s="1"/>
  <c r="E57" i="8"/>
  <c r="C57" i="8" s="1"/>
  <c r="E56" i="8"/>
  <c r="C56" i="8" s="1"/>
  <c r="E55" i="8"/>
  <c r="E54" i="8"/>
  <c r="C54" i="8" s="1"/>
  <c r="E53" i="8"/>
  <c r="C53" i="8" s="1"/>
  <c r="E52" i="8"/>
  <c r="C52" i="8" s="1"/>
  <c r="E51" i="8"/>
  <c r="C51" i="8" s="1"/>
  <c r="E50" i="8"/>
  <c r="C50" i="8" s="1"/>
  <c r="E49" i="8"/>
  <c r="C49" i="8" s="1"/>
  <c r="E48" i="8"/>
  <c r="C48" i="8" s="1"/>
  <c r="E47" i="8"/>
  <c r="C47" i="8" s="1"/>
  <c r="E46" i="8"/>
  <c r="C46" i="8" s="1"/>
  <c r="E45" i="8"/>
  <c r="C45" i="8" s="1"/>
  <c r="E44" i="8"/>
  <c r="C44" i="8" s="1"/>
  <c r="E43" i="8"/>
  <c r="C43" i="8" s="1"/>
  <c r="E42" i="8"/>
  <c r="C42" i="8" s="1"/>
  <c r="E41" i="8"/>
  <c r="C41" i="8" s="1"/>
  <c r="E40" i="8"/>
  <c r="C40" i="8" s="1"/>
  <c r="E39" i="8"/>
  <c r="C39" i="8" s="1"/>
  <c r="E38" i="8"/>
  <c r="C38" i="8" s="1"/>
  <c r="E37" i="8"/>
  <c r="E36" i="8"/>
  <c r="C36" i="8" s="1"/>
  <c r="E35" i="8"/>
  <c r="C35" i="8" s="1"/>
  <c r="E34" i="8"/>
  <c r="E33" i="8"/>
  <c r="C33" i="8"/>
  <c r="E32" i="8"/>
  <c r="C32" i="8" s="1"/>
  <c r="E31" i="8"/>
  <c r="C31" i="8" s="1"/>
  <c r="E30" i="8"/>
  <c r="E29" i="8"/>
  <c r="C29" i="8" s="1"/>
  <c r="E28" i="8"/>
  <c r="C28" i="8" s="1"/>
  <c r="E27" i="8"/>
  <c r="C27" i="8" s="1"/>
  <c r="E26" i="8"/>
  <c r="E25" i="8"/>
  <c r="C25" i="8" s="1"/>
  <c r="E24" i="8"/>
  <c r="C24" i="8" s="1"/>
  <c r="E23" i="8"/>
  <c r="C23" i="8" s="1"/>
  <c r="E22" i="8"/>
  <c r="E21" i="8"/>
  <c r="C21" i="8" s="1"/>
  <c r="E20" i="8"/>
  <c r="E19" i="8"/>
  <c r="C19" i="8" s="1"/>
  <c r="E18" i="8"/>
  <c r="C18" i="8" s="1"/>
  <c r="E17" i="8"/>
  <c r="C17" i="8" s="1"/>
  <c r="E16" i="8"/>
  <c r="C16" i="8" s="1"/>
  <c r="E15" i="8"/>
  <c r="E14" i="8"/>
  <c r="C14" i="8" s="1"/>
  <c r="E13" i="8"/>
  <c r="E12" i="8"/>
  <c r="C12" i="8" s="1"/>
  <c r="E11" i="8"/>
  <c r="E10" i="8"/>
  <c r="C10" i="8" s="1"/>
  <c r="FS7" i="8"/>
  <c r="FR7" i="8"/>
  <c r="FQ7" i="8"/>
  <c r="FP7" i="8"/>
  <c r="FO7" i="8"/>
  <c r="FN7" i="8"/>
  <c r="FM7" i="8"/>
  <c r="FL7" i="8"/>
  <c r="FK7" i="8"/>
  <c r="FJ7" i="8"/>
  <c r="FI7" i="8"/>
  <c r="FH7" i="8"/>
  <c r="FG7" i="8"/>
  <c r="FF7" i="8"/>
  <c r="FE7" i="8"/>
  <c r="FD7" i="8"/>
  <c r="FC7" i="8"/>
  <c r="FB7" i="8"/>
  <c r="FA7" i="8"/>
  <c r="EZ7" i="8"/>
  <c r="EY7" i="8"/>
  <c r="EX7" i="8"/>
  <c r="EW7" i="8"/>
  <c r="EV7" i="8"/>
  <c r="EU7" i="8"/>
  <c r="ET7" i="8"/>
  <c r="ES7" i="8"/>
  <c r="ER7" i="8"/>
  <c r="EQ7" i="8"/>
  <c r="EP7" i="8"/>
  <c r="EO7" i="8"/>
  <c r="EN7" i="8"/>
  <c r="EM7" i="8"/>
  <c r="EL7" i="8"/>
  <c r="EK7" i="8"/>
  <c r="EJ7" i="8"/>
  <c r="EI7" i="8"/>
  <c r="EH7" i="8"/>
  <c r="EG7" i="8"/>
  <c r="EF7" i="8"/>
  <c r="EE7" i="8"/>
  <c r="ED7" i="8"/>
  <c r="EC7" i="8"/>
  <c r="EB7" i="8"/>
  <c r="EA7" i="8"/>
  <c r="DZ7" i="8"/>
  <c r="DY7" i="8"/>
  <c r="DX7" i="8"/>
  <c r="DW7" i="8"/>
  <c r="DV7" i="8"/>
  <c r="DU7" i="8"/>
  <c r="DT7" i="8"/>
  <c r="DS7" i="8"/>
  <c r="DR7" i="8"/>
  <c r="DQ7" i="8"/>
  <c r="DP7" i="8"/>
  <c r="DO7" i="8"/>
  <c r="DN7" i="8"/>
  <c r="DM7" i="8"/>
  <c r="DL7" i="8"/>
  <c r="DK7" i="8"/>
  <c r="DJ7" i="8"/>
  <c r="DI7" i="8"/>
  <c r="DH7" i="8"/>
  <c r="DG7" i="8"/>
  <c r="DF7" i="8"/>
  <c r="DE7" i="8"/>
  <c r="DD7" i="8"/>
  <c r="DC7" i="8"/>
  <c r="DB7" i="8"/>
  <c r="DA7" i="8"/>
  <c r="CZ7" i="8"/>
  <c r="CY7" i="8"/>
  <c r="CX7" i="8"/>
  <c r="CW7" i="8"/>
  <c r="CV7" i="8"/>
  <c r="CU7" i="8"/>
  <c r="CT7" i="8"/>
  <c r="CS7" i="8"/>
  <c r="CR7" i="8"/>
  <c r="CQ7" i="8"/>
  <c r="CP7" i="8"/>
  <c r="CO7" i="8"/>
  <c r="CN7" i="8"/>
  <c r="CM7" i="8"/>
  <c r="CL7" i="8"/>
  <c r="CK7" i="8"/>
  <c r="CJ7" i="8"/>
  <c r="CI7" i="8"/>
  <c r="CH7" i="8"/>
  <c r="CG7" i="8"/>
  <c r="CF7" i="8"/>
  <c r="CE7" i="8"/>
  <c r="CD7" i="8"/>
  <c r="CC7" i="8"/>
  <c r="CB7" i="8"/>
  <c r="CA7" i="8"/>
  <c r="BZ7" i="8"/>
  <c r="BY7" i="8"/>
  <c r="BX7" i="8"/>
  <c r="BW7" i="8"/>
  <c r="BV7" i="8"/>
  <c r="BU7" i="8"/>
  <c r="BT7" i="8"/>
  <c r="BS7" i="8"/>
  <c r="BR7" i="8"/>
  <c r="BQ7" i="8"/>
  <c r="BP7" i="8"/>
  <c r="BO7" i="8"/>
  <c r="BN7" i="8"/>
  <c r="BM7" i="8"/>
  <c r="BL7" i="8"/>
  <c r="BK7" i="8"/>
  <c r="BJ7" i="8"/>
  <c r="BI7" i="8"/>
  <c r="BH7" i="8"/>
  <c r="B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X6" i="8" s="1"/>
  <c r="V7" i="8"/>
  <c r="U7" i="8"/>
  <c r="U6" i="8" s="1"/>
  <c r="T7" i="8"/>
  <c r="T6" i="8" s="1"/>
  <c r="S7" i="8"/>
  <c r="R7" i="8"/>
  <c r="R6" i="8" s="1"/>
  <c r="Q7" i="8"/>
  <c r="Q6" i="8" s="1"/>
  <c r="P7" i="8"/>
  <c r="O7" i="8"/>
  <c r="O6" i="8" s="1"/>
  <c r="N7" i="8"/>
  <c r="M7" i="8"/>
  <c r="M6" i="8" s="1"/>
  <c r="L7" i="8"/>
  <c r="L6" i="8" s="1"/>
  <c r="K7" i="8"/>
  <c r="J7" i="8"/>
  <c r="J6" i="8" s="1"/>
  <c r="I7" i="8"/>
  <c r="I6" i="8" s="1"/>
  <c r="H7" i="8"/>
  <c r="G7" i="8"/>
  <c r="FS6" i="8"/>
  <c r="FR6" i="8"/>
  <c r="FQ6" i="8"/>
  <c r="FP6" i="8"/>
  <c r="FO6" i="8"/>
  <c r="FN6" i="8"/>
  <c r="FM6" i="8"/>
  <c r="FL6" i="8"/>
  <c r="FK6" i="8"/>
  <c r="FJ6" i="8"/>
  <c r="FI6" i="8"/>
  <c r="FH6" i="8"/>
  <c r="FG6" i="8"/>
  <c r="FF6" i="8"/>
  <c r="FE6" i="8"/>
  <c r="FD6" i="8"/>
  <c r="FC6" i="8"/>
  <c r="FB6" i="8"/>
  <c r="FA6" i="8"/>
  <c r="EZ6" i="8"/>
  <c r="EY6" i="8"/>
  <c r="EX6" i="8"/>
  <c r="EW6" i="8"/>
  <c r="EV6" i="8"/>
  <c r="EU6" i="8"/>
  <c r="ET6" i="8"/>
  <c r="ES6" i="8"/>
  <c r="ER6" i="8"/>
  <c r="EQ6" i="8"/>
  <c r="EP6" i="8"/>
  <c r="EO6" i="8"/>
  <c r="EN6" i="8"/>
  <c r="EM6" i="8"/>
  <c r="EL6" i="8"/>
  <c r="EK6" i="8"/>
  <c r="EJ6" i="8"/>
  <c r="EI6" i="8"/>
  <c r="EH6" i="8"/>
  <c r="EG6" i="8"/>
  <c r="EF6" i="8"/>
  <c r="EE6" i="8"/>
  <c r="ED6" i="8"/>
  <c r="EC6" i="8"/>
  <c r="EB6" i="8"/>
  <c r="EA6" i="8"/>
  <c r="DZ6" i="8"/>
  <c r="DY6" i="8"/>
  <c r="DX6" i="8"/>
  <c r="DW6" i="8"/>
  <c r="DV6" i="8"/>
  <c r="DU6" i="8"/>
  <c r="DT6" i="8"/>
  <c r="DS6" i="8"/>
  <c r="DR6" i="8"/>
  <c r="DQ6" i="8"/>
  <c r="DP6" i="8"/>
  <c r="DO6" i="8"/>
  <c r="DN6" i="8"/>
  <c r="DM6" i="8"/>
  <c r="DL6" i="8"/>
  <c r="DK6" i="8"/>
  <c r="DJ6" i="8"/>
  <c r="DI6" i="8"/>
  <c r="DH6" i="8"/>
  <c r="DG6" i="8"/>
  <c r="DF6" i="8"/>
  <c r="DE6" i="8"/>
  <c r="DD6" i="8"/>
  <c r="DC6" i="8"/>
  <c r="DB6" i="8"/>
  <c r="DA6" i="8"/>
  <c r="CZ6" i="8"/>
  <c r="CY6" i="8"/>
  <c r="CX6" i="8"/>
  <c r="CW6" i="8"/>
  <c r="CV6" i="8"/>
  <c r="CU6"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W6" i="8"/>
  <c r="V6" i="8"/>
  <c r="S6" i="8"/>
  <c r="P6" i="8"/>
  <c r="N6" i="8"/>
  <c r="H6" i="8"/>
  <c r="E205" i="7"/>
  <c r="C205" i="7" s="1"/>
  <c r="E204" i="7"/>
  <c r="C204" i="7"/>
  <c r="E203" i="7"/>
  <c r="C203" i="7" s="1"/>
  <c r="E202" i="7"/>
  <c r="C202" i="7" s="1"/>
  <c r="E201" i="7"/>
  <c r="C201" i="7" s="1"/>
  <c r="E200" i="7"/>
  <c r="C200" i="7"/>
  <c r="E199" i="7"/>
  <c r="C199" i="7" s="1"/>
  <c r="E198" i="7"/>
  <c r="C198" i="7" s="1"/>
  <c r="E197" i="7"/>
  <c r="C197" i="7" s="1"/>
  <c r="E196" i="7"/>
  <c r="C196" i="7" s="1"/>
  <c r="E195" i="7"/>
  <c r="C195" i="7" s="1"/>
  <c r="E194" i="7"/>
  <c r="C194" i="7" s="1"/>
  <c r="E193" i="7"/>
  <c r="C193" i="7" s="1"/>
  <c r="E192" i="7"/>
  <c r="C192" i="7" s="1"/>
  <c r="E191" i="7"/>
  <c r="C191" i="7" s="1"/>
  <c r="E190" i="7"/>
  <c r="C190" i="7" s="1"/>
  <c r="E189" i="7"/>
  <c r="C189" i="7" s="1"/>
  <c r="E188" i="7"/>
  <c r="C188" i="7" s="1"/>
  <c r="E187" i="7"/>
  <c r="C187" i="7" s="1"/>
  <c r="E186" i="7"/>
  <c r="C186" i="7" s="1"/>
  <c r="E185" i="7"/>
  <c r="C185" i="7" s="1"/>
  <c r="E184" i="7"/>
  <c r="C184" i="7" s="1"/>
  <c r="E183" i="7"/>
  <c r="C183" i="7" s="1"/>
  <c r="E182" i="7"/>
  <c r="C182" i="7" s="1"/>
  <c r="E181" i="7"/>
  <c r="C181" i="7" s="1"/>
  <c r="E180" i="7"/>
  <c r="C180" i="7" s="1"/>
  <c r="E179" i="7"/>
  <c r="C179" i="7" s="1"/>
  <c r="E178" i="7"/>
  <c r="C178" i="7" s="1"/>
  <c r="E177" i="7"/>
  <c r="C177" i="7" s="1"/>
  <c r="E176" i="7"/>
  <c r="C176" i="7"/>
  <c r="E175" i="7"/>
  <c r="C175" i="7" s="1"/>
  <c r="E174" i="7"/>
  <c r="C174" i="7" s="1"/>
  <c r="E173" i="7"/>
  <c r="C173" i="7" s="1"/>
  <c r="E172" i="7"/>
  <c r="C172" i="7"/>
  <c r="E171" i="7"/>
  <c r="C171" i="7" s="1"/>
  <c r="E170" i="7"/>
  <c r="C170" i="7" s="1"/>
  <c r="E169" i="7"/>
  <c r="C169" i="7" s="1"/>
  <c r="E168" i="7"/>
  <c r="C168" i="7" s="1"/>
  <c r="E167" i="7"/>
  <c r="C167" i="7" s="1"/>
  <c r="E166" i="7"/>
  <c r="C166" i="7" s="1"/>
  <c r="E165" i="7"/>
  <c r="C165" i="7" s="1"/>
  <c r="E164" i="7"/>
  <c r="C164" i="7" s="1"/>
  <c r="E163" i="7"/>
  <c r="C163" i="7" s="1"/>
  <c r="E162" i="7"/>
  <c r="C162" i="7" s="1"/>
  <c r="E161" i="7"/>
  <c r="C161" i="7" s="1"/>
  <c r="E160" i="7"/>
  <c r="C160" i="7" s="1"/>
  <c r="E159" i="7"/>
  <c r="C159" i="7" s="1"/>
  <c r="E158" i="7"/>
  <c r="C158" i="7" s="1"/>
  <c r="E157" i="7"/>
  <c r="C157" i="7" s="1"/>
  <c r="E156" i="7"/>
  <c r="C156" i="7" s="1"/>
  <c r="E155" i="7"/>
  <c r="C155" i="7" s="1"/>
  <c r="E154" i="7"/>
  <c r="C154" i="7" s="1"/>
  <c r="E153" i="7"/>
  <c r="C153" i="7" s="1"/>
  <c r="E152" i="7"/>
  <c r="C152" i="7" s="1"/>
  <c r="E151" i="7"/>
  <c r="C151" i="7" s="1"/>
  <c r="E150" i="7"/>
  <c r="C150" i="7" s="1"/>
  <c r="E149" i="7"/>
  <c r="C149" i="7" s="1"/>
  <c r="E148" i="7"/>
  <c r="C148" i="7" s="1"/>
  <c r="E147" i="7"/>
  <c r="C147" i="7" s="1"/>
  <c r="E146" i="7"/>
  <c r="C146" i="7" s="1"/>
  <c r="E145" i="7"/>
  <c r="C145" i="7" s="1"/>
  <c r="E144" i="7"/>
  <c r="C144" i="7" s="1"/>
  <c r="E143" i="7"/>
  <c r="C143" i="7" s="1"/>
  <c r="E142" i="7"/>
  <c r="C142" i="7" s="1"/>
  <c r="E141" i="7"/>
  <c r="C141" i="7" s="1"/>
  <c r="E140" i="7"/>
  <c r="C140" i="7" s="1"/>
  <c r="E139" i="7"/>
  <c r="C139" i="7" s="1"/>
  <c r="E138" i="7"/>
  <c r="C138" i="7" s="1"/>
  <c r="E137" i="7"/>
  <c r="C137" i="7" s="1"/>
  <c r="E136" i="7"/>
  <c r="C136" i="7"/>
  <c r="E135" i="7"/>
  <c r="C135" i="7" s="1"/>
  <c r="E134" i="7"/>
  <c r="C134" i="7" s="1"/>
  <c r="E133" i="7"/>
  <c r="C133" i="7" s="1"/>
  <c r="E132" i="7"/>
  <c r="C132" i="7"/>
  <c r="E131" i="7"/>
  <c r="C131" i="7" s="1"/>
  <c r="E130" i="7"/>
  <c r="C130" i="7" s="1"/>
  <c r="E129" i="7"/>
  <c r="C129" i="7" s="1"/>
  <c r="E128" i="7"/>
  <c r="C128" i="7" s="1"/>
  <c r="E127" i="7"/>
  <c r="C127" i="7" s="1"/>
  <c r="E126" i="7"/>
  <c r="C126" i="7" s="1"/>
  <c r="E125" i="7"/>
  <c r="C125" i="7" s="1"/>
  <c r="E124" i="7"/>
  <c r="C124" i="7" s="1"/>
  <c r="E123" i="7"/>
  <c r="C123" i="7" s="1"/>
  <c r="E122" i="7"/>
  <c r="C122" i="7" s="1"/>
  <c r="E121" i="7"/>
  <c r="C121" i="7" s="1"/>
  <c r="E120" i="7"/>
  <c r="C120" i="7" s="1"/>
  <c r="E119" i="7"/>
  <c r="C119" i="7" s="1"/>
  <c r="E118" i="7"/>
  <c r="C118" i="7" s="1"/>
  <c r="E117" i="7"/>
  <c r="C117" i="7" s="1"/>
  <c r="E116" i="7"/>
  <c r="C116" i="7" s="1"/>
  <c r="E115" i="7"/>
  <c r="C115" i="7" s="1"/>
  <c r="E114" i="7"/>
  <c r="C114" i="7" s="1"/>
  <c r="E113" i="7"/>
  <c r="C113" i="7" s="1"/>
  <c r="E112" i="7"/>
  <c r="C112" i="7"/>
  <c r="E111" i="7"/>
  <c r="C111" i="7" s="1"/>
  <c r="E110" i="7"/>
  <c r="C110" i="7" s="1"/>
  <c r="E109" i="7"/>
  <c r="C109" i="7" s="1"/>
  <c r="E108" i="7"/>
  <c r="C108" i="7"/>
  <c r="E107" i="7"/>
  <c r="C107" i="7" s="1"/>
  <c r="E106" i="7"/>
  <c r="C106" i="7" s="1"/>
  <c r="E105" i="7"/>
  <c r="C105" i="7" s="1"/>
  <c r="E104" i="7"/>
  <c r="C104" i="7" s="1"/>
  <c r="E103" i="7"/>
  <c r="C103" i="7" s="1"/>
  <c r="E102" i="7"/>
  <c r="C102" i="7" s="1"/>
  <c r="E101" i="7"/>
  <c r="C101" i="7" s="1"/>
  <c r="E100" i="7"/>
  <c r="C100" i="7" s="1"/>
  <c r="E99" i="7"/>
  <c r="C99" i="7" s="1"/>
  <c r="E98" i="7"/>
  <c r="C98" i="7" s="1"/>
  <c r="E97" i="7"/>
  <c r="C97" i="7" s="1"/>
  <c r="E96" i="7"/>
  <c r="C96" i="7" s="1"/>
  <c r="E95" i="7"/>
  <c r="C95" i="7" s="1"/>
  <c r="E94" i="7"/>
  <c r="C94" i="7" s="1"/>
  <c r="E93" i="7"/>
  <c r="C93" i="7" s="1"/>
  <c r="E92" i="7"/>
  <c r="C92" i="7" s="1"/>
  <c r="E91" i="7"/>
  <c r="C91" i="7" s="1"/>
  <c r="E90" i="7"/>
  <c r="C90" i="7" s="1"/>
  <c r="E89" i="7"/>
  <c r="C89" i="7" s="1"/>
  <c r="E88" i="7"/>
  <c r="C88" i="7" s="1"/>
  <c r="E87" i="7"/>
  <c r="C87" i="7" s="1"/>
  <c r="E86" i="7"/>
  <c r="C86" i="7" s="1"/>
  <c r="E85" i="7"/>
  <c r="C85" i="7" s="1"/>
  <c r="E84" i="7"/>
  <c r="C84" i="7" s="1"/>
  <c r="E83" i="7"/>
  <c r="C83" i="7" s="1"/>
  <c r="E82" i="7"/>
  <c r="C82" i="7" s="1"/>
  <c r="E81" i="7"/>
  <c r="C81" i="7" s="1"/>
  <c r="E80" i="7"/>
  <c r="C80" i="7" s="1"/>
  <c r="E79" i="7"/>
  <c r="C79" i="7" s="1"/>
  <c r="E78" i="7"/>
  <c r="C78" i="7" s="1"/>
  <c r="E77" i="7"/>
  <c r="C77" i="7" s="1"/>
  <c r="E76" i="7"/>
  <c r="C76" i="7" s="1"/>
  <c r="E75" i="7"/>
  <c r="C75" i="7" s="1"/>
  <c r="E74" i="7"/>
  <c r="E73" i="7"/>
  <c r="E72" i="7"/>
  <c r="C72" i="7"/>
  <c r="E71" i="7"/>
  <c r="E70" i="7"/>
  <c r="C70" i="7" s="1"/>
  <c r="E69" i="7"/>
  <c r="C69" i="7" s="1"/>
  <c r="E68" i="7"/>
  <c r="C68" i="7"/>
  <c r="E67" i="7"/>
  <c r="C67" i="7" s="1"/>
  <c r="E66" i="7"/>
  <c r="C66" i="7" s="1"/>
  <c r="E65" i="7"/>
  <c r="E64" i="7"/>
  <c r="C64" i="7"/>
  <c r="E63" i="7"/>
  <c r="C63" i="7" s="1"/>
  <c r="E62" i="7"/>
  <c r="E61" i="7"/>
  <c r="C61" i="7" s="1"/>
  <c r="E60" i="7"/>
  <c r="C60" i="7" s="1"/>
  <c r="E59" i="7"/>
  <c r="C59" i="7" s="1"/>
  <c r="E58" i="7"/>
  <c r="C58" i="7" s="1"/>
  <c r="E57" i="7"/>
  <c r="C57" i="7" s="1"/>
  <c r="E56" i="7"/>
  <c r="C56" i="7" s="1"/>
  <c r="E55" i="7"/>
  <c r="C55" i="7" s="1"/>
  <c r="E54" i="7"/>
  <c r="C54" i="7" s="1"/>
  <c r="E53" i="7"/>
  <c r="C53" i="7" s="1"/>
  <c r="E52" i="7"/>
  <c r="C52" i="7" s="1"/>
  <c r="E51" i="7"/>
  <c r="C51" i="7" s="1"/>
  <c r="E50" i="7"/>
  <c r="C50" i="7" s="1"/>
  <c r="E49" i="7"/>
  <c r="C49" i="7" s="1"/>
  <c r="E48" i="7"/>
  <c r="C48" i="7"/>
  <c r="E47" i="7"/>
  <c r="C47" i="7" s="1"/>
  <c r="E46" i="7"/>
  <c r="C46" i="7" s="1"/>
  <c r="E45" i="7"/>
  <c r="C45" i="7" s="1"/>
  <c r="E44" i="7"/>
  <c r="C44" i="7"/>
  <c r="E43" i="7"/>
  <c r="C43" i="7" s="1"/>
  <c r="E42" i="7"/>
  <c r="C42" i="7" s="1"/>
  <c r="E41" i="7"/>
  <c r="C41" i="7" s="1"/>
  <c r="E40" i="7"/>
  <c r="C40" i="7"/>
  <c r="E39" i="7"/>
  <c r="C39" i="7" s="1"/>
  <c r="E38" i="7"/>
  <c r="E37" i="7"/>
  <c r="C37" i="7" s="1"/>
  <c r="E36" i="7"/>
  <c r="C36" i="7"/>
  <c r="E35" i="7"/>
  <c r="C35" i="7" s="1"/>
  <c r="E34" i="7"/>
  <c r="C34" i="7" s="1"/>
  <c r="E33" i="7"/>
  <c r="C33" i="7" s="1"/>
  <c r="E32" i="7"/>
  <c r="C32" i="7" s="1"/>
  <c r="E31" i="7"/>
  <c r="C31" i="7" s="1"/>
  <c r="E30" i="7"/>
  <c r="C30" i="7" s="1"/>
  <c r="E29" i="7"/>
  <c r="C29" i="7" s="1"/>
  <c r="E28" i="7"/>
  <c r="C28" i="7" s="1"/>
  <c r="E27" i="7"/>
  <c r="C27" i="7" s="1"/>
  <c r="E26" i="7"/>
  <c r="E25" i="7"/>
  <c r="C25" i="7" s="1"/>
  <c r="E24" i="7"/>
  <c r="C24" i="7" s="1"/>
  <c r="E23" i="7"/>
  <c r="C23" i="7" s="1"/>
  <c r="E22" i="7"/>
  <c r="C22" i="7" s="1"/>
  <c r="E21" i="7"/>
  <c r="C21" i="7" s="1"/>
  <c r="E20" i="7"/>
  <c r="C20" i="7" s="1"/>
  <c r="E19" i="7"/>
  <c r="E18" i="7"/>
  <c r="C18" i="7" s="1"/>
  <c r="E17" i="7"/>
  <c r="C17" i="7" s="1"/>
  <c r="E16" i="7"/>
  <c r="C16" i="7" s="1"/>
  <c r="E15" i="7"/>
  <c r="E14" i="7"/>
  <c r="C14" i="7" s="1"/>
  <c r="E13" i="7"/>
  <c r="C13" i="7" s="1"/>
  <c r="E12" i="7"/>
  <c r="E11" i="7"/>
  <c r="C11" i="7" s="1"/>
  <c r="E10" i="7"/>
  <c r="GA7" i="7"/>
  <c r="FZ7" i="7"/>
  <c r="FY7" i="7"/>
  <c r="FX7" i="7"/>
  <c r="FW7" i="7"/>
  <c r="FV7" i="7"/>
  <c r="FU7" i="7"/>
  <c r="FT7" i="7"/>
  <c r="FS7" i="7"/>
  <c r="FR7" i="7"/>
  <c r="FQ7" i="7"/>
  <c r="FP7" i="7"/>
  <c r="FO7" i="7"/>
  <c r="FN7" i="7"/>
  <c r="FM7" i="7"/>
  <c r="FL7" i="7"/>
  <c r="FK7" i="7"/>
  <c r="FJ7" i="7"/>
  <c r="FI7" i="7"/>
  <c r="FH7" i="7"/>
  <c r="FG7" i="7"/>
  <c r="FF7" i="7"/>
  <c r="FE7" i="7"/>
  <c r="FD7" i="7"/>
  <c r="FC7" i="7"/>
  <c r="FB7" i="7"/>
  <c r="FA7" i="7"/>
  <c r="EZ7" i="7"/>
  <c r="EY7" i="7"/>
  <c r="EX7" i="7"/>
  <c r="EW7" i="7"/>
  <c r="EV7" i="7"/>
  <c r="EU7" i="7"/>
  <c r="ET7" i="7"/>
  <c r="ES7" i="7"/>
  <c r="ER7" i="7"/>
  <c r="EQ7" i="7"/>
  <c r="EP7" i="7"/>
  <c r="EO7" i="7"/>
  <c r="EN7" i="7"/>
  <c r="EM7" i="7"/>
  <c r="EL7" i="7"/>
  <c r="EK7" i="7"/>
  <c r="EJ7" i="7"/>
  <c r="EI7" i="7"/>
  <c r="EH7" i="7"/>
  <c r="EG7" i="7"/>
  <c r="EF7" i="7"/>
  <c r="EE7" i="7"/>
  <c r="ED7" i="7"/>
  <c r="EC7" i="7"/>
  <c r="EB7" i="7"/>
  <c r="EA7" i="7"/>
  <c r="DZ7" i="7"/>
  <c r="DY7" i="7"/>
  <c r="DX7" i="7"/>
  <c r="DW7" i="7"/>
  <c r="DV7" i="7"/>
  <c r="DU7" i="7"/>
  <c r="DT7" i="7"/>
  <c r="DS7" i="7"/>
  <c r="DR7" i="7"/>
  <c r="DQ7" i="7"/>
  <c r="DP7" i="7"/>
  <c r="DO7" i="7"/>
  <c r="DN7" i="7"/>
  <c r="DM7" i="7"/>
  <c r="DL7" i="7"/>
  <c r="DK7" i="7"/>
  <c r="DJ7" i="7"/>
  <c r="DI7" i="7"/>
  <c r="DH7" i="7"/>
  <c r="DG7" i="7"/>
  <c r="DF7" i="7"/>
  <c r="DE7" i="7"/>
  <c r="DD7" i="7"/>
  <c r="DC7" i="7"/>
  <c r="DB7" i="7"/>
  <c r="DA7" i="7"/>
  <c r="DA6" i="7" s="1"/>
  <c r="CZ7" i="7"/>
  <c r="CY7" i="7"/>
  <c r="CX7" i="7"/>
  <c r="CX6" i="7" s="1"/>
  <c r="CW7" i="7"/>
  <c r="CV7" i="7"/>
  <c r="CV6" i="7" s="1"/>
  <c r="CU7" i="7"/>
  <c r="CT7" i="7"/>
  <c r="CS7" i="7"/>
  <c r="CS6" i="7" s="1"/>
  <c r="CR7" i="7"/>
  <c r="CQ7" i="7"/>
  <c r="CP7" i="7"/>
  <c r="CP6" i="7" s="1"/>
  <c r="CO7" i="7"/>
  <c r="CN7" i="7"/>
  <c r="CN6" i="7" s="1"/>
  <c r="CM7" i="7"/>
  <c r="CL7" i="7"/>
  <c r="CK7" i="7"/>
  <c r="CK6" i="7" s="1"/>
  <c r="CJ7" i="7"/>
  <c r="CI7" i="7"/>
  <c r="CH7" i="7"/>
  <c r="CH6" i="7" s="1"/>
  <c r="CG7" i="7"/>
  <c r="CF7" i="7"/>
  <c r="CF6" i="7" s="1"/>
  <c r="CE7" i="7"/>
  <c r="CD7" i="7"/>
  <c r="CC7" i="7"/>
  <c r="CC6" i="7" s="1"/>
  <c r="CB7" i="7"/>
  <c r="CA7" i="7"/>
  <c r="BZ7" i="7"/>
  <c r="BZ6" i="7" s="1"/>
  <c r="BY7" i="7"/>
  <c r="BX7" i="7"/>
  <c r="BX6" i="7" s="1"/>
  <c r="BW7" i="7"/>
  <c r="BW6" i="7" s="1"/>
  <c r="BV7" i="7"/>
  <c r="BU7" i="7"/>
  <c r="BT7" i="7"/>
  <c r="BS7" i="7"/>
  <c r="BR7" i="7"/>
  <c r="BR6" i="7" s="1"/>
  <c r="BQ7" i="7"/>
  <c r="BP7" i="7"/>
  <c r="BP6" i="7" s="1"/>
  <c r="BO7" i="7"/>
  <c r="BO6" i="7" s="1"/>
  <c r="BN7" i="7"/>
  <c r="BM7" i="7"/>
  <c r="BM6" i="7" s="1"/>
  <c r="BL7" i="7"/>
  <c r="BK7" i="7"/>
  <c r="BJ7" i="7"/>
  <c r="BJ6" i="7" s="1"/>
  <c r="BI7" i="7"/>
  <c r="BH7" i="7"/>
  <c r="BH6" i="7" s="1"/>
  <c r="BG7" i="7"/>
  <c r="BG6" i="7" s="1"/>
  <c r="BF7" i="7"/>
  <c r="BE7" i="7"/>
  <c r="BE6" i="7" s="1"/>
  <c r="BD7" i="7"/>
  <c r="BC7" i="7"/>
  <c r="BB7" i="7"/>
  <c r="BB6" i="7" s="1"/>
  <c r="BA7" i="7"/>
  <c r="AZ7" i="7"/>
  <c r="AZ6" i="7" s="1"/>
  <c r="AY7" i="7"/>
  <c r="AY6" i="7" s="1"/>
  <c r="AX7" i="7"/>
  <c r="AW7" i="7"/>
  <c r="AW6" i="7" s="1"/>
  <c r="AV7" i="7"/>
  <c r="AU7" i="7"/>
  <c r="AT7" i="7"/>
  <c r="AT6" i="7" s="1"/>
  <c r="AS7" i="7"/>
  <c r="AR7" i="7"/>
  <c r="AR6" i="7" s="1"/>
  <c r="AQ7" i="7"/>
  <c r="AQ6" i="7" s="1"/>
  <c r="AP7" i="7"/>
  <c r="AO7" i="7"/>
  <c r="AO6" i="7" s="1"/>
  <c r="AN7" i="7"/>
  <c r="AM7" i="7"/>
  <c r="AL7" i="7"/>
  <c r="AL6" i="7" s="1"/>
  <c r="AK7" i="7"/>
  <c r="AJ7" i="7"/>
  <c r="AJ6" i="7" s="1"/>
  <c r="AI7" i="7"/>
  <c r="AI6" i="7" s="1"/>
  <c r="AH7" i="7"/>
  <c r="AG7" i="7"/>
  <c r="AG6" i="7" s="1"/>
  <c r="AF7" i="7"/>
  <c r="AE7" i="7"/>
  <c r="AD7" i="7"/>
  <c r="AD6" i="7" s="1"/>
  <c r="AC7" i="7"/>
  <c r="AB7" i="7"/>
  <c r="AA7" i="7"/>
  <c r="AA6" i="7" s="1"/>
  <c r="Y7" i="7"/>
  <c r="X7" i="7"/>
  <c r="X6" i="7" s="1"/>
  <c r="W7" i="7"/>
  <c r="W6" i="7" s="1"/>
  <c r="V7" i="7"/>
  <c r="U7" i="7"/>
  <c r="U6" i="7" s="1"/>
  <c r="T7" i="7"/>
  <c r="S7" i="7"/>
  <c r="S6" i="7" s="1"/>
  <c r="R7" i="7"/>
  <c r="Q7" i="7"/>
  <c r="P7" i="7"/>
  <c r="O7" i="7"/>
  <c r="O6" i="7" s="1"/>
  <c r="N7" i="7"/>
  <c r="N6" i="7" s="1"/>
  <c r="M7" i="7"/>
  <c r="M6" i="7" s="1"/>
  <c r="L7" i="7"/>
  <c r="K7" i="7"/>
  <c r="K6" i="7" s="1"/>
  <c r="J7" i="7"/>
  <c r="J6" i="7" s="1"/>
  <c r="I7" i="7"/>
  <c r="H7" i="7"/>
  <c r="H6" i="7" s="1"/>
  <c r="G7" i="7"/>
  <c r="GA6" i="7"/>
  <c r="FZ6" i="7"/>
  <c r="FY6" i="7"/>
  <c r="FX6" i="7"/>
  <c r="FW6" i="7"/>
  <c r="FV6" i="7"/>
  <c r="FU6" i="7"/>
  <c r="FT6" i="7"/>
  <c r="FS6" i="7"/>
  <c r="FR6" i="7"/>
  <c r="FQ6" i="7"/>
  <c r="FP6" i="7"/>
  <c r="FO6" i="7"/>
  <c r="FN6" i="7"/>
  <c r="FM6" i="7"/>
  <c r="FL6" i="7"/>
  <c r="FK6" i="7"/>
  <c r="FJ6" i="7"/>
  <c r="FI6" i="7"/>
  <c r="FH6" i="7"/>
  <c r="FG6" i="7"/>
  <c r="FF6" i="7"/>
  <c r="FE6" i="7"/>
  <c r="FD6" i="7"/>
  <c r="FC6" i="7"/>
  <c r="FB6" i="7"/>
  <c r="FA6" i="7"/>
  <c r="EZ6" i="7"/>
  <c r="EY6" i="7"/>
  <c r="EX6" i="7"/>
  <c r="EW6" i="7"/>
  <c r="EV6" i="7"/>
  <c r="EU6" i="7"/>
  <c r="ET6" i="7"/>
  <c r="ES6" i="7"/>
  <c r="ER6" i="7"/>
  <c r="EQ6" i="7"/>
  <c r="EP6" i="7"/>
  <c r="EO6" i="7"/>
  <c r="EN6" i="7"/>
  <c r="EM6" i="7"/>
  <c r="EL6" i="7"/>
  <c r="EK6" i="7"/>
  <c r="EJ6" i="7"/>
  <c r="EI6" i="7"/>
  <c r="EH6" i="7"/>
  <c r="EG6" i="7"/>
  <c r="EF6" i="7"/>
  <c r="EE6" i="7"/>
  <c r="ED6" i="7"/>
  <c r="EC6" i="7"/>
  <c r="EB6" i="7"/>
  <c r="EA6" i="7"/>
  <c r="DZ6" i="7"/>
  <c r="DY6" i="7"/>
  <c r="DX6" i="7"/>
  <c r="DW6" i="7"/>
  <c r="DV6" i="7"/>
  <c r="DU6" i="7"/>
  <c r="DT6" i="7"/>
  <c r="DS6" i="7"/>
  <c r="DR6" i="7"/>
  <c r="DQ6" i="7"/>
  <c r="DP6" i="7"/>
  <c r="DO6" i="7"/>
  <c r="DN6" i="7"/>
  <c r="DM6" i="7"/>
  <c r="DL6" i="7"/>
  <c r="DK6" i="7"/>
  <c r="DJ6" i="7"/>
  <c r="DI6" i="7"/>
  <c r="DH6" i="7"/>
  <c r="DG6" i="7"/>
  <c r="DF6" i="7"/>
  <c r="DE6" i="7"/>
  <c r="DD6" i="7"/>
  <c r="DC6" i="7"/>
  <c r="DB6" i="7"/>
  <c r="CZ6" i="7"/>
  <c r="CY6" i="7"/>
  <c r="CW6" i="7"/>
  <c r="CU6" i="7"/>
  <c r="CT6" i="7"/>
  <c r="CR6" i="7"/>
  <c r="CQ6" i="7"/>
  <c r="CO6" i="7"/>
  <c r="CM6" i="7"/>
  <c r="CL6" i="7"/>
  <c r="CJ6" i="7"/>
  <c r="CI6" i="7"/>
  <c r="CG6" i="7"/>
  <c r="CE6" i="7"/>
  <c r="CD6" i="7"/>
  <c r="CB6" i="7"/>
  <c r="CA6" i="7"/>
  <c r="BY6" i="7"/>
  <c r="BV6" i="7"/>
  <c r="BU6" i="7"/>
  <c r="BT6" i="7"/>
  <c r="BS6" i="7"/>
  <c r="BQ6" i="7"/>
  <c r="BN6" i="7"/>
  <c r="BL6" i="7"/>
  <c r="BK6" i="7"/>
  <c r="BI6" i="7"/>
  <c r="BF6" i="7"/>
  <c r="BD6" i="7"/>
  <c r="BC6" i="7"/>
  <c r="BA6" i="7"/>
  <c r="AX6" i="7"/>
  <c r="AV6" i="7"/>
  <c r="AU6" i="7"/>
  <c r="AS6" i="7"/>
  <c r="AP6" i="7"/>
  <c r="AN6" i="7"/>
  <c r="AM6" i="7"/>
  <c r="AK6" i="7"/>
  <c r="AH6" i="7"/>
  <c r="AF6" i="7"/>
  <c r="AE6" i="7"/>
  <c r="Z6" i="7"/>
  <c r="Y6" i="7"/>
  <c r="V6" i="7"/>
  <c r="T6" i="7"/>
  <c r="R6" i="7"/>
  <c r="Q6" i="7"/>
  <c r="L6" i="7"/>
  <c r="I6" i="7"/>
  <c r="E205" i="6"/>
  <c r="C205" i="6" s="1"/>
  <c r="E204" i="6"/>
  <c r="C204" i="6" s="1"/>
  <c r="E203" i="6"/>
  <c r="C203" i="6" s="1"/>
  <c r="E202" i="6"/>
  <c r="C202" i="6" s="1"/>
  <c r="E201" i="6"/>
  <c r="C201" i="6" s="1"/>
  <c r="E200" i="6"/>
  <c r="C200" i="6" s="1"/>
  <c r="E199" i="6"/>
  <c r="C199" i="6" s="1"/>
  <c r="E198" i="6"/>
  <c r="C198" i="6" s="1"/>
  <c r="E197" i="6"/>
  <c r="C197" i="6" s="1"/>
  <c r="E196" i="6"/>
  <c r="C196" i="6" s="1"/>
  <c r="E195" i="6"/>
  <c r="C195" i="6" s="1"/>
  <c r="E194" i="6"/>
  <c r="C194" i="6" s="1"/>
  <c r="E193" i="6"/>
  <c r="C193" i="6" s="1"/>
  <c r="E192" i="6"/>
  <c r="C192" i="6" s="1"/>
  <c r="E191" i="6"/>
  <c r="C191" i="6" s="1"/>
  <c r="E190" i="6"/>
  <c r="C190" i="6" s="1"/>
  <c r="E189" i="6"/>
  <c r="C189" i="6" s="1"/>
  <c r="E188" i="6"/>
  <c r="C188" i="6" s="1"/>
  <c r="E187" i="6"/>
  <c r="C187" i="6" s="1"/>
  <c r="E186" i="6"/>
  <c r="C186" i="6" s="1"/>
  <c r="E185" i="6"/>
  <c r="C185" i="6" s="1"/>
  <c r="E184" i="6"/>
  <c r="C184" i="6" s="1"/>
  <c r="E183" i="6"/>
  <c r="C183" i="6" s="1"/>
  <c r="E182" i="6"/>
  <c r="C182" i="6" s="1"/>
  <c r="E181" i="6"/>
  <c r="C181" i="6"/>
  <c r="E180" i="6"/>
  <c r="C180" i="6" s="1"/>
  <c r="E179" i="6"/>
  <c r="C179" i="6" s="1"/>
  <c r="E178" i="6"/>
  <c r="C178" i="6" s="1"/>
  <c r="E177" i="6"/>
  <c r="C177" i="6" s="1"/>
  <c r="E176" i="6"/>
  <c r="C176" i="6" s="1"/>
  <c r="E175" i="6"/>
  <c r="C175" i="6" s="1"/>
  <c r="E174" i="6"/>
  <c r="C174" i="6" s="1"/>
  <c r="E173" i="6"/>
  <c r="C173" i="6" s="1"/>
  <c r="E172" i="6"/>
  <c r="C172" i="6" s="1"/>
  <c r="E171" i="6"/>
  <c r="C171" i="6"/>
  <c r="E170" i="6"/>
  <c r="C170" i="6" s="1"/>
  <c r="E169" i="6"/>
  <c r="C169" i="6" s="1"/>
  <c r="E168" i="6"/>
  <c r="C168" i="6" s="1"/>
  <c r="E167" i="6"/>
  <c r="C167" i="6" s="1"/>
  <c r="E166" i="6"/>
  <c r="C166" i="6" s="1"/>
  <c r="E165" i="6"/>
  <c r="C165" i="6" s="1"/>
  <c r="E164" i="6"/>
  <c r="C164" i="6" s="1"/>
  <c r="E163" i="6"/>
  <c r="C163" i="6" s="1"/>
  <c r="E162" i="6"/>
  <c r="C162" i="6" s="1"/>
  <c r="E161" i="6"/>
  <c r="E160" i="6"/>
  <c r="C160" i="6" s="1"/>
  <c r="E159" i="6"/>
  <c r="C159" i="6"/>
  <c r="E158" i="6"/>
  <c r="C158" i="6" s="1"/>
  <c r="E157" i="6"/>
  <c r="C157" i="6" s="1"/>
  <c r="E156" i="6"/>
  <c r="C156" i="6" s="1"/>
  <c r="E155" i="6"/>
  <c r="C155" i="6" s="1"/>
  <c r="E154" i="6"/>
  <c r="C154" i="6" s="1"/>
  <c r="E153" i="6"/>
  <c r="C153" i="6" s="1"/>
  <c r="E152" i="6"/>
  <c r="C152" i="6" s="1"/>
  <c r="E151" i="6"/>
  <c r="C151" i="6" s="1"/>
  <c r="E150" i="6"/>
  <c r="C150" i="6" s="1"/>
  <c r="E149" i="6"/>
  <c r="C149" i="6" s="1"/>
  <c r="E148" i="6"/>
  <c r="C148" i="6" s="1"/>
  <c r="E147" i="6"/>
  <c r="C147" i="6" s="1"/>
  <c r="E146" i="6"/>
  <c r="C146" i="6" s="1"/>
  <c r="E145" i="6"/>
  <c r="C145" i="6" s="1"/>
  <c r="E144" i="6"/>
  <c r="C144" i="6" s="1"/>
  <c r="E143" i="6"/>
  <c r="C143" i="6" s="1"/>
  <c r="E142" i="6"/>
  <c r="C142" i="6" s="1"/>
  <c r="E141" i="6"/>
  <c r="C141" i="6"/>
  <c r="E140" i="6"/>
  <c r="C140" i="6" s="1"/>
  <c r="E139" i="6"/>
  <c r="C139" i="6" s="1"/>
  <c r="E138" i="6"/>
  <c r="C138" i="6" s="1"/>
  <c r="E137" i="6"/>
  <c r="C137" i="6" s="1"/>
  <c r="E136" i="6"/>
  <c r="C136" i="6" s="1"/>
  <c r="E135" i="6"/>
  <c r="C135" i="6" s="1"/>
  <c r="E134" i="6"/>
  <c r="C134" i="6" s="1"/>
  <c r="E133" i="6"/>
  <c r="C133" i="6" s="1"/>
  <c r="E132" i="6"/>
  <c r="C132" i="6" s="1"/>
  <c r="E131" i="6"/>
  <c r="C131" i="6" s="1"/>
  <c r="E130" i="6"/>
  <c r="C130" i="6" s="1"/>
  <c r="E129" i="6"/>
  <c r="C129" i="6" s="1"/>
  <c r="E128" i="6"/>
  <c r="C128" i="6" s="1"/>
  <c r="E127" i="6"/>
  <c r="C127" i="6" s="1"/>
  <c r="E126" i="6"/>
  <c r="C126" i="6" s="1"/>
  <c r="E125" i="6"/>
  <c r="C125" i="6" s="1"/>
  <c r="E124" i="6"/>
  <c r="C124" i="6" s="1"/>
  <c r="E123" i="6"/>
  <c r="C123" i="6" s="1"/>
  <c r="E122" i="6"/>
  <c r="C122" i="6" s="1"/>
  <c r="E121" i="6"/>
  <c r="C121" i="6" s="1"/>
  <c r="E120" i="6"/>
  <c r="C120" i="6" s="1"/>
  <c r="E119" i="6"/>
  <c r="C119" i="6" s="1"/>
  <c r="E118" i="6"/>
  <c r="C118" i="6" s="1"/>
  <c r="E117" i="6"/>
  <c r="C117" i="6"/>
  <c r="E116" i="6"/>
  <c r="C116" i="6" s="1"/>
  <c r="E115" i="6"/>
  <c r="C115" i="6" s="1"/>
  <c r="E114" i="6"/>
  <c r="C114" i="6" s="1"/>
  <c r="E113" i="6"/>
  <c r="C113" i="6" s="1"/>
  <c r="E112" i="6"/>
  <c r="C112" i="6" s="1"/>
  <c r="E111" i="6"/>
  <c r="C111" i="6" s="1"/>
  <c r="E110" i="6"/>
  <c r="C110" i="6" s="1"/>
  <c r="E109" i="6"/>
  <c r="C109" i="6" s="1"/>
  <c r="E108" i="6"/>
  <c r="C108" i="6" s="1"/>
  <c r="E107" i="6"/>
  <c r="C107" i="6" s="1"/>
  <c r="E106" i="6"/>
  <c r="C106" i="6" s="1"/>
  <c r="E105" i="6"/>
  <c r="C105" i="6" s="1"/>
  <c r="E104" i="6"/>
  <c r="C104" i="6" s="1"/>
  <c r="E103" i="6"/>
  <c r="C103" i="6" s="1"/>
  <c r="E102" i="6"/>
  <c r="C102" i="6" s="1"/>
  <c r="E101" i="6"/>
  <c r="C101" i="6" s="1"/>
  <c r="E100" i="6"/>
  <c r="C100" i="6" s="1"/>
  <c r="E99" i="6"/>
  <c r="C99" i="6" s="1"/>
  <c r="E98" i="6"/>
  <c r="C98" i="6" s="1"/>
  <c r="E97" i="6"/>
  <c r="C97" i="6" s="1"/>
  <c r="E96" i="6"/>
  <c r="C96" i="6" s="1"/>
  <c r="E95" i="6"/>
  <c r="C95" i="6" s="1"/>
  <c r="E94" i="6"/>
  <c r="C94" i="6" s="1"/>
  <c r="E93" i="6"/>
  <c r="C93" i="6" s="1"/>
  <c r="E92" i="6"/>
  <c r="C92" i="6" s="1"/>
  <c r="E91" i="6"/>
  <c r="C91" i="6" s="1"/>
  <c r="E90" i="6"/>
  <c r="C90" i="6" s="1"/>
  <c r="E89" i="6"/>
  <c r="C89" i="6" s="1"/>
  <c r="E88" i="6"/>
  <c r="C88" i="6" s="1"/>
  <c r="E87" i="6"/>
  <c r="C87" i="6" s="1"/>
  <c r="E86" i="6"/>
  <c r="C86" i="6" s="1"/>
  <c r="E85" i="6"/>
  <c r="C85" i="6" s="1"/>
  <c r="E84" i="6"/>
  <c r="C84" i="6" s="1"/>
  <c r="E83" i="6"/>
  <c r="C83" i="6" s="1"/>
  <c r="E82" i="6"/>
  <c r="C82" i="6" s="1"/>
  <c r="E81" i="6"/>
  <c r="C81" i="6" s="1"/>
  <c r="E80" i="6"/>
  <c r="C80" i="6" s="1"/>
  <c r="E79" i="6"/>
  <c r="C79" i="6" s="1"/>
  <c r="E78" i="6"/>
  <c r="C78" i="6" s="1"/>
  <c r="E77" i="6"/>
  <c r="C77" i="6" s="1"/>
  <c r="E76" i="6"/>
  <c r="C76" i="6" s="1"/>
  <c r="E75" i="6"/>
  <c r="C75" i="6" s="1"/>
  <c r="E74" i="6"/>
  <c r="C74" i="6" s="1"/>
  <c r="E73" i="6"/>
  <c r="C73" i="6" s="1"/>
  <c r="E72" i="6"/>
  <c r="C72" i="6" s="1"/>
  <c r="E71" i="6"/>
  <c r="C71" i="6" s="1"/>
  <c r="E70" i="6"/>
  <c r="E69" i="6"/>
  <c r="C69" i="6" s="1"/>
  <c r="E68" i="6"/>
  <c r="E67" i="6"/>
  <c r="C67" i="6" s="1"/>
  <c r="E66" i="6"/>
  <c r="C66" i="6" s="1"/>
  <c r="E65" i="6"/>
  <c r="C65" i="6" s="1"/>
  <c r="E64" i="6"/>
  <c r="C64" i="6" s="1"/>
  <c r="E63" i="6"/>
  <c r="C63" i="6" s="1"/>
  <c r="E62" i="6"/>
  <c r="C62" i="6" s="1"/>
  <c r="E61" i="6"/>
  <c r="C61" i="6" s="1"/>
  <c r="E60" i="6"/>
  <c r="C60" i="6" s="1"/>
  <c r="E59" i="6"/>
  <c r="C59" i="6" s="1"/>
  <c r="E58" i="6"/>
  <c r="C58" i="6" s="1"/>
  <c r="E57" i="6"/>
  <c r="C57" i="6" s="1"/>
  <c r="E56" i="6"/>
  <c r="C56" i="6" s="1"/>
  <c r="E55" i="6"/>
  <c r="C55" i="6" s="1"/>
  <c r="E54" i="6"/>
  <c r="C54" i="6" s="1"/>
  <c r="E53" i="6"/>
  <c r="C53" i="6" s="1"/>
  <c r="E52" i="6"/>
  <c r="C52" i="6" s="1"/>
  <c r="E51" i="6"/>
  <c r="C51" i="6" s="1"/>
  <c r="E50" i="6"/>
  <c r="C50" i="6" s="1"/>
  <c r="E49" i="6"/>
  <c r="C49" i="6" s="1"/>
  <c r="E48" i="6"/>
  <c r="C48" i="6" s="1"/>
  <c r="E47" i="6"/>
  <c r="C47" i="6" s="1"/>
  <c r="E46" i="6"/>
  <c r="C46" i="6" s="1"/>
  <c r="E45" i="6"/>
  <c r="C45" i="6" s="1"/>
  <c r="E44" i="6"/>
  <c r="C44" i="6" s="1"/>
  <c r="E43" i="6"/>
  <c r="C43" i="6" s="1"/>
  <c r="E42" i="6"/>
  <c r="C42" i="6" s="1"/>
  <c r="E41" i="6"/>
  <c r="E40" i="6"/>
  <c r="C40" i="6" s="1"/>
  <c r="E39" i="6"/>
  <c r="C39" i="6" s="1"/>
  <c r="E38" i="6"/>
  <c r="E37" i="6"/>
  <c r="C37" i="6" s="1"/>
  <c r="E36" i="6"/>
  <c r="C36" i="6" s="1"/>
  <c r="E35" i="6"/>
  <c r="E34" i="6"/>
  <c r="C34" i="6" s="1"/>
  <c r="E33" i="6"/>
  <c r="C33" i="6" s="1"/>
  <c r="E32" i="6"/>
  <c r="C32" i="6" s="1"/>
  <c r="E31" i="6"/>
  <c r="E30" i="6"/>
  <c r="C30" i="6" s="1"/>
  <c r="E29" i="6"/>
  <c r="C29" i="6" s="1"/>
  <c r="E28" i="6"/>
  <c r="C28" i="6" s="1"/>
  <c r="E27" i="6"/>
  <c r="E26" i="6"/>
  <c r="C26" i="6" s="1"/>
  <c r="E25" i="6"/>
  <c r="E24" i="6"/>
  <c r="C24" i="6" s="1"/>
  <c r="E23" i="6"/>
  <c r="E22" i="6"/>
  <c r="C22" i="6" s="1"/>
  <c r="E21" i="6"/>
  <c r="C21" i="6" s="1"/>
  <c r="E20" i="6"/>
  <c r="C20" i="6" s="1"/>
  <c r="E19" i="6"/>
  <c r="C19" i="6" s="1"/>
  <c r="E18" i="6"/>
  <c r="E17" i="6"/>
  <c r="C17" i="6"/>
  <c r="E16" i="6"/>
  <c r="E15" i="6"/>
  <c r="C15" i="6" s="1"/>
  <c r="E14" i="6"/>
  <c r="E13" i="6"/>
  <c r="C13" i="6" s="1"/>
  <c r="E12" i="6"/>
  <c r="C12" i="6" s="1"/>
  <c r="E11" i="6"/>
  <c r="E10" i="6"/>
  <c r="C10" i="6" s="1"/>
  <c r="FX7" i="6"/>
  <c r="FW7" i="6"/>
  <c r="FW6" i="6" s="1"/>
  <c r="FV7" i="6"/>
  <c r="FV6" i="6" s="1"/>
  <c r="FU7" i="6"/>
  <c r="FT7" i="6"/>
  <c r="FS7" i="6"/>
  <c r="FS6" i="6" s="1"/>
  <c r="FR7" i="6"/>
  <c r="FQ7" i="6"/>
  <c r="FQ6" i="6" s="1"/>
  <c r="FP7" i="6"/>
  <c r="FO7" i="6"/>
  <c r="FO6" i="6" s="1"/>
  <c r="FN7" i="6"/>
  <c r="FN6" i="6" s="1"/>
  <c r="FM7" i="6"/>
  <c r="FL7" i="6"/>
  <c r="FK7" i="6"/>
  <c r="FK6" i="6" s="1"/>
  <c r="FJ7" i="6"/>
  <c r="FI7" i="6"/>
  <c r="FI6" i="6" s="1"/>
  <c r="FH7" i="6"/>
  <c r="FG7" i="6"/>
  <c r="FG6" i="6" s="1"/>
  <c r="FF7" i="6"/>
  <c r="FF6" i="6" s="1"/>
  <c r="FE7" i="6"/>
  <c r="FD7" i="6"/>
  <c r="FC7" i="6"/>
  <c r="FC6" i="6" s="1"/>
  <c r="FB7" i="6"/>
  <c r="FA7" i="6"/>
  <c r="FA6" i="6" s="1"/>
  <c r="EZ7" i="6"/>
  <c r="EY7" i="6"/>
  <c r="EY6" i="6" s="1"/>
  <c r="EX7" i="6"/>
  <c r="EX6" i="6" s="1"/>
  <c r="EW7" i="6"/>
  <c r="EV7" i="6"/>
  <c r="EU7" i="6"/>
  <c r="EU6" i="6" s="1"/>
  <c r="ET7" i="6"/>
  <c r="ES7" i="6"/>
  <c r="ES6" i="6" s="1"/>
  <c r="ER7" i="6"/>
  <c r="EQ7" i="6"/>
  <c r="EQ6" i="6" s="1"/>
  <c r="EP7" i="6"/>
  <c r="EP6" i="6" s="1"/>
  <c r="EO7" i="6"/>
  <c r="EN7" i="6"/>
  <c r="EM7" i="6"/>
  <c r="EM6" i="6" s="1"/>
  <c r="EL7" i="6"/>
  <c r="EK7" i="6"/>
  <c r="EK6" i="6" s="1"/>
  <c r="EJ7" i="6"/>
  <c r="EI7" i="6"/>
  <c r="EI6" i="6" s="1"/>
  <c r="EH7" i="6"/>
  <c r="EH6" i="6" s="1"/>
  <c r="EG7" i="6"/>
  <c r="EF7" i="6"/>
  <c r="EE7" i="6"/>
  <c r="EE6" i="6" s="1"/>
  <c r="ED7" i="6"/>
  <c r="EC7" i="6"/>
  <c r="EC6" i="6" s="1"/>
  <c r="EB7" i="6"/>
  <c r="EA7" i="6"/>
  <c r="EA6" i="6" s="1"/>
  <c r="DZ7" i="6"/>
  <c r="DZ6" i="6" s="1"/>
  <c r="DY7" i="6"/>
  <c r="DX7" i="6"/>
  <c r="DW7" i="6"/>
  <c r="DW6" i="6" s="1"/>
  <c r="DV7" i="6"/>
  <c r="DU7" i="6"/>
  <c r="DU6" i="6" s="1"/>
  <c r="DT7" i="6"/>
  <c r="DS7" i="6"/>
  <c r="DS6" i="6" s="1"/>
  <c r="DR7" i="6"/>
  <c r="DR6" i="6" s="1"/>
  <c r="DQ7" i="6"/>
  <c r="DP7" i="6"/>
  <c r="DO7" i="6"/>
  <c r="DO6" i="6" s="1"/>
  <c r="DN7" i="6"/>
  <c r="DM7" i="6"/>
  <c r="DM6" i="6" s="1"/>
  <c r="DL7" i="6"/>
  <c r="DK7" i="6"/>
  <c r="DK6" i="6" s="1"/>
  <c r="DJ7" i="6"/>
  <c r="DJ6" i="6" s="1"/>
  <c r="DI7" i="6"/>
  <c r="DH7" i="6"/>
  <c r="DG7" i="6"/>
  <c r="DG6" i="6" s="1"/>
  <c r="DF7" i="6"/>
  <c r="DE7" i="6"/>
  <c r="DE6" i="6" s="1"/>
  <c r="DD7" i="6"/>
  <c r="DC7" i="6"/>
  <c r="DC6" i="6" s="1"/>
  <c r="DB7" i="6"/>
  <c r="DB6" i="6" s="1"/>
  <c r="DA7" i="6"/>
  <c r="DA6" i="6" s="1"/>
  <c r="CZ7" i="6"/>
  <c r="CY7" i="6"/>
  <c r="CY6" i="6" s="1"/>
  <c r="CX7" i="6"/>
  <c r="CW7" i="6"/>
  <c r="CV7" i="6"/>
  <c r="CU7" i="6"/>
  <c r="CU6" i="6" s="1"/>
  <c r="CT7" i="6"/>
  <c r="CT6" i="6" s="1"/>
  <c r="CS7" i="6"/>
  <c r="CS6" i="6" s="1"/>
  <c r="CR7" i="6"/>
  <c r="CQ7" i="6"/>
  <c r="CQ6" i="6" s="1"/>
  <c r="CP7" i="6"/>
  <c r="CO7" i="6"/>
  <c r="CO6" i="6" s="1"/>
  <c r="CN7" i="6"/>
  <c r="CM7" i="6"/>
  <c r="CM6" i="6" s="1"/>
  <c r="CL7" i="6"/>
  <c r="CL6" i="6" s="1"/>
  <c r="CK7" i="6"/>
  <c r="CK6" i="6" s="1"/>
  <c r="CJ7" i="6"/>
  <c r="CI7" i="6"/>
  <c r="CI6" i="6" s="1"/>
  <c r="CH7" i="6"/>
  <c r="CG7" i="6"/>
  <c r="CG6" i="6" s="1"/>
  <c r="CF7" i="6"/>
  <c r="CE7" i="6"/>
  <c r="CE6" i="6" s="1"/>
  <c r="CD7" i="6"/>
  <c r="CD6" i="6" s="1"/>
  <c r="CC7" i="6"/>
  <c r="CC6" i="6" s="1"/>
  <c r="CB7" i="6"/>
  <c r="CA7" i="6"/>
  <c r="CA6" i="6" s="1"/>
  <c r="BZ7" i="6"/>
  <c r="BY7" i="6"/>
  <c r="BY6" i="6" s="1"/>
  <c r="BX7" i="6"/>
  <c r="BW7" i="6"/>
  <c r="BW6" i="6" s="1"/>
  <c r="BV7" i="6"/>
  <c r="BV6" i="6" s="1"/>
  <c r="BU7" i="6"/>
  <c r="BU6" i="6" s="1"/>
  <c r="BT7" i="6"/>
  <c r="BS7" i="6"/>
  <c r="BS6" i="6" s="1"/>
  <c r="BR7" i="6"/>
  <c r="BQ7" i="6"/>
  <c r="BQ6" i="6" s="1"/>
  <c r="BP7" i="6"/>
  <c r="BP6" i="6" s="1"/>
  <c r="BO7" i="6"/>
  <c r="BO6" i="6" s="1"/>
  <c r="BN7" i="6"/>
  <c r="BN6" i="6" s="1"/>
  <c r="BM7" i="6"/>
  <c r="BM6" i="6" s="1"/>
  <c r="BL7" i="6"/>
  <c r="BK7" i="6"/>
  <c r="BK6" i="6" s="1"/>
  <c r="BJ7" i="6"/>
  <c r="BI7" i="6"/>
  <c r="BI6" i="6" s="1"/>
  <c r="BH7" i="6"/>
  <c r="BH6" i="6" s="1"/>
  <c r="BG7" i="6"/>
  <c r="BG6" i="6" s="1"/>
  <c r="BF7" i="6"/>
  <c r="BF6" i="6" s="1"/>
  <c r="BE7" i="6"/>
  <c r="BE6" i="6" s="1"/>
  <c r="BD7" i="6"/>
  <c r="BC7" i="6"/>
  <c r="BC6" i="6" s="1"/>
  <c r="BB7" i="6"/>
  <c r="BA7" i="6"/>
  <c r="BA6" i="6" s="1"/>
  <c r="AZ7" i="6"/>
  <c r="AZ6" i="6" s="1"/>
  <c r="AY7" i="6"/>
  <c r="AY6" i="6" s="1"/>
  <c r="AX7" i="6"/>
  <c r="AX6" i="6" s="1"/>
  <c r="AW7" i="6"/>
  <c r="AW6" i="6" s="1"/>
  <c r="AV7" i="6"/>
  <c r="AU7" i="6"/>
  <c r="AU6" i="6" s="1"/>
  <c r="AT7" i="6"/>
  <c r="AS7" i="6"/>
  <c r="AS6" i="6" s="1"/>
  <c r="AR7" i="6"/>
  <c r="AR6" i="6" s="1"/>
  <c r="AQ7" i="6"/>
  <c r="AQ6" i="6" s="1"/>
  <c r="AP7" i="6"/>
  <c r="AP6" i="6" s="1"/>
  <c r="AO7" i="6"/>
  <c r="AN7" i="6"/>
  <c r="AM7" i="6"/>
  <c r="AM6" i="6" s="1"/>
  <c r="AL7" i="6"/>
  <c r="AJ7" i="6"/>
  <c r="AJ6" i="6" s="1"/>
  <c r="AI7" i="6"/>
  <c r="AH7" i="6"/>
  <c r="AG7" i="6"/>
  <c r="AF7" i="6"/>
  <c r="AF6" i="6" s="1"/>
  <c r="AE7" i="6"/>
  <c r="AD7" i="6"/>
  <c r="AD6" i="6" s="1"/>
  <c r="AC7" i="6"/>
  <c r="AC6" i="6" s="1"/>
  <c r="AB7" i="6"/>
  <c r="AB6" i="6" s="1"/>
  <c r="AA7" i="6"/>
  <c r="AA6" i="6" s="1"/>
  <c r="Z7" i="6"/>
  <c r="Z6" i="6" s="1"/>
  <c r="Y7" i="6"/>
  <c r="Y6" i="6" s="1"/>
  <c r="X7" i="6"/>
  <c r="X6" i="6" s="1"/>
  <c r="W7" i="6"/>
  <c r="V7" i="6"/>
  <c r="V6" i="6" s="1"/>
  <c r="U7" i="6"/>
  <c r="U6" i="6" s="1"/>
  <c r="T7" i="6"/>
  <c r="T6" i="6" s="1"/>
  <c r="S7" i="6"/>
  <c r="R7" i="6"/>
  <c r="R6" i="6" s="1"/>
  <c r="Q7" i="6"/>
  <c r="Q6" i="6" s="1"/>
  <c r="P7" i="6"/>
  <c r="P6" i="6" s="1"/>
  <c r="O7" i="6"/>
  <c r="N7" i="6"/>
  <c r="N6" i="6" s="1"/>
  <c r="M7" i="6"/>
  <c r="M6" i="6" s="1"/>
  <c r="L7" i="6"/>
  <c r="L6" i="6" s="1"/>
  <c r="K7" i="6"/>
  <c r="J7" i="6"/>
  <c r="I7" i="6"/>
  <c r="I6" i="6" s="1"/>
  <c r="H7" i="6"/>
  <c r="G7" i="6"/>
  <c r="FX6" i="6"/>
  <c r="FU6" i="6"/>
  <c r="FT6" i="6"/>
  <c r="FR6" i="6"/>
  <c r="FP6" i="6"/>
  <c r="FM6" i="6"/>
  <c r="FL6" i="6"/>
  <c r="FJ6" i="6"/>
  <c r="FH6" i="6"/>
  <c r="FE6" i="6"/>
  <c r="FD6" i="6"/>
  <c r="FB6" i="6"/>
  <c r="EZ6" i="6"/>
  <c r="EW6" i="6"/>
  <c r="EV6" i="6"/>
  <c r="ET6" i="6"/>
  <c r="ER6" i="6"/>
  <c r="EO6" i="6"/>
  <c r="EN6" i="6"/>
  <c r="EL6" i="6"/>
  <c r="EJ6" i="6"/>
  <c r="EG6" i="6"/>
  <c r="EF6" i="6"/>
  <c r="ED6" i="6"/>
  <c r="EB6" i="6"/>
  <c r="DY6" i="6"/>
  <c r="DX6" i="6"/>
  <c r="DV6" i="6"/>
  <c r="DT6" i="6"/>
  <c r="DQ6" i="6"/>
  <c r="DP6" i="6"/>
  <c r="DN6" i="6"/>
  <c r="DL6" i="6"/>
  <c r="DI6" i="6"/>
  <c r="DH6" i="6"/>
  <c r="DF6" i="6"/>
  <c r="DD6" i="6"/>
  <c r="CZ6" i="6"/>
  <c r="CX6" i="6"/>
  <c r="CW6" i="6"/>
  <c r="CV6" i="6"/>
  <c r="CR6" i="6"/>
  <c r="CP6" i="6"/>
  <c r="CN6" i="6"/>
  <c r="CJ6" i="6"/>
  <c r="CH6" i="6"/>
  <c r="CF6" i="6"/>
  <c r="CB6" i="6"/>
  <c r="BZ6" i="6"/>
  <c r="BX6" i="6"/>
  <c r="BT6" i="6"/>
  <c r="BR6" i="6"/>
  <c r="BL6" i="6"/>
  <c r="BJ6" i="6"/>
  <c r="BD6" i="6"/>
  <c r="BB6" i="6"/>
  <c r="AV6" i="6"/>
  <c r="AT6" i="6"/>
  <c r="AL6" i="6"/>
  <c r="AK6" i="6"/>
  <c r="AE6" i="6"/>
  <c r="W6" i="6"/>
  <c r="S6" i="6"/>
  <c r="O6" i="6"/>
  <c r="J6" i="6"/>
  <c r="H6" i="6"/>
  <c r="K973" i="5"/>
  <c r="K972" i="5"/>
  <c r="K971" i="5"/>
  <c r="K969" i="5"/>
  <c r="K967" i="5"/>
  <c r="K946" i="5"/>
  <c r="K945" i="5"/>
  <c r="K970" i="5"/>
  <c r="K968" i="5"/>
  <c r="K966" i="5"/>
  <c r="K886" i="5"/>
  <c r="K885" i="5"/>
  <c r="K965" i="5"/>
  <c r="K943" i="5"/>
  <c r="K964" i="5"/>
  <c r="K955" i="5"/>
  <c r="K947" i="5"/>
  <c r="K959" i="5"/>
  <c r="K958" i="5"/>
  <c r="K957" i="5"/>
  <c r="K956" i="5"/>
  <c r="K951" i="5"/>
  <c r="K953" i="5"/>
  <c r="K949" i="5"/>
  <c r="K950" i="5"/>
  <c r="K952" i="5"/>
  <c r="K948" i="5"/>
  <c r="K963" i="5"/>
  <c r="K961" i="5"/>
  <c r="K962" i="5"/>
  <c r="K960" i="5"/>
  <c r="K954" i="5"/>
  <c r="K942" i="5"/>
  <c r="K944" i="5"/>
  <c r="K941" i="5"/>
  <c r="K940" i="5"/>
  <c r="K939" i="5"/>
  <c r="K938" i="5"/>
  <c r="K932" i="5"/>
  <c r="K937" i="5"/>
  <c r="K936" i="5"/>
  <c r="K934" i="5"/>
  <c r="K935" i="5"/>
  <c r="K933" i="5"/>
  <c r="K931" i="5"/>
  <c r="K930" i="5"/>
  <c r="K929" i="5"/>
  <c r="K924" i="5"/>
  <c r="K923" i="5"/>
  <c r="K928" i="5"/>
  <c r="K927" i="5"/>
  <c r="K926" i="5"/>
  <c r="K925" i="5"/>
  <c r="K916" i="5"/>
  <c r="K915" i="5"/>
  <c r="K922" i="5"/>
  <c r="K921" i="5"/>
  <c r="K920" i="5"/>
  <c r="K919" i="5"/>
  <c r="K918" i="5"/>
  <c r="K917" i="5"/>
  <c r="K914" i="5"/>
  <c r="K913" i="5"/>
  <c r="K911" i="5"/>
  <c r="K912" i="5"/>
  <c r="K910" i="5"/>
  <c r="K909" i="5"/>
  <c r="K908" i="5"/>
  <c r="K907" i="5"/>
  <c r="K906" i="5"/>
  <c r="K902" i="5"/>
  <c r="K905" i="5"/>
  <c r="K904" i="5"/>
  <c r="K891" i="5"/>
  <c r="K903" i="5"/>
  <c r="K901" i="5"/>
  <c r="K900" i="5"/>
  <c r="K899" i="5"/>
  <c r="K898" i="5"/>
  <c r="K897" i="5"/>
  <c r="K896" i="5"/>
  <c r="K895" i="5"/>
  <c r="K894" i="5"/>
  <c r="K893" i="5"/>
  <c r="K892" i="5"/>
  <c r="K890" i="5"/>
  <c r="K889" i="5"/>
  <c r="K888" i="5"/>
  <c r="K887" i="5"/>
  <c r="K884" i="5"/>
  <c r="K879" i="5"/>
  <c r="K883" i="5"/>
  <c r="K882" i="5"/>
  <c r="K880" i="5"/>
  <c r="K881" i="5"/>
  <c r="K878" i="5"/>
  <c r="K877" i="5"/>
  <c r="K876" i="5"/>
  <c r="K875" i="5"/>
  <c r="K874" i="5"/>
  <c r="K873" i="5"/>
  <c r="K872" i="5"/>
  <c r="K871" i="5"/>
  <c r="K870" i="5"/>
  <c r="K868" i="5"/>
  <c r="K869" i="5"/>
  <c r="K483" i="5"/>
  <c r="K866" i="5"/>
  <c r="K865" i="5"/>
  <c r="K867" i="5"/>
  <c r="K863" i="5"/>
  <c r="K864" i="5"/>
  <c r="K861" i="5"/>
  <c r="K860" i="5"/>
  <c r="K862" i="5"/>
  <c r="K852" i="5"/>
  <c r="K848" i="5"/>
  <c r="K859" i="5"/>
  <c r="K858" i="5"/>
  <c r="K857" i="5"/>
  <c r="K856" i="5"/>
  <c r="K855" i="5"/>
  <c r="K854" i="5"/>
  <c r="K853" i="5"/>
  <c r="K851" i="5"/>
  <c r="K850" i="5"/>
  <c r="K847" i="5"/>
  <c r="K849" i="5"/>
  <c r="K845" i="5"/>
  <c r="K846" i="5"/>
  <c r="K844" i="5"/>
  <c r="K843" i="5"/>
  <c r="K842" i="5"/>
  <c r="K841" i="5"/>
  <c r="K840" i="5"/>
  <c r="K833" i="5"/>
  <c r="K836" i="5"/>
  <c r="K838" i="5"/>
  <c r="K835" i="5"/>
  <c r="K839" i="5"/>
  <c r="K837" i="5"/>
  <c r="K834" i="5"/>
  <c r="K812" i="5"/>
  <c r="K832" i="5"/>
  <c r="K831" i="5"/>
  <c r="K830" i="5"/>
  <c r="K829" i="5"/>
  <c r="K828" i="5"/>
  <c r="K826" i="5"/>
  <c r="K827" i="5"/>
  <c r="K825" i="5"/>
  <c r="K822" i="5"/>
  <c r="K824" i="5"/>
  <c r="K819" i="5"/>
  <c r="K815" i="5"/>
  <c r="K823" i="5"/>
  <c r="K821" i="5"/>
  <c r="K820" i="5"/>
  <c r="K818" i="5"/>
  <c r="K817" i="5"/>
  <c r="K816" i="5"/>
  <c r="K814" i="5"/>
  <c r="K813" i="5"/>
  <c r="K811" i="5"/>
  <c r="K810" i="5"/>
  <c r="K807" i="5"/>
  <c r="K809" i="5"/>
  <c r="K808" i="5"/>
  <c r="K806" i="5"/>
  <c r="K805" i="5"/>
  <c r="K804" i="5"/>
  <c r="K803" i="5"/>
  <c r="K802" i="5"/>
  <c r="K801" i="5"/>
  <c r="K800" i="5"/>
  <c r="K796" i="5"/>
  <c r="K799" i="5"/>
  <c r="K798" i="5"/>
  <c r="K797" i="5"/>
  <c r="K795" i="5"/>
  <c r="K791" i="5"/>
  <c r="K794" i="5"/>
  <c r="K793" i="5"/>
  <c r="K792" i="5"/>
  <c r="K790" i="5"/>
  <c r="K788" i="5"/>
  <c r="K789" i="5"/>
  <c r="K787" i="5"/>
  <c r="K786" i="5"/>
  <c r="K785" i="5"/>
  <c r="K784" i="5"/>
  <c r="K783" i="5"/>
  <c r="K782" i="5"/>
  <c r="K781" i="5"/>
  <c r="K779" i="5"/>
  <c r="K754" i="5"/>
  <c r="K735" i="5"/>
  <c r="K780" i="5"/>
  <c r="K777" i="5"/>
  <c r="K778" i="5"/>
  <c r="K655" i="5"/>
  <c r="K776" i="5"/>
  <c r="K775" i="5"/>
  <c r="K774" i="5"/>
  <c r="K976" i="5"/>
  <c r="K773" i="5"/>
  <c r="K772" i="5"/>
  <c r="K768" i="5"/>
  <c r="K771" i="5"/>
  <c r="K757" i="5"/>
  <c r="K770" i="5"/>
  <c r="K769" i="5"/>
  <c r="K760" i="5"/>
  <c r="K534" i="5"/>
  <c r="K767" i="5"/>
  <c r="K766" i="5"/>
  <c r="K739" i="5"/>
  <c r="K759" i="5"/>
  <c r="K762" i="5"/>
  <c r="K765" i="5"/>
  <c r="K764" i="5"/>
  <c r="K763" i="5"/>
  <c r="K761" i="5"/>
  <c r="K755" i="5"/>
  <c r="K758" i="5"/>
  <c r="K750" i="5"/>
  <c r="K756" i="5"/>
  <c r="K749" i="5"/>
  <c r="K729" i="5"/>
  <c r="K736" i="5"/>
  <c r="K728" i="5"/>
  <c r="K727" i="5"/>
  <c r="K751" i="5"/>
  <c r="K753" i="5"/>
  <c r="K752" i="5"/>
  <c r="K747" i="5"/>
  <c r="K740" i="5"/>
  <c r="K748" i="5"/>
  <c r="K628" i="5"/>
  <c r="K719" i="5"/>
  <c r="K725" i="5"/>
  <c r="K718" i="5"/>
  <c r="K731" i="5"/>
  <c r="K717" i="5"/>
  <c r="K730" i="5"/>
  <c r="K716" i="5"/>
  <c r="K746" i="5"/>
  <c r="K721" i="5"/>
  <c r="K720" i="5"/>
  <c r="K726" i="5"/>
  <c r="K711" i="5"/>
  <c r="K724" i="5"/>
  <c r="K741" i="5"/>
  <c r="K745" i="5"/>
  <c r="K744" i="5"/>
  <c r="K743" i="5"/>
  <c r="K742" i="5"/>
  <c r="K738" i="5"/>
  <c r="K737" i="5"/>
  <c r="K734" i="5"/>
  <c r="K732" i="5"/>
  <c r="K733" i="5"/>
  <c r="K697" i="5"/>
  <c r="K696" i="5"/>
  <c r="K695" i="5"/>
  <c r="K712" i="5"/>
  <c r="K715" i="5"/>
  <c r="K723" i="5"/>
  <c r="K709" i="5"/>
  <c r="K707" i="5"/>
  <c r="K705" i="5"/>
  <c r="K722" i="5"/>
  <c r="K708" i="5"/>
  <c r="K706" i="5"/>
  <c r="K704" i="5"/>
  <c r="K22" i="5"/>
  <c r="K714" i="5"/>
  <c r="K710" i="5"/>
  <c r="K713" i="5"/>
  <c r="K694" i="5"/>
  <c r="K703" i="5"/>
  <c r="K701" i="5"/>
  <c r="K700" i="5"/>
  <c r="K698" i="5"/>
  <c r="K699" i="5"/>
  <c r="K702" i="5"/>
  <c r="K693" i="5"/>
  <c r="K682" i="5"/>
  <c r="K689" i="5"/>
  <c r="K688" i="5"/>
  <c r="K687" i="5"/>
  <c r="K686" i="5"/>
  <c r="K685" i="5"/>
  <c r="K680" i="5"/>
  <c r="K679" i="5"/>
  <c r="K678" i="5"/>
  <c r="K677" i="5"/>
  <c r="K676" i="5"/>
  <c r="K681" i="5"/>
  <c r="K684" i="5"/>
  <c r="K683" i="5"/>
  <c r="K692" i="5"/>
  <c r="K671" i="5"/>
  <c r="K670" i="5"/>
  <c r="K669" i="5"/>
  <c r="K668" i="5"/>
  <c r="K691" i="5"/>
  <c r="K690" i="5"/>
  <c r="K675" i="5"/>
  <c r="K667" i="5"/>
  <c r="K673" i="5"/>
  <c r="K664" i="5"/>
  <c r="K665" i="5"/>
  <c r="K663" i="5"/>
  <c r="K674" i="5"/>
  <c r="K672" i="5"/>
  <c r="K666" i="5"/>
  <c r="K662" i="5"/>
  <c r="K660" i="5"/>
  <c r="K661" i="5"/>
  <c r="K659" i="5"/>
  <c r="K657" i="5"/>
  <c r="K658" i="5"/>
  <c r="K656" i="5"/>
  <c r="K654" i="5"/>
  <c r="K653" i="5"/>
  <c r="K651" i="5"/>
  <c r="K652" i="5"/>
  <c r="K650" i="5"/>
  <c r="K649" i="5"/>
  <c r="K648" i="5"/>
  <c r="K643" i="5"/>
  <c r="K647" i="5"/>
  <c r="K646" i="5"/>
  <c r="K645" i="5"/>
  <c r="K640" i="5"/>
  <c r="K644" i="5"/>
  <c r="K642" i="5"/>
  <c r="K637" i="5"/>
  <c r="K636" i="5"/>
  <c r="K635" i="5"/>
  <c r="K641" i="5"/>
  <c r="K621" i="5"/>
  <c r="K620" i="5"/>
  <c r="K627" i="5"/>
  <c r="K626" i="5"/>
  <c r="K619" i="5"/>
  <c r="K625" i="5"/>
  <c r="K631" i="5"/>
  <c r="K618" i="5"/>
  <c r="K630" i="5"/>
  <c r="K617" i="5"/>
  <c r="K633" i="5"/>
  <c r="K632" i="5"/>
  <c r="K634" i="5"/>
  <c r="K639" i="5"/>
  <c r="K638" i="5"/>
  <c r="K624" i="5"/>
  <c r="K629" i="5"/>
  <c r="K623" i="5"/>
  <c r="K622" i="5"/>
  <c r="K615" i="5"/>
  <c r="K616" i="5"/>
  <c r="K614" i="5"/>
  <c r="K613" i="5"/>
  <c r="K612" i="5"/>
  <c r="K609" i="5"/>
  <c r="K610" i="5"/>
  <c r="K611" i="5"/>
  <c r="K608" i="5"/>
  <c r="K607" i="5"/>
  <c r="K606" i="5"/>
  <c r="K605" i="5"/>
  <c r="K571" i="5"/>
  <c r="K604" i="5"/>
  <c r="K603" i="5"/>
  <c r="K598" i="5"/>
  <c r="K597" i="5"/>
  <c r="K594" i="5"/>
  <c r="K595" i="5"/>
  <c r="K596" i="5"/>
  <c r="K600" i="5"/>
  <c r="K602" i="5"/>
  <c r="K601" i="5"/>
  <c r="K599" i="5"/>
  <c r="K577" i="5"/>
  <c r="K576" i="5"/>
  <c r="K593" i="5"/>
  <c r="K592" i="5"/>
  <c r="K591" i="5"/>
  <c r="K586" i="5"/>
  <c r="K585" i="5"/>
  <c r="K575" i="5"/>
  <c r="K583" i="5"/>
  <c r="K590" i="5"/>
  <c r="K584" i="5"/>
  <c r="K580" i="5"/>
  <c r="K589" i="5"/>
  <c r="K588" i="5"/>
  <c r="K582" i="5"/>
  <c r="K579" i="5"/>
  <c r="K587" i="5"/>
  <c r="K581" i="5"/>
  <c r="K578" i="5"/>
  <c r="K574" i="5"/>
  <c r="K570" i="5"/>
  <c r="K573" i="5"/>
  <c r="K569" i="5"/>
  <c r="K572" i="5"/>
  <c r="K568" i="5"/>
  <c r="K564" i="5"/>
  <c r="K567" i="5"/>
  <c r="K565" i="5"/>
  <c r="K566" i="5"/>
  <c r="K558" i="5"/>
  <c r="K560" i="5"/>
  <c r="K559" i="5"/>
  <c r="K556" i="5"/>
  <c r="K555" i="5"/>
  <c r="K554" i="5"/>
  <c r="K553" i="5"/>
  <c r="K552" i="5"/>
  <c r="K563" i="5"/>
  <c r="K562" i="5"/>
  <c r="K542" i="5"/>
  <c r="K541" i="5"/>
  <c r="K540" i="5"/>
  <c r="K539" i="5"/>
  <c r="K538" i="5"/>
  <c r="K547" i="5"/>
  <c r="K545" i="5"/>
  <c r="K546" i="5"/>
  <c r="K544" i="5"/>
  <c r="K543" i="5"/>
  <c r="K561" i="5"/>
  <c r="K557" i="5"/>
  <c r="K551" i="5"/>
  <c r="K550" i="5"/>
  <c r="K549" i="5"/>
  <c r="K548" i="5"/>
  <c r="K536" i="5"/>
  <c r="K535" i="5"/>
  <c r="K537" i="5"/>
  <c r="K533" i="5"/>
  <c r="K532" i="5"/>
  <c r="K531" i="5"/>
  <c r="K530" i="5"/>
  <c r="K529" i="5"/>
  <c r="K528" i="5"/>
  <c r="K527" i="5"/>
  <c r="K526" i="5"/>
  <c r="K525" i="5"/>
  <c r="K524" i="5"/>
  <c r="K523" i="5"/>
  <c r="K522" i="5"/>
  <c r="K521" i="5"/>
  <c r="K519" i="5"/>
  <c r="K516" i="5"/>
  <c r="K515" i="5"/>
  <c r="K513" i="5"/>
  <c r="K512" i="5"/>
  <c r="K511" i="5"/>
  <c r="K510" i="5"/>
  <c r="K509" i="5"/>
  <c r="K508" i="5"/>
  <c r="K507" i="5"/>
  <c r="K506" i="5"/>
  <c r="K500" i="5"/>
  <c r="K498" i="5"/>
  <c r="K505" i="5"/>
  <c r="K504" i="5"/>
  <c r="K503" i="5"/>
  <c r="K502" i="5"/>
  <c r="K501" i="5"/>
  <c r="K499" i="5"/>
  <c r="K497" i="5"/>
  <c r="K496" i="5"/>
  <c r="K495" i="5"/>
  <c r="K494" i="5"/>
  <c r="K493" i="5"/>
  <c r="K492" i="5"/>
  <c r="K491" i="5"/>
  <c r="K490" i="5"/>
  <c r="K489" i="5"/>
  <c r="K488" i="5"/>
  <c r="K487" i="5"/>
  <c r="K486" i="5"/>
  <c r="K485" i="5"/>
  <c r="K484" i="5"/>
  <c r="K481" i="5"/>
  <c r="K480" i="5"/>
  <c r="K479" i="5"/>
  <c r="K478" i="5"/>
  <c r="K482" i="5"/>
  <c r="K477" i="5"/>
  <c r="K476" i="5"/>
  <c r="K475" i="5"/>
  <c r="K474" i="5"/>
  <c r="K473" i="5"/>
  <c r="K472" i="5"/>
  <c r="K975" i="5"/>
  <c r="K471" i="5"/>
  <c r="K974"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6" i="5"/>
  <c r="K405" i="5"/>
  <c r="K404" i="5"/>
  <c r="K403" i="5"/>
  <c r="K402" i="5"/>
  <c r="K401" i="5"/>
  <c r="K407"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1" i="5"/>
  <c r="K350" i="5"/>
  <c r="K349" i="5"/>
  <c r="K348" i="5"/>
  <c r="K352" i="5"/>
  <c r="K347" i="5"/>
  <c r="K346" i="5"/>
  <c r="K345" i="5"/>
  <c r="K344" i="5"/>
  <c r="K343" i="5"/>
  <c r="K342" i="5"/>
  <c r="K341" i="5"/>
  <c r="K340" i="5"/>
  <c r="K335" i="5"/>
  <c r="K339" i="5"/>
  <c r="K338" i="5"/>
  <c r="K337" i="5"/>
  <c r="K336" i="5"/>
  <c r="K334" i="5"/>
  <c r="K333" i="5"/>
  <c r="K332" i="5"/>
  <c r="K331" i="5"/>
  <c r="K330" i="5"/>
  <c r="K329" i="5"/>
  <c r="K328" i="5"/>
  <c r="K327" i="5"/>
  <c r="K326" i="5"/>
  <c r="K325" i="5"/>
  <c r="K324" i="5"/>
  <c r="K323" i="5"/>
  <c r="K322" i="5"/>
  <c r="K321" i="5"/>
  <c r="K320" i="5"/>
  <c r="K319" i="5"/>
  <c r="K318" i="5"/>
  <c r="K317" i="5"/>
  <c r="K315" i="5"/>
  <c r="K316" i="5"/>
  <c r="K314" i="5"/>
  <c r="K313" i="5"/>
  <c r="K312" i="5"/>
  <c r="K311" i="5"/>
  <c r="K309" i="5"/>
  <c r="K308" i="5"/>
  <c r="K310"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59" i="5"/>
  <c r="K277" i="5"/>
  <c r="K276" i="5"/>
  <c r="K275" i="5"/>
  <c r="K274" i="5"/>
  <c r="K273" i="5"/>
  <c r="K272" i="5"/>
  <c r="K271" i="5"/>
  <c r="K270" i="5"/>
  <c r="K269" i="5"/>
  <c r="K268" i="5"/>
  <c r="K267" i="5"/>
  <c r="K266" i="5"/>
  <c r="K265" i="5"/>
  <c r="K264" i="5"/>
  <c r="K263" i="5"/>
  <c r="K262" i="5"/>
  <c r="K261" i="5"/>
  <c r="K260" i="5"/>
  <c r="K258" i="5"/>
  <c r="K257" i="5"/>
  <c r="K256" i="5"/>
  <c r="K255" i="5"/>
  <c r="K254" i="5"/>
  <c r="K244" i="5"/>
  <c r="K253" i="5"/>
  <c r="K252" i="5"/>
  <c r="K251" i="5"/>
  <c r="K250" i="5"/>
  <c r="K249" i="5"/>
  <c r="K248" i="5"/>
  <c r="K247" i="5"/>
  <c r="K246" i="5"/>
  <c r="K245"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1" i="5"/>
  <c r="K174" i="5"/>
  <c r="K173" i="5"/>
  <c r="K172" i="5"/>
  <c r="K170" i="5"/>
  <c r="K169" i="5"/>
  <c r="K168" i="5"/>
  <c r="K167" i="5"/>
  <c r="K166" i="5"/>
  <c r="K165" i="5"/>
  <c r="K164" i="5"/>
  <c r="K163" i="5"/>
  <c r="K162" i="5"/>
  <c r="K98" i="5"/>
  <c r="K161" i="5"/>
  <c r="K160" i="5"/>
  <c r="K159" i="5"/>
  <c r="K158" i="5"/>
  <c r="K157" i="5"/>
  <c r="K156" i="5"/>
  <c r="K155" i="5"/>
  <c r="K154" i="5"/>
  <c r="K153" i="5"/>
  <c r="K152" i="5"/>
  <c r="K151" i="5"/>
  <c r="K150" i="5"/>
  <c r="K149" i="5"/>
  <c r="K148" i="5"/>
  <c r="K147" i="5"/>
  <c r="K146" i="5"/>
  <c r="K145"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6" i="5"/>
  <c r="K97" i="5"/>
  <c r="K99"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5" i="5"/>
  <c r="K56" i="5"/>
  <c r="K1042" i="5"/>
  <c r="K54" i="5"/>
  <c r="K53" i="5"/>
  <c r="K1041" i="5"/>
  <c r="K52" i="5"/>
  <c r="K51" i="5"/>
  <c r="K1040" i="5"/>
  <c r="K1039" i="5"/>
  <c r="K1038" i="5"/>
  <c r="K1037" i="5"/>
  <c r="K50" i="5"/>
  <c r="K49" i="5"/>
  <c r="K48" i="5"/>
  <c r="K47" i="5"/>
  <c r="K46" i="5"/>
  <c r="K45" i="5"/>
  <c r="K44" i="5"/>
  <c r="K43" i="5"/>
  <c r="K42" i="5"/>
  <c r="K41" i="5"/>
  <c r="K40" i="5"/>
  <c r="K39" i="5"/>
  <c r="K38" i="5"/>
  <c r="K37" i="5"/>
  <c r="K36" i="5"/>
  <c r="K35" i="5"/>
  <c r="K34" i="5"/>
  <c r="K33" i="5"/>
  <c r="K1035" i="5"/>
  <c r="K1073" i="5"/>
  <c r="K1034" i="5"/>
  <c r="K1047" i="5"/>
  <c r="K1094" i="5"/>
  <c r="K1093" i="5"/>
  <c r="K1092" i="5"/>
  <c r="K1033" i="5"/>
  <c r="K1091" i="5"/>
  <c r="K1095" i="5"/>
  <c r="K1090" i="5"/>
  <c r="K1013" i="5"/>
  <c r="K1014" i="5"/>
  <c r="K1089" i="5"/>
  <c r="K32" i="5"/>
  <c r="K1097" i="5"/>
  <c r="K1096" i="5"/>
  <c r="K31" i="5"/>
  <c r="K30" i="5"/>
  <c r="K1031" i="5"/>
  <c r="K29" i="5"/>
  <c r="K1088" i="5"/>
  <c r="K986" i="5"/>
  <c r="K983" i="5"/>
  <c r="K985" i="5"/>
  <c r="K984" i="5"/>
  <c r="K1012" i="5"/>
  <c r="K1011" i="5"/>
  <c r="K1060" i="5"/>
  <c r="K1087" i="5"/>
  <c r="K1046" i="5"/>
  <c r="K1086" i="5"/>
  <c r="K1032" i="5"/>
  <c r="K1030" i="5"/>
  <c r="K982" i="5"/>
  <c r="K1045" i="5"/>
  <c r="K28" i="5"/>
  <c r="K27" i="5"/>
  <c r="K1044" i="5"/>
  <c r="K1085" i="5"/>
  <c r="K1043" i="5"/>
  <c r="K26" i="5"/>
  <c r="K25" i="5"/>
  <c r="K1010" i="5"/>
  <c r="K1083" i="5"/>
  <c r="K1078" i="5"/>
  <c r="K24" i="5"/>
  <c r="K1082" i="5"/>
  <c r="K1029" i="5"/>
  <c r="K1084" i="5"/>
  <c r="K981" i="5"/>
  <c r="K980" i="5"/>
  <c r="K1077" i="5"/>
  <c r="K1076" i="5"/>
  <c r="K1059" i="5"/>
  <c r="K1075" i="5"/>
  <c r="K1028" i="5"/>
  <c r="K23" i="5"/>
  <c r="K1081" i="5"/>
  <c r="K1080" i="5"/>
  <c r="K1008" i="5"/>
  <c r="K1007" i="5"/>
  <c r="K1079" i="5"/>
  <c r="K979" i="5"/>
  <c r="K1009" i="5"/>
  <c r="K1074" i="5"/>
  <c r="K1006" i="5"/>
  <c r="K1058" i="5"/>
  <c r="K1070" i="5"/>
  <c r="K1005" i="5"/>
  <c r="K1072" i="5"/>
  <c r="K21" i="5"/>
  <c r="K994" i="5"/>
  <c r="K1051" i="5"/>
  <c r="K1050" i="5"/>
  <c r="K1049" i="5"/>
  <c r="K1025" i="5"/>
  <c r="K1024" i="5"/>
  <c r="K1054" i="5"/>
  <c r="K1052" i="5"/>
  <c r="K1053" i="5"/>
  <c r="K20" i="5"/>
  <c r="K1027" i="5"/>
  <c r="K1026" i="5"/>
  <c r="K1071" i="5"/>
  <c r="K1055" i="5"/>
  <c r="K19" i="5"/>
  <c r="K1104" i="5"/>
  <c r="K18" i="5"/>
  <c r="K1004" i="5"/>
  <c r="K1003" i="5"/>
  <c r="K1103" i="5"/>
  <c r="K17" i="5"/>
  <c r="K1023" i="5"/>
  <c r="K16" i="5"/>
  <c r="K1022" i="5"/>
  <c r="K1068" i="5"/>
  <c r="K1067" i="5"/>
  <c r="K1002" i="5"/>
  <c r="K1066" i="5"/>
  <c r="K1065" i="5"/>
  <c r="K1001" i="5"/>
  <c r="K1000" i="5"/>
  <c r="K1069" i="5"/>
  <c r="K15" i="5"/>
  <c r="K1064" i="5"/>
  <c r="K14" i="5"/>
  <c r="K13" i="5"/>
  <c r="K1063" i="5"/>
  <c r="K1021" i="5"/>
  <c r="K999" i="5"/>
  <c r="K993" i="5"/>
  <c r="K1048" i="5"/>
  <c r="K12" i="5"/>
  <c r="K1020" i="5"/>
  <c r="K1105" i="5"/>
  <c r="K998" i="5"/>
  <c r="K11" i="5"/>
  <c r="K10" i="5"/>
  <c r="K1106" i="5"/>
  <c r="K9" i="5"/>
  <c r="K8" i="5"/>
  <c r="K7" i="5"/>
  <c r="K6" i="5"/>
  <c r="K1100" i="5"/>
  <c r="K997" i="5"/>
  <c r="K5" i="5"/>
  <c r="K1099" i="5"/>
  <c r="K991" i="5"/>
  <c r="K1102" i="5"/>
  <c r="K1098" i="5"/>
  <c r="K1101" i="5"/>
  <c r="K992" i="5"/>
  <c r="K990" i="5"/>
  <c r="K988" i="5"/>
  <c r="K4" i="5"/>
  <c r="K987" i="5"/>
  <c r="K989" i="5"/>
  <c r="K1057" i="5"/>
  <c r="K978" i="5"/>
  <c r="K1062" i="5"/>
  <c r="K1061" i="5"/>
  <c r="K996" i="5"/>
  <c r="K1019" i="5"/>
  <c r="K977" i="5"/>
  <c r="K1036" i="5"/>
  <c r="K995" i="5"/>
  <c r="K1018" i="5"/>
  <c r="K1017" i="5"/>
  <c r="K1056" i="5"/>
  <c r="K1016" i="5"/>
  <c r="K3" i="5"/>
  <c r="K2" i="5"/>
  <c r="K1015" i="5"/>
  <c r="C139" i="2"/>
  <c r="C138" i="2"/>
  <c r="C127" i="2"/>
  <c r="C126" i="2"/>
  <c r="C114" i="2"/>
  <c r="C113" i="2"/>
  <c r="C94" i="2"/>
  <c r="C93" i="2"/>
  <c r="C82" i="2"/>
  <c r="C81" i="2"/>
  <c r="C72" i="2"/>
  <c r="C71" i="2"/>
  <c r="C62" i="2"/>
  <c r="C61" i="2"/>
  <c r="C47" i="2"/>
  <c r="C46" i="2"/>
  <c r="C31" i="2"/>
  <c r="C30" i="2"/>
  <c r="C17" i="2"/>
  <c r="C16" i="2"/>
  <c r="C41" i="6" l="1"/>
  <c r="E6" i="9"/>
  <c r="C23" i="6"/>
  <c r="C68" i="6"/>
  <c r="C11" i="6"/>
  <c r="C12" i="9"/>
  <c r="C40" i="9"/>
  <c r="C31" i="6"/>
  <c r="C38" i="6"/>
  <c r="C70" i="6"/>
  <c r="C36" i="9"/>
  <c r="C12" i="10"/>
  <c r="E6" i="10"/>
  <c r="E6" i="12"/>
  <c r="C16" i="12"/>
  <c r="C25" i="6"/>
  <c r="C62" i="7"/>
  <c r="C14" i="9"/>
  <c r="C32" i="9"/>
  <c r="C14" i="6"/>
  <c r="C27" i="6"/>
  <c r="E6" i="6"/>
  <c r="C18" i="6"/>
  <c r="C16" i="6"/>
  <c r="C35" i="6"/>
  <c r="C28" i="9"/>
  <c r="C15" i="12"/>
  <c r="C43" i="9"/>
  <c r="E6" i="14"/>
  <c r="C73" i="7"/>
  <c r="C161" i="6"/>
  <c r="E6" i="7"/>
  <c r="C10" i="7"/>
  <c r="C74" i="7"/>
  <c r="C20" i="8"/>
  <c r="C26" i="8"/>
  <c r="C12" i="7"/>
  <c r="C15" i="8"/>
  <c r="C34" i="8"/>
  <c r="C19" i="7"/>
  <c r="C38" i="7"/>
  <c r="C22" i="8"/>
  <c r="C55" i="8"/>
  <c r="C26" i="7"/>
  <c r="C71" i="7"/>
  <c r="C65" i="7"/>
  <c r="C30" i="8"/>
  <c r="C15" i="7"/>
  <c r="C69" i="8"/>
  <c r="C37" i="8"/>
  <c r="C13" i="8"/>
  <c r="C11" i="8"/>
  <c r="E6" i="8"/>
  <c r="C17" i="9"/>
  <c r="C21" i="9"/>
  <c r="C10" i="12"/>
  <c r="C11" i="12"/>
  <c r="C33" i="12"/>
  <c r="C18" i="11"/>
  <c r="E6" i="11"/>
  <c r="C17" i="11"/>
  <c r="C13" i="12"/>
  <c r="C26" i="12"/>
  <c r="C38" i="13"/>
  <c r="C65" i="13"/>
  <c r="C74" i="13"/>
  <c r="C30" i="12"/>
  <c r="C20" i="12"/>
  <c r="C62" i="13"/>
  <c r="C71" i="13"/>
  <c r="C26" i="13"/>
  <c r="C36" i="12"/>
  <c r="C14" i="13"/>
  <c r="C73" i="13"/>
  <c r="C22" i="12"/>
  <c r="E6" i="13"/>
  <c r="C19" i="11" l="1"/>
  <c r="C6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AC48" authorId="0" shapeId="0" xr:uid="{00000000-0006-0000-0000-000001000000}">
      <text>
        <r>
          <rPr>
            <sz val="11"/>
            <color theme="1"/>
            <rFont val="Calibri"/>
            <scheme val="minor"/>
          </rPr>
          <t>Ryan Gille:
Corrected last entry: latest recorded instrument is 2026-003315, Final Decree, Bk 2704/Pg 142, indexed 6/5/2026 (okcountyrecords). Prior value 2704/402 has no matching record in the source pull.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17" authorId="0" shapeId="0" xr:uid="{00000000-0006-0000-0100-000001000000}">
      <text>
        <r>
          <rPr>
            <sz val="11"/>
            <color theme="1"/>
            <rFont val="Calibri"/>
            <scheme val="minor"/>
          </rPr>
          <t>Ryan Gille:
Does not balance: total = 0 vs tract acreage of 80 ac. Net acres are TBD pending full document images. VERIFY.</t>
        </r>
      </text>
    </comment>
    <comment ref="C31" authorId="0" shapeId="0" xr:uid="{00000000-0006-0000-0100-000002000000}">
      <text>
        <r>
          <rPr>
            <sz val="11"/>
            <color theme="1"/>
            <rFont val="Calibri"/>
            <scheme val="minor"/>
          </rPr>
          <t>Ryan Gille:
Does not balance: total = 0 vs tract acreage of 40 ac. Net acres are TBD pending full document images. VERIFY.</t>
        </r>
      </text>
    </comment>
    <comment ref="C47" authorId="0" shapeId="0" xr:uid="{00000000-0006-0000-0100-000003000000}">
      <text>
        <r>
          <rPr>
            <sz val="11"/>
            <color theme="1"/>
            <rFont val="Calibri"/>
            <scheme val="minor"/>
          </rPr>
          <t>Ryan Gille:
Does not balance: total = 0 vs tract acreage of 40 ac. Net acres are TBD pending full document images. VERIFY.</t>
        </r>
      </text>
    </comment>
    <comment ref="C62" authorId="0" shapeId="0" xr:uid="{00000000-0006-0000-0100-000004000000}">
      <text>
        <r>
          <rPr>
            <sz val="11"/>
            <color theme="1"/>
            <rFont val="Calibri"/>
            <scheme val="minor"/>
          </rPr>
          <t>Ryan Gille:
Does not balance: total = 0 vs tract acreage of 80 ac. Net acres are TBD pending full document images. VERIFY.</t>
        </r>
      </text>
    </comment>
    <comment ref="C72" authorId="0" shapeId="0" xr:uid="{00000000-0006-0000-0100-000005000000}">
      <text>
        <r>
          <rPr>
            <sz val="11"/>
            <color theme="1"/>
            <rFont val="Calibri"/>
            <scheme val="minor"/>
          </rPr>
          <t>Ryan Gille:
Does not balance: total = 0; tract acreage itself not determined (irregular lots). VERIFY.</t>
        </r>
      </text>
    </comment>
    <comment ref="C79" authorId="0" shapeId="0" xr:uid="{00000000-0006-0000-0100-000006000000}">
      <text>
        <r>
          <rPr>
            <sz val="11"/>
            <color theme="1"/>
            <rFont val="Calibri"/>
            <scheme val="minor"/>
          </rPr>
          <t>Ryan Gille:
Single mineral owner (Ronald Paul Dold) of the full W/2 SW/4 = 80.00 net mineral acres (fraction 1.0 x 80 ac). Acreage nominal — verify against plat.</t>
        </r>
      </text>
    </comment>
    <comment ref="C82" authorId="0" shapeId="0" xr:uid="{00000000-0006-0000-0100-000007000000}">
      <text>
        <r>
          <rPr>
            <sz val="11"/>
            <color theme="1"/>
            <rFont val="Calibri"/>
            <scheme val="minor"/>
          </rPr>
          <t>Now balances: 80.00 net ac = nominal W/2 SW/4 acreage (sole owner holds full aliquot). Nominal acreage — verify against plat.</t>
        </r>
      </text>
    </comment>
    <comment ref="C94" authorId="0" shapeId="0" xr:uid="{00000000-0006-0000-0100-000008000000}">
      <text>
        <r>
          <rPr>
            <sz val="11"/>
            <color theme="1"/>
            <rFont val="Calibri"/>
            <scheme val="minor"/>
          </rPr>
          <t>Ryan Gille:
Does not balance: total = 0 vs nominal 40 ac. Net acres are TBD pending full document images. VERIFY.</t>
        </r>
      </text>
    </comment>
    <comment ref="B101" authorId="0" shapeId="0" xr:uid="{E40DF485-5124-4DF4-9336-09CE95C20089}">
      <text>
        <r>
          <rPr>
            <b/>
            <sz val="9"/>
            <color indexed="81"/>
            <rFont val="Tahoma"/>
            <charset val="1"/>
          </rPr>
          <t>Ryan Gille:</t>
        </r>
        <r>
          <rPr>
            <sz val="9"/>
            <color indexed="81"/>
            <rFont val="Tahoma"/>
            <charset val="1"/>
          </rPr>
          <t xml:space="preserve">
Preliminary current-owner candidates derived from the Tract 8 chain grid — NEEDS IMAGE VERIFICATION. The chain over-conveys by ~1 net unit and contains 5 unresolved gap instruments: 2011-007728, 2011-007729, 2014-004286, 2015-000877, 2020-001650. Exact net acres and final current-vs-predecessor status require deed images. Greystone Energy &amp; Minerals appears as both grantee and grantor (net interest unresolved). Older chain parties that may be predecessors: Mare Oil Company; Clarence C. Bain, Trustee; Myron V. Slobin; Stephen M. Criser, Trustee; Omega Royalty Co, LLC; Arrowhead Resources, Inc.; Williams Rogene E. Rev. Trust; Jesse W. Fuchs.</t>
        </r>
      </text>
    </comment>
    <comment ref="C114" authorId="0" shapeId="0" xr:uid="{00000000-0006-0000-0100-000009000000}">
      <text>
        <r>
          <rPr>
            <sz val="11"/>
            <color theme="1"/>
            <rFont val="Calibri"/>
            <scheme val="minor"/>
          </rPr>
          <t>Net acres are TBD pending deed images; Tract 8 chain is unreconciled (over-conveys ~1 unit; 5 gap instruments). 120 nominal acres. Total stays 0 until exact fractions are determined from images.</t>
        </r>
      </text>
    </comment>
    <comment ref="C127" authorId="0" shapeId="0" xr:uid="{00000000-0006-0000-0100-00000A000000}">
      <text>
        <r>
          <rPr>
            <sz val="11"/>
            <color theme="1"/>
            <rFont val="Calibri"/>
            <scheme val="minor"/>
          </rPr>
          <t>Ryan Gille:
Working interest net acres / WI-NRI not determined. VERIFY with full assignments and OCC records.</t>
        </r>
      </text>
    </comment>
    <comment ref="C139" authorId="0" shapeId="0" xr:uid="{00000000-0006-0000-0100-00000B000000}">
      <text>
        <r>
          <rPr>
            <sz val="11"/>
            <color theme="1"/>
            <rFont val="Calibri"/>
            <scheme val="minor"/>
          </rPr>
          <t>Ryan Gille:
Working interest net acres / WI-NRI not determined. VERIFY with full assignments and OCC records.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500-000001000000}">
      <text>
        <r>
          <rPr>
            <sz val="11"/>
            <color theme="1"/>
            <rFont val="Calibri"/>
            <scheme val="minor"/>
          </rPr>
          <t>Ryan Gille:
EXAMINER REVIEW: multi-grantee (Eta-Flag Royalty Trust + First City National Bank) AND chain gap — Garrison-&gt;Flag-Redfern not of record. Flow cleared; needs deed image.</t>
        </r>
      </text>
    </comment>
    <comment ref="L2" authorId="0" shapeId="0" xr:uid="{00000000-0006-0000-0500-000002000000}">
      <text>
        <r>
          <rPr>
            <sz val="11"/>
            <color theme="1"/>
            <rFont val="Calibri"/>
            <scheme val="minor"/>
          </rPr>
          <t>Ryan Gille:
EXAMINER REVIEW: multi-grantee (Floyd &amp; Nancy Atha) — fraction not in index.</t>
        </r>
      </text>
    </comment>
    <comment ref="S2" authorId="0" shapeId="0" xr:uid="{00000000-0006-0000-0500-000003000000}">
      <text>
        <r>
          <rPr>
            <sz val="11"/>
            <color theme="1"/>
            <rFont val="Calibri"/>
            <scheme val="minor"/>
          </rPr>
          <t>Ryan Gille:
EXAMINER REVIEW: multi-grantee (Hayhurst Peggy Revoc Trust + Peggy J) — fraction not in index.</t>
        </r>
      </text>
    </comment>
    <comment ref="W2" authorId="0" shapeId="0" xr:uid="{00000000-0006-0000-0500-000004000000}">
      <text>
        <r>
          <rPr>
            <sz val="11"/>
            <color theme="1"/>
            <rFont val="Calibri"/>
            <scheme val="minor"/>
          </rPr>
          <t>Ryan Gille:
EXAMINER REVIEW: multi-grantor (Minion Investment + Brian Rice) — fraction not in index.</t>
        </r>
      </text>
    </comment>
    <comment ref="Z2" authorId="0" shapeId="0" xr:uid="{00000000-0006-0000-0500-000005000000}">
      <text>
        <r>
          <rPr>
            <sz val="11"/>
            <color theme="1"/>
            <rFont val="Calibri"/>
            <scheme val="minor"/>
          </rPr>
          <t>Ryan Gille:
EXAMINER REVIEW: multi-party Atha-&gt;Atha trust transfer — fractions/trust variants need deed image.</t>
        </r>
      </text>
    </comment>
    <comment ref="AA2" authorId="0" shapeId="0" xr:uid="{00000000-0006-0000-0500-000006000000}">
      <text>
        <r>
          <rPr>
            <sz val="11"/>
            <color theme="1"/>
            <rFont val="Calibri"/>
            <scheme val="minor"/>
          </rPr>
          <t>Ryan Gille:
EXAMINER REVIEW: multi-party (Atha co-trustees -&gt; Tucker x2) — fraction not in index.</t>
        </r>
      </text>
    </comment>
    <comment ref="AB2" authorId="0" shapeId="0" xr:uid="{00000000-0006-0000-0500-000007000000}">
      <text>
        <r>
          <rPr>
            <sz val="11"/>
            <color theme="1"/>
            <rFont val="Calibri"/>
            <scheme val="minor"/>
          </rPr>
          <t>Ryan Gille:
EXAMINER REVIEW: multi-party Palmer family transfer — fraction not in index.</t>
        </r>
      </text>
    </comment>
    <comment ref="AC2" authorId="0" shapeId="0" xr:uid="{00000000-0006-0000-0500-000008000000}">
      <text>
        <r>
          <rPr>
            <sz val="11"/>
            <color theme="1"/>
            <rFont val="Calibri"/>
            <scheme val="minor"/>
          </rPr>
          <t>Ryan Gille:
EXAMINER REVIEW: multi-party Mitchel family trust (incl. Shanti Mitchel, unmatched) — fraction not in index.</t>
        </r>
      </text>
    </comment>
    <comment ref="AD2" authorId="0" shapeId="0" xr:uid="{00000000-0006-0000-0500-000009000000}">
      <text>
        <r>
          <rPr>
            <sz val="11"/>
            <color theme="1"/>
            <rFont val="Calibri"/>
            <scheme val="minor"/>
          </rPr>
          <t>Ryan Gille:
EXAMINER REVIEW: Shonna Mitchel -&gt; family trust — grantor/grantee variants need deed image.</t>
        </r>
      </text>
    </comment>
    <comment ref="AE2" authorId="0" shapeId="0" xr:uid="{00000000-0006-0000-0500-00000A000000}">
      <text>
        <r>
          <rPr>
            <sz val="11"/>
            <color theme="1"/>
            <rFont val="Calibri"/>
            <scheme val="minor"/>
          </rPr>
          <t>Ryan Gille:
EXAMINER REVIEW: multi-grantor (Gene &amp; Nancy Williams) -&gt; Public — fraction not in index.</t>
        </r>
      </text>
    </comment>
    <comment ref="AF2" authorId="0" shapeId="0" xr:uid="{00000000-0006-0000-0500-00000B000000}">
      <text>
        <r>
          <rPr>
            <sz val="11"/>
            <color theme="1"/>
            <rFont val="Calibri"/>
            <scheme val="minor"/>
          </rPr>
          <t>Ryan Gille:
EXAMINER REVIEW: multi-grantor (Luther &amp; Veronica Thurman) -&gt; trust — fraction not in index.</t>
        </r>
      </text>
    </comment>
    <comment ref="AG2" authorId="0" shapeId="0" xr:uid="{00000000-0006-0000-0500-00000C000000}">
      <text>
        <r>
          <rPr>
            <sz val="11"/>
            <color theme="1"/>
            <rFont val="Calibri"/>
            <scheme val="minor"/>
          </rPr>
          <t>Ryan Gille:
EXAMINER REVIEW: multi-grantor (Etta &amp; Joe Britton) -&gt; Browning — fraction not in index.</t>
        </r>
      </text>
    </comment>
    <comment ref="AJ2" authorId="0" shapeId="0" xr:uid="{00000000-0006-0000-0500-00000D000000}">
      <text>
        <r>
          <rPr>
            <sz val="11"/>
            <color theme="1"/>
            <rFont val="Calibri"/>
            <scheme val="minor"/>
          </rPr>
          <t>Ryan Gille:
EXAMINER REVIEW: multi-party (Thurman trust + Vignal) -&gt; Vignal trusts — fraction not in index.</t>
        </r>
      </text>
    </comment>
    <comment ref="AK2" authorId="0" shapeId="0" xr:uid="{00000000-0006-0000-0500-00000E000000}">
      <text>
        <r>
          <rPr>
            <sz val="11"/>
            <color theme="1"/>
            <rFont val="Calibri"/>
            <scheme val="minor"/>
          </rPr>
          <t>Ryan Gille:
EXAMINER REVIEW: multi-grantor (Grizzly + Vanguard Operating, Vanguard unmatched) -&gt; PSI LKE — fraction not in index.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600-000001000000}">
      <text>
        <r>
          <rPr>
            <sz val="11"/>
            <color theme="1"/>
            <rFont val="Calibri"/>
            <scheme val="minor"/>
          </rPr>
          <t>Ryan Gille:
Homestead/Patent record — no instrument # of record (QA).</t>
        </r>
      </text>
    </comment>
    <comment ref="I2" authorId="0" shapeId="0" xr:uid="{00000000-0006-0000-0600-000002000000}">
      <text>
        <r>
          <rPr>
            <sz val="11"/>
            <color theme="1"/>
            <rFont val="Calibri"/>
            <scheme val="minor"/>
          </rPr>
          <t>Ryan Gille:
EXAMINER REVIEW: multi-party/fractional or party not in owner chain — fraction not in index; needs deed image.</t>
        </r>
      </text>
    </comment>
    <comment ref="L2" authorId="0" shapeId="0" xr:uid="{00000000-0006-0000-0600-000003000000}">
      <text>
        <r>
          <rPr>
            <sz val="11"/>
            <color theme="1"/>
            <rFont val="Calibri"/>
            <scheme val="minor"/>
          </rPr>
          <t>Ryan Gille:
EXAMINER REVIEW: multi-party/fractional or party not in owner chain — fraction not in index; needs deed image.</t>
        </r>
      </text>
    </comment>
    <comment ref="M2" authorId="0" shapeId="0" xr:uid="{00000000-0006-0000-0600-000004000000}">
      <text>
        <r>
          <rPr>
            <sz val="11"/>
            <color theme="1"/>
            <rFont val="Calibri"/>
            <scheme val="minor"/>
          </rPr>
          <t>Ryan Gille:
EXAMINER REVIEW: multi-party/fractional or party not in owner chain — fraction not in index; needs deed image.</t>
        </r>
      </text>
    </comment>
    <comment ref="Q2" authorId="0" shapeId="0" xr:uid="{00000000-0006-0000-0600-000005000000}">
      <text>
        <r>
          <rPr>
            <sz val="11"/>
            <color theme="1"/>
            <rFont val="Calibri"/>
            <scheme val="minor"/>
          </rPr>
          <t>Ryan Gille:
EXAMINER REVIEW: multi-party/fractional or party not in owner chain — fraction not in index; needs deed image.</t>
        </r>
      </text>
    </comment>
    <comment ref="R2" authorId="0" shapeId="0" xr:uid="{00000000-0006-0000-0600-000006000000}">
      <text>
        <r>
          <rPr>
            <sz val="11"/>
            <color theme="1"/>
            <rFont val="Calibri"/>
            <scheme val="minor"/>
          </rPr>
          <t>Ryan Gille:
EXAMINER REVIEW: multi-party/fractional or party not in owner chain — fraction not in index; needs deed image.</t>
        </r>
      </text>
    </comment>
    <comment ref="S2" authorId="0" shapeId="0" xr:uid="{00000000-0006-0000-0600-000007000000}">
      <text>
        <r>
          <rPr>
            <sz val="11"/>
            <color theme="1"/>
            <rFont val="Calibri"/>
            <scheme val="minor"/>
          </rPr>
          <t>Ryan Gille:
EXAMINER REVIEW: multi-party/fractional or party not in owner chain — fraction not in index; needs deed image.</t>
        </r>
      </text>
    </comment>
    <comment ref="T2" authorId="0" shapeId="0" xr:uid="{00000000-0006-0000-0600-000008000000}">
      <text>
        <r>
          <rPr>
            <sz val="11"/>
            <color theme="1"/>
            <rFont val="Calibri"/>
            <scheme val="minor"/>
          </rPr>
          <t>Ryan Gille:
EXAMINER REVIEW: multi-party/fractional or party not in owner chain — fraction not in index; needs deed image.</t>
        </r>
      </text>
    </comment>
    <comment ref="U2" authorId="0" shapeId="0" xr:uid="{00000000-0006-0000-0600-000009000000}">
      <text>
        <r>
          <rPr>
            <sz val="11"/>
            <color theme="1"/>
            <rFont val="Calibri"/>
            <scheme val="minor"/>
          </rPr>
          <t>Ryan Gille:
EXAMINER REVIEW: multi-party/fractional or party not in owner chain — fraction not in index; needs deed image.</t>
        </r>
      </text>
    </comment>
    <comment ref="V2" authorId="0" shapeId="0" xr:uid="{00000000-0006-0000-0600-00000A000000}">
      <text>
        <r>
          <rPr>
            <sz val="11"/>
            <color theme="1"/>
            <rFont val="Calibri"/>
            <scheme val="minor"/>
          </rPr>
          <t>Ryan Gille:
EXAMINER REVIEW: multi-party/fractional or party not in owner chain — fraction not in index; needs deed image.</t>
        </r>
      </text>
    </comment>
    <comment ref="X2" authorId="0" shapeId="0" xr:uid="{00000000-0006-0000-0600-00000B000000}">
      <text>
        <r>
          <rPr>
            <sz val="11"/>
            <color theme="1"/>
            <rFont val="Calibri"/>
            <scheme val="minor"/>
          </rPr>
          <t>Ryan Gille:
EXAMINER REVIEW: multi-party/fractional or party not in owner chain — fraction not in index; needs deed image.</t>
        </r>
      </text>
    </comment>
    <comment ref="Y2" authorId="0" shapeId="0" xr:uid="{00000000-0006-0000-0600-00000C000000}">
      <text>
        <r>
          <rPr>
            <sz val="11"/>
            <color theme="1"/>
            <rFont val="Calibri"/>
            <scheme val="minor"/>
          </rPr>
          <t>Ryan Gille:
EXAMINER REVIEW: multi-party/fractional or party not in owner chain — fraction not in index; needs deed image.</t>
        </r>
      </text>
    </comment>
    <comment ref="Z2" authorId="0" shapeId="0" xr:uid="{00000000-0006-0000-0600-00000D000000}">
      <text>
        <r>
          <rPr>
            <sz val="11"/>
            <color theme="1"/>
            <rFont val="Calibri"/>
            <scheme val="minor"/>
          </rPr>
          <t>Ryan Gille:
EXAMINER REVIEW: multi-party/fractional or party not in owner chain — fraction not in index; needs deed image.</t>
        </r>
      </text>
    </comment>
    <comment ref="AA2" authorId="0" shapeId="0" xr:uid="{00000000-0006-0000-0600-00000E000000}">
      <text>
        <r>
          <rPr>
            <sz val="11"/>
            <color theme="1"/>
            <rFont val="Calibri"/>
            <scheme val="minor"/>
          </rPr>
          <t>Ryan Gille:
EXAMINER REVIEW: multi-party/fractional or party not in owner chain — fraction not in index; needs deed image.</t>
        </r>
      </text>
    </comment>
    <comment ref="AB2" authorId="0" shapeId="0" xr:uid="{00000000-0006-0000-0600-00000F000000}">
      <text>
        <r>
          <rPr>
            <sz val="11"/>
            <color theme="1"/>
            <rFont val="Calibri"/>
            <scheme val="minor"/>
          </rPr>
          <t>Ryan Gille:
EXAMINER REVIEW: multi-party/fractional or party not in owner chain — fraction not in index; needs deed image.</t>
        </r>
      </text>
    </comment>
    <comment ref="AD2" authorId="0" shapeId="0" xr:uid="{00000000-0006-0000-0600-000010000000}">
      <text>
        <r>
          <rPr>
            <sz val="11"/>
            <color theme="1"/>
            <rFont val="Calibri"/>
            <scheme val="minor"/>
          </rPr>
          <t>Ryan Gille:
EXAMINER REVIEW: multi-party/fractional or party not in owner chain — fraction not in index; needs deed image.</t>
        </r>
      </text>
    </comment>
    <comment ref="AE2" authorId="0" shapeId="0" xr:uid="{00000000-0006-0000-0600-000011000000}">
      <text>
        <r>
          <rPr>
            <sz val="11"/>
            <color theme="1"/>
            <rFont val="Calibri"/>
            <scheme val="minor"/>
          </rPr>
          <t>Ryan Gille:
EXAMINER REVIEW: multi-party/fractional or party not in owner chain — fraction not in index; needs deed image.</t>
        </r>
      </text>
    </comment>
    <comment ref="AF2" authorId="0" shapeId="0" xr:uid="{00000000-0006-0000-0600-000012000000}">
      <text>
        <r>
          <rPr>
            <sz val="11"/>
            <color theme="1"/>
            <rFont val="Calibri"/>
            <scheme val="minor"/>
          </rPr>
          <t>Ryan Gille:
EXAMINER REVIEW: multi-party/fractional or party not in owner chain — fraction not in index; needs deed image.</t>
        </r>
      </text>
    </comment>
    <comment ref="AL2" authorId="0" shapeId="0" xr:uid="{00000000-0006-0000-0600-000013000000}">
      <text>
        <r>
          <rPr>
            <sz val="11"/>
            <color theme="1"/>
            <rFont val="Calibri"/>
            <scheme val="minor"/>
          </rPr>
          <t>Ryan Gille:
EXAMINER REVIEW: multi-party/fractional or party not in owner chain — fraction not in index; needs deed image.</t>
        </r>
      </text>
    </comment>
    <comment ref="AM2" authorId="0" shapeId="0" xr:uid="{00000000-0006-0000-0600-000014000000}">
      <text>
        <r>
          <rPr>
            <sz val="11"/>
            <color theme="1"/>
            <rFont val="Calibri"/>
            <scheme val="minor"/>
          </rPr>
          <t>Ryan Gille:
EXAMINER REVIEW: multi-party/fractional or party not in owner chain — fraction not in index; needs deed image.</t>
        </r>
      </text>
    </comment>
    <comment ref="AQ2" authorId="0" shapeId="0" xr:uid="{00000000-0006-0000-0600-000015000000}">
      <text>
        <r>
          <rPr>
            <sz val="11"/>
            <color theme="1"/>
            <rFont val="Calibri"/>
            <scheme val="minor"/>
          </rPr>
          <t>Ryan Gille:
EXAMINER REVIEW: multi-party/fractional or party not in owner chain — fraction not in index; needs deed image.</t>
        </r>
      </text>
    </comment>
    <comment ref="AR2" authorId="0" shapeId="0" xr:uid="{00000000-0006-0000-0600-000016000000}">
      <text>
        <r>
          <rPr>
            <sz val="11"/>
            <color theme="1"/>
            <rFont val="Calibri"/>
            <scheme val="minor"/>
          </rPr>
          <t>Ryan Gille:
EXAMINER REVIEW: multi-party/fractional or party not in owner chain — fraction not in index; needs deed image.</t>
        </r>
      </text>
    </comment>
    <comment ref="AS2" authorId="0" shapeId="0" xr:uid="{00000000-0006-0000-0600-000017000000}">
      <text>
        <r>
          <rPr>
            <sz val="11"/>
            <color theme="1"/>
            <rFont val="Calibri"/>
            <scheme val="minor"/>
          </rPr>
          <t>Ryan Gille:
EXAMINER REVIEW: multi-party/fractional or party not in owner chain — fraction not in index; needs deed image.</t>
        </r>
      </text>
    </comment>
    <comment ref="AU2" authorId="0" shapeId="0" xr:uid="{00000000-0006-0000-0600-000018000000}">
      <text>
        <r>
          <rPr>
            <sz val="11"/>
            <color theme="1"/>
            <rFont val="Calibri"/>
            <scheme val="minor"/>
          </rPr>
          <t>Ryan Gille:
EXAMINER REVIEW: multi-party/fractional or party not in owner chain — fraction not in index; needs deed image.</t>
        </r>
      </text>
    </comment>
    <comment ref="AV2" authorId="0" shapeId="0" xr:uid="{00000000-0006-0000-0600-000019000000}">
      <text>
        <r>
          <rPr>
            <sz val="11"/>
            <color theme="1"/>
            <rFont val="Calibri"/>
            <scheme val="minor"/>
          </rPr>
          <t>Ryan Gille:
EXAMINER REVIEW: multi-party/fractional or party not in owner chain — fraction not in index; needs deed image.</t>
        </r>
      </text>
    </comment>
    <comment ref="AW2" authorId="0" shapeId="0" xr:uid="{00000000-0006-0000-0600-00001A000000}">
      <text>
        <r>
          <rPr>
            <sz val="11"/>
            <color theme="1"/>
            <rFont val="Calibri"/>
            <scheme val="minor"/>
          </rPr>
          <t>Ryan Gille:
EXAMINER REVIEW: multi-party/fractional or party not in owner chain — fraction not in index; needs deed image.</t>
        </r>
      </text>
    </comment>
    <comment ref="AX2" authorId="0" shapeId="0" xr:uid="{00000000-0006-0000-0600-00001B000000}">
      <text>
        <r>
          <rPr>
            <sz val="11"/>
            <color theme="1"/>
            <rFont val="Calibri"/>
            <scheme val="minor"/>
          </rPr>
          <t>Ryan Gille:
EXAMINER REVIEW: multi-party/fractional or party not in owner chain — fraction not in index; needs deed image.</t>
        </r>
      </text>
    </comment>
    <comment ref="AY2" authorId="0" shapeId="0" xr:uid="{00000000-0006-0000-0600-00001C000000}">
      <text>
        <r>
          <rPr>
            <sz val="11"/>
            <color theme="1"/>
            <rFont val="Calibri"/>
            <scheme val="minor"/>
          </rPr>
          <t>Ryan Gille:
EXAMINER REVIEW: multi-party/fractional or party not in owner chain — fraction not in index; needs deed image.</t>
        </r>
      </text>
    </comment>
    <comment ref="AZ2" authorId="0" shapeId="0" xr:uid="{00000000-0006-0000-0600-00001D000000}">
      <text>
        <r>
          <rPr>
            <sz val="11"/>
            <color theme="1"/>
            <rFont val="Calibri"/>
            <scheme val="minor"/>
          </rPr>
          <t>Ryan Gille:
EXAMINER REVIEW: multi-party/fractional or party not in owner chain — fraction not in index; needs deed image.</t>
        </r>
      </text>
    </comment>
    <comment ref="BB2" authorId="0" shapeId="0" xr:uid="{00000000-0006-0000-0600-00001E000000}">
      <text>
        <r>
          <rPr>
            <sz val="11"/>
            <color theme="1"/>
            <rFont val="Calibri"/>
            <scheme val="minor"/>
          </rPr>
          <t>Ryan Gille:
EXAMINER REVIEW: multi-party/fractional or party not in owner chain — fraction not in index; needs deed image.</t>
        </r>
      </text>
    </comment>
    <comment ref="BC2" authorId="0" shapeId="0" xr:uid="{00000000-0006-0000-0600-00001F000000}">
      <text>
        <r>
          <rPr>
            <sz val="11"/>
            <color theme="1"/>
            <rFont val="Calibri"/>
            <scheme val="minor"/>
          </rPr>
          <t>Ryan Gille:
EXAMINER REVIEW: multi-party/fractional or party not in owner chain — fraction not in index; needs deed image.</t>
        </r>
      </text>
    </comment>
    <comment ref="BD2" authorId="0" shapeId="0" xr:uid="{00000000-0006-0000-0600-000020000000}">
      <text>
        <r>
          <rPr>
            <sz val="11"/>
            <color theme="1"/>
            <rFont val="Calibri"/>
            <scheme val="minor"/>
          </rPr>
          <t>Ryan Gille:
EXAMINER REVIEW: multi-party/fractional or party not in owner chain — fraction not in index; needs deed image.</t>
        </r>
      </text>
    </comment>
    <comment ref="BE2" authorId="0" shapeId="0" xr:uid="{00000000-0006-0000-0600-000021000000}">
      <text>
        <r>
          <rPr>
            <sz val="11"/>
            <color theme="1"/>
            <rFont val="Calibri"/>
            <scheme val="minor"/>
          </rPr>
          <t>Ryan Gille:
EXAMINER REVIEW: multi-party/fractional or party not in owner chain — fraction not in index; needs deed image.</t>
        </r>
      </text>
    </comment>
    <comment ref="BF2" authorId="0" shapeId="0" xr:uid="{00000000-0006-0000-0600-000022000000}">
      <text>
        <r>
          <rPr>
            <sz val="11"/>
            <color theme="1"/>
            <rFont val="Calibri"/>
            <scheme val="minor"/>
          </rPr>
          <t>Ryan Gille:
EXAMINER REVIEW: blank instrument # (Bk/Pg 2376/100, Wilkerson) — multi/verify; needs deed image.</t>
        </r>
      </text>
    </comment>
    <comment ref="BG2" authorId="0" shapeId="0" xr:uid="{00000000-0006-0000-0600-000023000000}">
      <text>
        <r>
          <rPr>
            <sz val="11"/>
            <color theme="1"/>
            <rFont val="Calibri"/>
            <scheme val="minor"/>
          </rPr>
          <t>Ryan Gille:
EXAMINER REVIEW: multi-party/fractional or party not in owner chain — fraction not in index; needs deed image.</t>
        </r>
      </text>
    </comment>
    <comment ref="BH2" authorId="0" shapeId="0" xr:uid="{00000000-0006-0000-0600-000024000000}">
      <text>
        <r>
          <rPr>
            <sz val="11"/>
            <color theme="1"/>
            <rFont val="Calibri"/>
            <scheme val="minor"/>
          </rPr>
          <t>Ryan Gille:
EXAMINER REVIEW: multi-party/fractional or party not in owner chain — fraction not in index; needs deed image.</t>
        </r>
      </text>
    </comment>
    <comment ref="BI2" authorId="0" shapeId="0" xr:uid="{00000000-0006-0000-0600-000025000000}">
      <text>
        <r>
          <rPr>
            <sz val="11"/>
            <color theme="1"/>
            <rFont val="Calibri"/>
            <scheme val="minor"/>
          </rPr>
          <t>Ryan Gille:
EXAMINER REVIEW: multi-party/fractional or party not in owner chain — fraction not in index; needs deed image.</t>
        </r>
      </text>
    </comment>
    <comment ref="BJ2" authorId="0" shapeId="0" xr:uid="{00000000-0006-0000-0600-000026000000}">
      <text>
        <r>
          <rPr>
            <sz val="11"/>
            <color theme="1"/>
            <rFont val="Calibri"/>
            <scheme val="minor"/>
          </rPr>
          <t>Ryan Gille:
EXAMINER REVIEW: multi-party/fractional or party not in owner chain — fraction not in index; needs deed image.</t>
        </r>
      </text>
    </comment>
    <comment ref="BK2" authorId="0" shapeId="0" xr:uid="{00000000-0006-0000-0600-000027000000}">
      <text>
        <r>
          <rPr>
            <sz val="11"/>
            <color theme="1"/>
            <rFont val="Calibri"/>
            <scheme val="minor"/>
          </rPr>
          <t>Ryan Gille:
EXAMINER REVIEW: multi-party/fractional or party not in owner chain — fraction not in index; needs deed image.</t>
        </r>
      </text>
    </comment>
    <comment ref="BL2" authorId="0" shapeId="0" xr:uid="{00000000-0006-0000-0600-000028000000}">
      <text>
        <r>
          <rPr>
            <sz val="11"/>
            <color theme="1"/>
            <rFont val="Calibri"/>
            <scheme val="minor"/>
          </rPr>
          <t>Ryan Gille:
EXAMINER REVIEW: multi-party/fractional or party not in owner chain — fraction not in index; needs deed image.</t>
        </r>
      </text>
    </comment>
    <comment ref="BM2" authorId="0" shapeId="0" xr:uid="{00000000-0006-0000-0600-000029000000}">
      <text>
        <r>
          <rPr>
            <sz val="11"/>
            <color theme="1"/>
            <rFont val="Calibri"/>
            <scheme val="minor"/>
          </rPr>
          <t>Ryan Gille:
EXAMINER REVIEW: multi-party/fractional or party not in owner chain — fraction not in index; needs deed image.</t>
        </r>
      </text>
    </comment>
    <comment ref="BN2" authorId="0" shapeId="0" xr:uid="{00000000-0006-0000-0600-00002A000000}">
      <text>
        <r>
          <rPr>
            <sz val="11"/>
            <color theme="1"/>
            <rFont val="Calibri"/>
            <scheme val="minor"/>
          </rPr>
          <t>Ryan Gille:
EXAMINER REVIEW: multi-party/fractional or party not in owner chain — fraction not in index; needs deed image.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700-000001000000}">
      <text>
        <r>
          <rPr>
            <sz val="11"/>
            <color theme="1"/>
            <rFont val="Calibri"/>
            <scheme val="minor"/>
          </rPr>
          <t>Ryan Gille:
EXAMINER REVIEW: multi-party/fractional or party not in owner chain — fraction not in index; needs deed image.</t>
        </r>
      </text>
    </comment>
    <comment ref="Q2" authorId="0" shapeId="0" xr:uid="{00000000-0006-0000-0700-000002000000}">
      <text>
        <r>
          <rPr>
            <sz val="11"/>
            <color theme="1"/>
            <rFont val="Calibri"/>
            <scheme val="minor"/>
          </rPr>
          <t>Ryan Gille:
EXAMINER REVIEW: multi-party/fractional — needs deed image.</t>
        </r>
      </text>
    </comment>
    <comment ref="V2" authorId="0" shapeId="0" xr:uid="{00000000-0006-0000-0700-000003000000}">
      <text>
        <r>
          <rPr>
            <sz val="11"/>
            <color theme="1"/>
            <rFont val="Calibri"/>
            <scheme val="minor"/>
          </rPr>
          <t>Ryan Gille:
EXAMINER REVIEW: multi-party/fractional — needs deed image.</t>
        </r>
      </text>
    </comment>
    <comment ref="X2" authorId="0" shapeId="0" xr:uid="{00000000-0006-0000-0700-000004000000}">
      <text>
        <r>
          <rPr>
            <sz val="11"/>
            <color theme="1"/>
            <rFont val="Calibri"/>
            <scheme val="minor"/>
          </rPr>
          <t>Ryan Gille:
EXAMINER REVIEW: multi-party/fractional — needs deed image.</t>
        </r>
      </text>
    </comment>
    <comment ref="Y2" authorId="0" shapeId="0" xr:uid="{00000000-0006-0000-0700-000005000000}">
      <text>
        <r>
          <rPr>
            <sz val="11"/>
            <color theme="1"/>
            <rFont val="Calibri"/>
            <scheme val="minor"/>
          </rPr>
          <t>Ryan Gille:
EXAMINER REVIEW: multi-party/fractional — needs deed image.</t>
        </r>
      </text>
    </comment>
    <comment ref="Z2" authorId="0" shapeId="0" xr:uid="{00000000-0006-0000-0700-000006000000}">
      <text>
        <r>
          <rPr>
            <sz val="11"/>
            <color theme="1"/>
            <rFont val="Calibri"/>
            <scheme val="minor"/>
          </rPr>
          <t>Ryan Gille:
EXAMINER REVIEW: multi-party/fractional — needs deed image.</t>
        </r>
      </text>
    </comment>
    <comment ref="AA2" authorId="0" shapeId="0" xr:uid="{00000000-0006-0000-0700-000007000000}">
      <text>
        <r>
          <rPr>
            <sz val="11"/>
            <color theme="1"/>
            <rFont val="Calibri"/>
            <scheme val="minor"/>
          </rPr>
          <t>Ryan Gille:
EXAMINER REVIEW: multi-party/fractional — needs deed image.</t>
        </r>
      </text>
    </comment>
    <comment ref="AB2" authorId="0" shapeId="0" xr:uid="{00000000-0006-0000-0700-000008000000}">
      <text>
        <r>
          <rPr>
            <sz val="11"/>
            <color theme="1"/>
            <rFont val="Calibri"/>
            <scheme val="minor"/>
          </rPr>
          <t>Ryan Gille:
EXAMINER REVIEW: multi-party/fractional — needs deed image.</t>
        </r>
      </text>
    </comment>
    <comment ref="AD2" authorId="0" shapeId="0" xr:uid="{00000000-0006-0000-0700-000009000000}">
      <text>
        <r>
          <rPr>
            <sz val="11"/>
            <color theme="1"/>
            <rFont val="Calibri"/>
            <scheme val="minor"/>
          </rPr>
          <t>Ryan Gille:
EXAMINER REVIEW: multi-party/fractional — needs deed image.</t>
        </r>
      </text>
    </comment>
    <comment ref="AE2" authorId="0" shapeId="0" xr:uid="{00000000-0006-0000-0700-00000A000000}">
      <text>
        <r>
          <rPr>
            <sz val="11"/>
            <color theme="1"/>
            <rFont val="Calibri"/>
            <scheme val="minor"/>
          </rPr>
          <t>Ryan Gille:
EXAMINER REVIEW: multi-party/fractional — needs deed image.</t>
        </r>
      </text>
    </comment>
    <comment ref="AF2" authorId="0" shapeId="0" xr:uid="{00000000-0006-0000-0700-00000B000000}">
      <text>
        <r>
          <rPr>
            <sz val="11"/>
            <color theme="1"/>
            <rFont val="Calibri"/>
            <scheme val="minor"/>
          </rPr>
          <t>Ryan Gille:
EXAMINER REVIEW: multi-party/fractional — needs deed image.</t>
        </r>
      </text>
    </comment>
    <comment ref="AG2" authorId="0" shapeId="0" xr:uid="{00000000-0006-0000-0700-00000C000000}">
      <text>
        <r>
          <rPr>
            <sz val="11"/>
            <color theme="1"/>
            <rFont val="Calibri"/>
            <scheme val="minor"/>
          </rPr>
          <t>Ryan Gille:
EXAMINER REVIEW: multi-party/fractional — needs deed image.</t>
        </r>
      </text>
    </comment>
    <comment ref="AI2" authorId="0" shapeId="0" xr:uid="{00000000-0006-0000-0700-00000D000000}">
      <text>
        <r>
          <rPr>
            <sz val="11"/>
            <color theme="1"/>
            <rFont val="Calibri"/>
            <scheme val="minor"/>
          </rPr>
          <t>Ryan Gille:
EXAMINER REVIEW: multi-party/fractional — needs deed image.</t>
        </r>
      </text>
    </comment>
    <comment ref="AJ2" authorId="0" shapeId="0" xr:uid="{00000000-0006-0000-0700-00000E000000}">
      <text>
        <r>
          <rPr>
            <sz val="11"/>
            <color theme="1"/>
            <rFont val="Calibri"/>
            <scheme val="minor"/>
          </rPr>
          <t>Ryan Gille:
EXAMINER REVIEW: multi-party/fractional — needs deed image.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800-000001000000}">
      <text>
        <r>
          <rPr>
            <sz val="11"/>
            <color theme="1"/>
            <rFont val="Calibri"/>
            <scheme val="minor"/>
          </rPr>
          <t>Ryan Gille:
EXAMINER REVIEW: multi-party/fractional conveyance or party not in owner chain — fraction not stated in index; needs deed image.</t>
        </r>
      </text>
    </comment>
    <comment ref="J2" authorId="0" shapeId="0" xr:uid="{00000000-0006-0000-0800-000002000000}">
      <text>
        <r>
          <rPr>
            <sz val="11"/>
            <color theme="1"/>
            <rFont val="Calibri"/>
            <scheme val="minor"/>
          </rPr>
          <t>Ryan Gille:
EXAMINER REVIEW: multi-party/fractional or party not in owner chain — needs deed image.</t>
        </r>
      </text>
    </comment>
    <comment ref="K2" authorId="0" shapeId="0" xr:uid="{00000000-0006-0000-0800-000003000000}">
      <text>
        <r>
          <rPr>
            <sz val="11"/>
            <color theme="1"/>
            <rFont val="Calibri"/>
            <scheme val="minor"/>
          </rPr>
          <t>Ryan Gille:
EXAMINER REVIEW: multi-party/fractional or party not in owner chain — needs deed image.</t>
        </r>
      </text>
    </comment>
    <comment ref="L2" authorId="0" shapeId="0" xr:uid="{00000000-0006-0000-0800-000004000000}">
      <text>
        <r>
          <rPr>
            <sz val="11"/>
            <color theme="1"/>
            <rFont val="Calibri"/>
            <scheme val="minor"/>
          </rPr>
          <t>Ryan Gille:
EXAMINER REVIEW: multi-party/fractional or party not in owner chain — needs deed image.</t>
        </r>
      </text>
    </comment>
    <comment ref="M2" authorId="0" shapeId="0" xr:uid="{00000000-0006-0000-0800-000005000000}">
      <text>
        <r>
          <rPr>
            <sz val="11"/>
            <color theme="1"/>
            <rFont val="Calibri"/>
            <scheme val="minor"/>
          </rPr>
          <t>Ryan Gille:
EXAMINER REVIEW: multi-party/fractional or party not in owner chain — needs deed image.</t>
        </r>
      </text>
    </comment>
    <comment ref="N2" authorId="0" shapeId="0" xr:uid="{00000000-0006-0000-0800-000006000000}">
      <text>
        <r>
          <rPr>
            <sz val="11"/>
            <color theme="1"/>
            <rFont val="Calibri"/>
            <scheme val="minor"/>
          </rPr>
          <t>Ryan Gille:
EXAMINER REVIEW: multi-party/fractional or party not in owner chain — needs deed image.</t>
        </r>
      </text>
    </comment>
    <comment ref="S2" authorId="0" shapeId="0" xr:uid="{00000000-0006-0000-0800-000007000000}">
      <text>
        <r>
          <rPr>
            <sz val="11"/>
            <color theme="1"/>
            <rFont val="Calibri"/>
            <scheme val="minor"/>
          </rPr>
          <t>Ryan Gille:
EXAMINER REVIEW: multi-party/fractional or party not in owner chain — needs deed image.</t>
        </r>
      </text>
    </comment>
    <comment ref="X2" authorId="0" shapeId="0" xr:uid="{00000000-0006-0000-0800-000008000000}">
      <text>
        <r>
          <rPr>
            <sz val="11"/>
            <color theme="1"/>
            <rFont val="Calibri"/>
            <scheme val="minor"/>
          </rPr>
          <t>Ryan Gille:
EXAMINER REVIEW: multi-party/fractional or party not in owner chain — needs deed image.</t>
        </r>
      </text>
    </comment>
    <comment ref="Z2" authorId="0" shapeId="0" xr:uid="{00000000-0006-0000-0800-000009000000}">
      <text>
        <r>
          <rPr>
            <sz val="11"/>
            <color theme="1"/>
            <rFont val="Calibri"/>
            <scheme val="minor"/>
          </rPr>
          <t>Ryan Gille:
EXAMINER REVIEW: multi-party/fractional or party not in owner chain — needs deed image.</t>
        </r>
      </text>
    </comment>
    <comment ref="AA2" authorId="0" shapeId="0" xr:uid="{00000000-0006-0000-0800-00000A000000}">
      <text>
        <r>
          <rPr>
            <sz val="11"/>
            <color theme="1"/>
            <rFont val="Calibri"/>
            <scheme val="minor"/>
          </rPr>
          <t>Ryan Gille:
EXAMINER REVIEW: multi-party/fractional or party not in owner chain — needs deed image.</t>
        </r>
      </text>
    </comment>
    <comment ref="AB2" authorId="0" shapeId="0" xr:uid="{00000000-0006-0000-0800-00000B000000}">
      <text>
        <r>
          <rPr>
            <sz val="11"/>
            <color theme="1"/>
            <rFont val="Calibri"/>
            <scheme val="minor"/>
          </rPr>
          <t>Ryan Gille:
EXAMINER REVIEW: multi-party/fractional or party not in owner chain — needs deed image.</t>
        </r>
      </text>
    </comment>
    <comment ref="AC2" authorId="0" shapeId="0" xr:uid="{00000000-0006-0000-0800-00000C000000}">
      <text>
        <r>
          <rPr>
            <sz val="11"/>
            <color theme="1"/>
            <rFont val="Calibri"/>
            <scheme val="minor"/>
          </rPr>
          <t>Ryan Gille:
EXAMINER REVIEW: multi-party/fractional or party not in owner chain — needs deed image.</t>
        </r>
      </text>
    </comment>
    <comment ref="AD2" authorId="0" shapeId="0" xr:uid="{00000000-0006-0000-0800-00000D000000}">
      <text>
        <r>
          <rPr>
            <sz val="11"/>
            <color theme="1"/>
            <rFont val="Calibri"/>
            <scheme val="minor"/>
          </rPr>
          <t>Ryan Gille:
EXAMINER REVIEW: multi-party/fractional or party not in owner chain — needs deed image.</t>
        </r>
      </text>
    </comment>
    <comment ref="AE2" authorId="0" shapeId="0" xr:uid="{00000000-0006-0000-0800-00000E000000}">
      <text>
        <r>
          <rPr>
            <sz val="11"/>
            <color theme="1"/>
            <rFont val="Calibri"/>
            <scheme val="minor"/>
          </rPr>
          <t>Ryan Gille:
EXAMINER REVIEW: multi-party/fractional or party not in owner chain — needs deed image.</t>
        </r>
      </text>
    </comment>
    <comment ref="AF2" authorId="0" shapeId="0" xr:uid="{00000000-0006-0000-0800-00000F000000}">
      <text>
        <r>
          <rPr>
            <sz val="11"/>
            <color theme="1"/>
            <rFont val="Calibri"/>
            <scheme val="minor"/>
          </rPr>
          <t>Ryan Gille:
EXAMINER REVIEW: multi-party/fractional or party not in owner chain — needs deed image.</t>
        </r>
      </text>
    </comment>
    <comment ref="AG2" authorId="0" shapeId="0" xr:uid="{00000000-0006-0000-0800-000010000000}">
      <text>
        <r>
          <rPr>
            <sz val="11"/>
            <color theme="1"/>
            <rFont val="Calibri"/>
            <scheme val="minor"/>
          </rPr>
          <t>Ryan Gille:
EXAMINER REVIEW: multi-party/fractional or party not in owner chain — needs deed image.</t>
        </r>
      </text>
    </comment>
    <comment ref="AH2" authorId="0" shapeId="0" xr:uid="{00000000-0006-0000-0800-000011000000}">
      <text>
        <r>
          <rPr>
            <sz val="11"/>
            <color theme="1"/>
            <rFont val="Calibri"/>
            <scheme val="minor"/>
          </rPr>
          <t>Ryan Gille:
EXAMINER REVIEW: multi-party/fractional or party not in owner chain — needs deed image.</t>
        </r>
      </text>
    </comment>
    <comment ref="AI2" authorId="0" shapeId="0" xr:uid="{00000000-0006-0000-0800-000012000000}">
      <text>
        <r>
          <rPr>
            <sz val="11"/>
            <color theme="1"/>
            <rFont val="Calibri"/>
            <scheme val="minor"/>
          </rPr>
          <t>Ryan Gille:
EXAMINER REVIEW: multi-party/fractional or party not in owner chain — needs deed image.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900-000001000000}">
      <text>
        <r>
          <rPr>
            <sz val="11"/>
            <color theme="1"/>
            <rFont val="Calibri"/>
            <scheme val="minor"/>
          </rPr>
          <t>Ryan Gille:
EXAMINER REVIEW: multi-party/fractional or party not in owner chain — fraction not in index; needs deed image.</t>
        </r>
      </text>
    </comment>
    <comment ref="J2" authorId="0" shapeId="0" xr:uid="{00000000-0006-0000-0900-000002000000}">
      <text>
        <r>
          <rPr>
            <sz val="11"/>
            <color theme="1"/>
            <rFont val="Calibri"/>
            <scheme val="minor"/>
          </rPr>
          <t>Ryan Gille:
EXAMINER REVIEW: multi-party/fractional or party not in owner chain.</t>
        </r>
      </text>
    </comment>
    <comment ref="K2" authorId="0" shapeId="0" xr:uid="{00000000-0006-0000-0900-000003000000}">
      <text>
        <r>
          <rPr>
            <sz val="11"/>
            <color theme="1"/>
            <rFont val="Calibri"/>
            <scheme val="minor"/>
          </rPr>
          <t>Ryan Gille:
EXAMINER REVIEW: multi-party/fractional or party not in owner chain.</t>
        </r>
      </text>
    </comment>
    <comment ref="L2" authorId="0" shapeId="0" xr:uid="{00000000-0006-0000-0900-000004000000}">
      <text>
        <r>
          <rPr>
            <sz val="11"/>
            <color theme="1"/>
            <rFont val="Calibri"/>
            <scheme val="minor"/>
          </rPr>
          <t>Ryan Gille:
EXAMINER REVIEW: multi-party/fractional or party not in owner chain.</t>
        </r>
      </text>
    </comment>
    <comment ref="M2" authorId="0" shapeId="0" xr:uid="{00000000-0006-0000-0900-000005000000}">
      <text>
        <r>
          <rPr>
            <sz val="11"/>
            <color theme="1"/>
            <rFont val="Calibri"/>
            <scheme val="minor"/>
          </rPr>
          <t>Ryan Gille:
EXAMINER REVIEW: multi-party/fractional or party not in owner chain.</t>
        </r>
      </text>
    </comment>
    <comment ref="N2" authorId="0" shapeId="0" xr:uid="{00000000-0006-0000-0900-000006000000}">
      <text>
        <r>
          <rPr>
            <sz val="11"/>
            <color theme="1"/>
            <rFont val="Calibri"/>
            <scheme val="minor"/>
          </rPr>
          <t>Ryan Gille:
EXAMINER REVIEW: multi-party/fractional or party not in owner chain.</t>
        </r>
      </text>
    </comment>
    <comment ref="P2" authorId="0" shapeId="0" xr:uid="{00000000-0006-0000-0900-000007000000}">
      <text>
        <r>
          <rPr>
            <sz val="11"/>
            <color theme="1"/>
            <rFont val="Calibri"/>
            <scheme val="minor"/>
          </rPr>
          <t>Ryan Gille:
EXAMINER REVIEW: multi-party/fractional or party not in owner chain.</t>
        </r>
      </text>
    </comment>
    <comment ref="Q2" authorId="0" shapeId="0" xr:uid="{00000000-0006-0000-0900-000008000000}">
      <text>
        <r>
          <rPr>
            <sz val="11"/>
            <color theme="1"/>
            <rFont val="Calibri"/>
            <scheme val="minor"/>
          </rPr>
          <t>Ryan Gille:
EXAMINER REVIEW: multi-party/fractional or party not in owner chain.</t>
        </r>
      </text>
    </comment>
    <comment ref="S2" authorId="0" shapeId="0" xr:uid="{00000000-0006-0000-0900-000009000000}">
      <text>
        <r>
          <rPr>
            <sz val="11"/>
            <color theme="1"/>
            <rFont val="Calibri"/>
            <scheme val="minor"/>
          </rPr>
          <t>Ryan Gille:
EXAMINER REVIEW: multi-party/fractional or party not in owner chain.</t>
        </r>
      </text>
    </comment>
    <comment ref="T2" authorId="0" shapeId="0" xr:uid="{00000000-0006-0000-0900-00000A000000}">
      <text>
        <r>
          <rPr>
            <sz val="11"/>
            <color theme="1"/>
            <rFont val="Calibri"/>
            <scheme val="minor"/>
          </rPr>
          <t>Ryan Gille:
EXAMINER REVIEW: multi-party/fractional or party not in owner chain.</t>
        </r>
      </text>
    </comment>
    <comment ref="X2" authorId="0" shapeId="0" xr:uid="{00000000-0006-0000-0900-00000B000000}">
      <text>
        <r>
          <rPr>
            <sz val="11"/>
            <color theme="1"/>
            <rFont val="Calibri"/>
            <scheme val="minor"/>
          </rPr>
          <t>Ryan Gille:
EXAMINER REVIEW: multi-party/fractional or party not in owner chain.</t>
        </r>
      </text>
    </comment>
    <comment ref="AC2" authorId="0" shapeId="0" xr:uid="{00000000-0006-0000-0900-00000C000000}">
      <text>
        <r>
          <rPr>
            <sz val="11"/>
            <color theme="1"/>
            <rFont val="Calibri"/>
            <scheme val="minor"/>
          </rPr>
          <t>Ryan Gille:
EXAMINER REVIEW: multi-party/fractional or party not in owner chain.</t>
        </r>
      </text>
    </comment>
    <comment ref="AD2" authorId="0" shapeId="0" xr:uid="{00000000-0006-0000-0900-00000D000000}">
      <text>
        <r>
          <rPr>
            <sz val="11"/>
            <color theme="1"/>
            <rFont val="Calibri"/>
            <scheme val="minor"/>
          </rPr>
          <t>Ryan Gille:
EXAMINER REVIEW: multi-party/fractional or party not in owner chain.</t>
        </r>
      </text>
    </comment>
    <comment ref="AF2" authorId="0" shapeId="0" xr:uid="{00000000-0006-0000-0900-00000E000000}">
      <text>
        <r>
          <rPr>
            <sz val="11"/>
            <color theme="1"/>
            <rFont val="Calibri"/>
            <scheme val="minor"/>
          </rPr>
          <t>Ryan Gille:
EXAMINER REVIEW: multi-party/fractional or party not in owner chain.</t>
        </r>
      </text>
    </comment>
    <comment ref="AG2" authorId="0" shapeId="0" xr:uid="{00000000-0006-0000-0900-00000F000000}">
      <text>
        <r>
          <rPr>
            <sz val="11"/>
            <color theme="1"/>
            <rFont val="Calibri"/>
            <scheme val="minor"/>
          </rPr>
          <t>Ryan Gille:
EXAMINER REVIEW: multi-party/fractional or party not in owner chain.</t>
        </r>
      </text>
    </comment>
    <comment ref="AH2" authorId="0" shapeId="0" xr:uid="{00000000-0006-0000-0900-000010000000}">
      <text>
        <r>
          <rPr>
            <sz val="11"/>
            <color theme="1"/>
            <rFont val="Calibri"/>
            <scheme val="minor"/>
          </rPr>
          <t>Ryan Gille:
EXAMINER REVIEW: multi-party/fractional or party not in owner chain.</t>
        </r>
      </text>
    </comment>
    <comment ref="AI2" authorId="0" shapeId="0" xr:uid="{00000000-0006-0000-0900-000011000000}">
      <text>
        <r>
          <rPr>
            <sz val="11"/>
            <color theme="1"/>
            <rFont val="Calibri"/>
            <scheme val="minor"/>
          </rPr>
          <t>Ryan Gille:
EXAMINER REVIEW: multi-party/fractional or party not in owner chain.</t>
        </r>
      </text>
    </comment>
    <comment ref="AO2" authorId="0" shapeId="0" xr:uid="{00000000-0006-0000-0900-000012000000}">
      <text>
        <r>
          <rPr>
            <sz val="11"/>
            <color theme="1"/>
            <rFont val="Calibri"/>
            <scheme val="minor"/>
          </rPr>
          <t>Ryan Gille:
EXAMINER REVIEW: multi-party/fractional or party not in owner chain.</t>
        </r>
      </text>
    </comment>
    <comment ref="AQ2" authorId="0" shapeId="0" xr:uid="{00000000-0006-0000-0900-000013000000}">
      <text>
        <r>
          <rPr>
            <sz val="11"/>
            <color theme="1"/>
            <rFont val="Calibri"/>
            <scheme val="minor"/>
          </rPr>
          <t>Ryan Gille:
EXAMINER REVIEW: multi-party/fractional or party not in owner chain.</t>
        </r>
      </text>
    </comment>
    <comment ref="AR2" authorId="0" shapeId="0" xr:uid="{00000000-0006-0000-0900-000014000000}">
      <text>
        <r>
          <rPr>
            <sz val="11"/>
            <color theme="1"/>
            <rFont val="Calibri"/>
            <scheme val="minor"/>
          </rPr>
          <t>Ryan Gille:
EXAMINER REVIEW: multi-party/fractional or party not in owner chain.</t>
        </r>
      </text>
    </comment>
    <comment ref="AS2" authorId="0" shapeId="0" xr:uid="{00000000-0006-0000-0900-000015000000}">
      <text>
        <r>
          <rPr>
            <sz val="11"/>
            <color theme="1"/>
            <rFont val="Calibri"/>
            <scheme val="minor"/>
          </rPr>
          <t>Ryan Gille:
EXAMINER REVIEW: multi-party/fractional or party not in owner chain.</t>
        </r>
      </text>
    </comment>
    <comment ref="AT2" authorId="0" shapeId="0" xr:uid="{00000000-0006-0000-0900-000016000000}">
      <text>
        <r>
          <rPr>
            <sz val="11"/>
            <color theme="1"/>
            <rFont val="Calibri"/>
            <scheme val="minor"/>
          </rPr>
          <t>Ryan Gille:
EXAMINER REVIEW: multi-party/fractional or party not in owner chain.</t>
        </r>
      </text>
    </comment>
    <comment ref="AU2" authorId="0" shapeId="0" xr:uid="{00000000-0006-0000-0900-000017000000}">
      <text>
        <r>
          <rPr>
            <sz val="11"/>
            <color theme="1"/>
            <rFont val="Calibri"/>
            <scheme val="minor"/>
          </rPr>
          <t>Ryan Gille:
EXAMINER REVIEW: multi-party/fractional or party not in owner chain.</t>
        </r>
      </text>
    </comment>
    <comment ref="AV2" authorId="0" shapeId="0" xr:uid="{00000000-0006-0000-0900-000018000000}">
      <text>
        <r>
          <rPr>
            <sz val="11"/>
            <color theme="1"/>
            <rFont val="Calibri"/>
            <scheme val="minor"/>
          </rPr>
          <t>Ryan Gille:
EXAMINER REVIEW: multi-party/fractional or party not in owner chain.</t>
        </r>
      </text>
    </comment>
    <comment ref="AW2" authorId="0" shapeId="0" xr:uid="{00000000-0006-0000-0900-000019000000}">
      <text>
        <r>
          <rPr>
            <sz val="11"/>
            <color theme="1"/>
            <rFont val="Calibri"/>
            <scheme val="minor"/>
          </rPr>
          <t>Ryan Gille:
EXAMINER REVIEW: multi-party/fractional or party not in owner chain.</t>
        </r>
      </text>
    </comment>
    <comment ref="AX2" authorId="0" shapeId="0" xr:uid="{00000000-0006-0000-0900-00001A000000}">
      <text>
        <r>
          <rPr>
            <sz val="11"/>
            <color theme="1"/>
            <rFont val="Calibri"/>
            <scheme val="minor"/>
          </rPr>
          <t>Ryan Gille:
EXAMINER REVIEW: multi-party/fractional or party not in owner chain.</t>
        </r>
      </text>
    </comment>
    <comment ref="B5" authorId="0" shapeId="0" xr:uid="{00000000-0006-0000-0900-00001B000000}">
      <text>
        <r>
          <rPr>
            <sz val="11"/>
            <color theme="1"/>
            <rFont val="Calibri"/>
            <scheme val="minor"/>
          </rPr>
          <t>Ryan Gille:
Tract 5 acreage UNDETERMINED (partial NW/4 + lots). Net acres cannot foot until acreage is set from the plat/survey.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A00-000001000000}">
      <text>
        <r>
          <rPr>
            <sz val="11"/>
            <color theme="1"/>
            <rFont val="Calibri"/>
            <scheme val="minor"/>
          </rPr>
          <t>Ryan Gille:
EXAMINER REVIEW: pre-electronic deed (old book/page) not in okcountyrecords index — grantor/grantee unconfirmed. NOTE: the Title summary lists Tract 6 as sole owner Ronald Paul Dold, which conflicts with this Kennett→Lancaster→Repass→Bain→Fuchs chain. Reconcile from document images.</t>
        </r>
      </text>
    </comment>
    <comment ref="I2" authorId="0" shapeId="0" xr:uid="{00000000-0006-0000-0A00-000002000000}">
      <text>
        <r>
          <rPr>
            <sz val="11"/>
            <color theme="1"/>
            <rFont val="Calibri"/>
            <scheme val="minor"/>
          </rPr>
          <t>Ryan Gille:
EXAMINER REVIEW: pre-electronic deed; not in index. Needs document review.</t>
        </r>
      </text>
    </comment>
    <comment ref="J2" authorId="0" shapeId="0" xr:uid="{00000000-0006-0000-0A00-000003000000}">
      <text>
        <r>
          <rPr>
            <sz val="11"/>
            <color theme="1"/>
            <rFont val="Calibri"/>
            <scheme val="minor"/>
          </rPr>
          <t>Ryan Gille:
EXAMINER REVIEW: pre-electronic deed; not in index. Needs document review.</t>
        </r>
      </text>
    </comment>
    <comment ref="K2" authorId="0" shapeId="0" xr:uid="{00000000-0006-0000-0A00-000004000000}">
      <text>
        <r>
          <rPr>
            <sz val="11"/>
            <color theme="1"/>
            <rFont val="Calibri"/>
            <scheme val="minor"/>
          </rPr>
          <t>Ryan Gille:
EXAMINER REVIEW: pre-electronic deed; not in index. Needs document review.</t>
        </r>
      </text>
    </comment>
    <comment ref="L2" authorId="0" shapeId="0" xr:uid="{00000000-0006-0000-0A00-000005000000}">
      <text>
        <r>
          <rPr>
            <sz val="11"/>
            <color theme="1"/>
            <rFont val="Calibri"/>
            <scheme val="minor"/>
          </rPr>
          <t>Ryan Gille:
EXAMINER REVIEW: pre-electronic deed; not in index. Needs document review.</t>
        </r>
      </text>
    </comment>
    <comment ref="M2" authorId="0" shapeId="0" xr:uid="{00000000-0006-0000-0A00-000006000000}">
      <text>
        <r>
          <rPr>
            <sz val="11"/>
            <color theme="1"/>
            <rFont val="Calibri"/>
            <scheme val="minor"/>
          </rPr>
          <t>Ryan Gille:
EXAMINER REVIEW: pre-electronic deed; not in index. Needs document review.</t>
        </r>
      </text>
    </comment>
    <comment ref="N2" authorId="0" shapeId="0" xr:uid="{00000000-0006-0000-0A00-000007000000}">
      <text>
        <r>
          <rPr>
            <sz val="11"/>
            <color theme="1"/>
            <rFont val="Calibri"/>
            <scheme val="minor"/>
          </rPr>
          <t>Ryan Gille:
EXAMINER REVIEW: pre-electronic deed; not in index. Needs document review.</t>
        </r>
      </text>
    </comment>
    <comment ref="O2" authorId="0" shapeId="0" xr:uid="{00000000-0006-0000-0A00-000008000000}">
      <text>
        <r>
          <rPr>
            <sz val="11"/>
            <color theme="1"/>
            <rFont val="Calibri"/>
            <scheme val="minor"/>
          </rPr>
          <t>Ryan Gille:
EXAMINER REVIEW: verify conveyance against document image.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B00-000001000000}">
      <text>
        <r>
          <rPr>
            <sz val="11"/>
            <color theme="1"/>
            <rFont val="Calibri"/>
            <scheme val="minor"/>
          </rPr>
          <t>Ryan Gille:
EXAMINER REVIEW: multi-party/fractional or party not in owner chain — fraction not in index; needs deed image.</t>
        </r>
      </text>
    </comment>
    <comment ref="Q2" authorId="0" shapeId="0" xr:uid="{00000000-0006-0000-0B00-000002000000}">
      <text>
        <r>
          <rPr>
            <sz val="11"/>
            <color theme="1"/>
            <rFont val="Calibri"/>
            <scheme val="minor"/>
          </rPr>
          <t>Ryan Gille:
EXAMINER REVIEW: multi-party/fractional or party not in owner chain.</t>
        </r>
      </text>
    </comment>
    <comment ref="U2" authorId="0" shapeId="0" xr:uid="{00000000-0006-0000-0B00-000003000000}">
      <text>
        <r>
          <rPr>
            <sz val="11"/>
            <color theme="1"/>
            <rFont val="Calibri"/>
            <scheme val="minor"/>
          </rPr>
          <t>Ryan Gille:
EXAMINER REVIEW: multi-party/fractional or party not in owner chain.</t>
        </r>
      </text>
    </comment>
    <comment ref="W2" authorId="0" shapeId="0" xr:uid="{00000000-0006-0000-0B00-000004000000}">
      <text>
        <r>
          <rPr>
            <sz val="11"/>
            <color theme="1"/>
            <rFont val="Calibri"/>
            <scheme val="minor"/>
          </rPr>
          <t>Ryan Gille:
EXAMINER REVIEW: multi-party/fractional or party not in owner chain.</t>
        </r>
      </text>
    </comment>
    <comment ref="X2" authorId="0" shapeId="0" xr:uid="{00000000-0006-0000-0B00-000005000000}">
      <text>
        <r>
          <rPr>
            <sz val="11"/>
            <color theme="1"/>
            <rFont val="Calibri"/>
            <scheme val="minor"/>
          </rPr>
          <t>Ryan Gille:
EXAMINER REVIEW: multi-party/fractional or party not in owner chain.</t>
        </r>
      </text>
    </comment>
    <comment ref="Y2" authorId="0" shapeId="0" xr:uid="{00000000-0006-0000-0B00-000006000000}">
      <text>
        <r>
          <rPr>
            <sz val="11"/>
            <color theme="1"/>
            <rFont val="Calibri"/>
            <scheme val="minor"/>
          </rPr>
          <t>Ryan Gille:
EXAMINER REVIEW: multi-party/fractional or party not in owner chain.</t>
        </r>
      </text>
    </comment>
    <comment ref="Z2" authorId="0" shapeId="0" xr:uid="{00000000-0006-0000-0B00-000007000000}">
      <text>
        <r>
          <rPr>
            <sz val="11"/>
            <color theme="1"/>
            <rFont val="Calibri"/>
            <scheme val="minor"/>
          </rPr>
          <t>Ryan Gille:
EXAMINER REVIEW: multi-party/fractional or party not in owner chain.</t>
        </r>
      </text>
    </comment>
    <comment ref="AA2" authorId="0" shapeId="0" xr:uid="{00000000-0006-0000-0B00-000008000000}">
      <text>
        <r>
          <rPr>
            <sz val="11"/>
            <color theme="1"/>
            <rFont val="Calibri"/>
            <scheme val="minor"/>
          </rPr>
          <t>Ryan Gille:
EXAMINER REVIEW: multi-party/fractional or party not in owner chain.</t>
        </r>
      </text>
    </comment>
    <comment ref="AB2" authorId="0" shapeId="0" xr:uid="{00000000-0006-0000-0B00-000009000000}">
      <text>
        <r>
          <rPr>
            <sz val="11"/>
            <color theme="1"/>
            <rFont val="Calibri"/>
            <scheme val="minor"/>
          </rPr>
          <t>Ryan Gille:
EXAMINER REVIEW: multi-party/fractional or party not in owner chain.</t>
        </r>
      </text>
    </comment>
    <comment ref="AC2" authorId="0" shapeId="0" xr:uid="{00000000-0006-0000-0B00-00000A000000}">
      <text>
        <r>
          <rPr>
            <sz val="11"/>
            <color theme="1"/>
            <rFont val="Calibri"/>
            <scheme val="minor"/>
          </rPr>
          <t>Ryan Gille:
EXAMINER REVIEW: multi-party/fractional or party not in owner chain.</t>
        </r>
      </text>
    </comment>
    <comment ref="AD2" authorId="0" shapeId="0" xr:uid="{00000000-0006-0000-0B00-00000B000000}">
      <text>
        <r>
          <rPr>
            <sz val="11"/>
            <color theme="1"/>
            <rFont val="Calibri"/>
            <scheme val="minor"/>
          </rPr>
          <t>Ryan Gille:
EXAMINER REVIEW: multi-party/fractional or party not in owner chain.</t>
        </r>
      </text>
    </comment>
    <comment ref="AE2" authorId="0" shapeId="0" xr:uid="{00000000-0006-0000-0B00-00000C000000}">
      <text>
        <r>
          <rPr>
            <sz val="11"/>
            <color theme="1"/>
            <rFont val="Calibri"/>
            <scheme val="minor"/>
          </rPr>
          <t>Ryan Gille:
EXAMINER REVIEW: multi-party/fractional or party not in owner chain.</t>
        </r>
      </text>
    </comment>
    <comment ref="AF2" authorId="0" shapeId="0" xr:uid="{00000000-0006-0000-0B00-00000D000000}">
      <text>
        <r>
          <rPr>
            <sz val="11"/>
            <color theme="1"/>
            <rFont val="Calibri"/>
            <scheme val="minor"/>
          </rPr>
          <t>Ryan Gille:
EXAMINER REVIEW: multi-party/fractional or party not in owner chain.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C00-000001000000}">
      <text>
        <r>
          <rPr>
            <sz val="11"/>
            <color theme="1"/>
            <rFont val="Calibri"/>
            <scheme val="minor"/>
          </rPr>
          <t>Ryan Gille:
Homestead/Patent — no instrument # of record; verify originating patent.</t>
        </r>
      </text>
    </comment>
    <comment ref="I2" authorId="0" shapeId="0" xr:uid="{00000000-0006-0000-0C00-000002000000}">
      <text>
        <r>
          <rPr>
            <sz val="11"/>
            <color theme="1"/>
            <rFont val="Calibri"/>
            <scheme val="minor"/>
          </rPr>
          <t>Ryan Gille:
EXAMINER REVIEW: multi-party/fractional or party not in owner chain — fraction not in index; needs deed image.</t>
        </r>
      </text>
    </comment>
    <comment ref="L2" authorId="0" shapeId="0" xr:uid="{00000000-0006-0000-0C00-000003000000}">
      <text>
        <r>
          <rPr>
            <sz val="11"/>
            <color theme="1"/>
            <rFont val="Calibri"/>
            <scheme val="minor"/>
          </rPr>
          <t>Ryan Gille:
EXAMINER REVIEW: multi-party/fractional or party not in owner chain.</t>
        </r>
      </text>
    </comment>
    <comment ref="M2" authorId="0" shapeId="0" xr:uid="{00000000-0006-0000-0C00-000004000000}">
      <text>
        <r>
          <rPr>
            <sz val="11"/>
            <color theme="1"/>
            <rFont val="Calibri"/>
            <scheme val="minor"/>
          </rPr>
          <t>Ryan Gille:
EXAMINER REVIEW.</t>
        </r>
      </text>
    </comment>
    <comment ref="Q2" authorId="0" shapeId="0" xr:uid="{00000000-0006-0000-0C00-000005000000}">
      <text>
        <r>
          <rPr>
            <sz val="11"/>
            <color theme="1"/>
            <rFont val="Calibri"/>
            <scheme val="minor"/>
          </rPr>
          <t>Ryan Gille:
EXAMINER REVIEW.</t>
        </r>
      </text>
    </comment>
    <comment ref="R2" authorId="0" shapeId="0" xr:uid="{00000000-0006-0000-0C00-000006000000}">
      <text>
        <r>
          <rPr>
            <sz val="11"/>
            <color theme="1"/>
            <rFont val="Calibri"/>
            <scheme val="minor"/>
          </rPr>
          <t>Ryan Gille:
EXAMINER REVIEW.</t>
        </r>
      </text>
    </comment>
    <comment ref="S2" authorId="0" shapeId="0" xr:uid="{00000000-0006-0000-0C00-000007000000}">
      <text>
        <r>
          <rPr>
            <sz val="11"/>
            <color theme="1"/>
            <rFont val="Calibri"/>
            <scheme val="minor"/>
          </rPr>
          <t>Ryan Gille:
EXAMINER REVIEW.</t>
        </r>
      </text>
    </comment>
    <comment ref="T2" authorId="0" shapeId="0" xr:uid="{00000000-0006-0000-0C00-000008000000}">
      <text>
        <r>
          <rPr>
            <sz val="11"/>
            <color theme="1"/>
            <rFont val="Calibri"/>
            <scheme val="minor"/>
          </rPr>
          <t>Ryan Gille:
EXAMINER REVIEW.</t>
        </r>
      </text>
    </comment>
    <comment ref="U2" authorId="0" shapeId="0" xr:uid="{00000000-0006-0000-0C00-000009000000}">
      <text>
        <r>
          <rPr>
            <sz val="11"/>
            <color theme="1"/>
            <rFont val="Calibri"/>
            <scheme val="minor"/>
          </rPr>
          <t>Ryan Gille:
EXAMINER REVIEW.</t>
        </r>
      </text>
    </comment>
    <comment ref="V2" authorId="0" shapeId="0" xr:uid="{00000000-0006-0000-0C00-00000A000000}">
      <text>
        <r>
          <rPr>
            <sz val="11"/>
            <color theme="1"/>
            <rFont val="Calibri"/>
            <scheme val="minor"/>
          </rPr>
          <t>Ryan Gille:
EXAMINER REVIEW.</t>
        </r>
      </text>
    </comment>
    <comment ref="X2" authorId="0" shapeId="0" xr:uid="{00000000-0006-0000-0C00-00000B000000}">
      <text>
        <r>
          <rPr>
            <sz val="11"/>
            <color theme="1"/>
            <rFont val="Calibri"/>
            <scheme val="minor"/>
          </rPr>
          <t>Ryan Gille:
EXAMINER REVIEW.</t>
        </r>
      </text>
    </comment>
    <comment ref="Y2" authorId="0" shapeId="0" xr:uid="{00000000-0006-0000-0C00-00000C000000}">
      <text>
        <r>
          <rPr>
            <sz val="11"/>
            <color theme="1"/>
            <rFont val="Calibri"/>
            <scheme val="minor"/>
          </rPr>
          <t>Ryan Gille:
EXAMINER REVIEW.</t>
        </r>
      </text>
    </comment>
    <comment ref="Z2" authorId="0" shapeId="0" xr:uid="{00000000-0006-0000-0C00-00000D000000}">
      <text>
        <r>
          <rPr>
            <sz val="11"/>
            <color theme="1"/>
            <rFont val="Calibri"/>
            <scheme val="minor"/>
          </rPr>
          <t>Ryan Gille:
EXAMINER REVIEW.</t>
        </r>
      </text>
    </comment>
    <comment ref="AA2" authorId="0" shapeId="0" xr:uid="{00000000-0006-0000-0C00-00000E000000}">
      <text>
        <r>
          <rPr>
            <sz val="11"/>
            <color theme="1"/>
            <rFont val="Calibri"/>
            <scheme val="minor"/>
          </rPr>
          <t>Ryan Gille:
EXAMINER REVIEW.</t>
        </r>
      </text>
    </comment>
    <comment ref="AB2" authorId="0" shapeId="0" xr:uid="{00000000-0006-0000-0C00-00000F000000}">
      <text>
        <r>
          <rPr>
            <sz val="11"/>
            <color theme="1"/>
            <rFont val="Calibri"/>
            <scheme val="minor"/>
          </rPr>
          <t>Ryan Gille:
EXAMINER REVIEW.</t>
        </r>
      </text>
    </comment>
    <comment ref="AD2" authorId="0" shapeId="0" xr:uid="{00000000-0006-0000-0C00-000010000000}">
      <text>
        <r>
          <rPr>
            <sz val="11"/>
            <color theme="1"/>
            <rFont val="Calibri"/>
            <scheme val="minor"/>
          </rPr>
          <t>Ryan Gille:
EXAMINER REVIEW.</t>
        </r>
      </text>
    </comment>
    <comment ref="AE2" authorId="0" shapeId="0" xr:uid="{00000000-0006-0000-0C00-000011000000}">
      <text>
        <r>
          <rPr>
            <sz val="11"/>
            <color theme="1"/>
            <rFont val="Calibri"/>
            <scheme val="minor"/>
          </rPr>
          <t>Ryan Gille:
EXAMINER REVIEW.</t>
        </r>
      </text>
    </comment>
    <comment ref="AF2" authorId="0" shapeId="0" xr:uid="{00000000-0006-0000-0C00-000012000000}">
      <text>
        <r>
          <rPr>
            <sz val="11"/>
            <color theme="1"/>
            <rFont val="Calibri"/>
            <scheme val="minor"/>
          </rPr>
          <t>Ryan Gille:
EXAMINER REVIEW.</t>
        </r>
      </text>
    </comment>
    <comment ref="AL2" authorId="0" shapeId="0" xr:uid="{00000000-0006-0000-0C00-000013000000}">
      <text>
        <r>
          <rPr>
            <sz val="11"/>
            <color theme="1"/>
            <rFont val="Calibri"/>
            <scheme val="minor"/>
          </rPr>
          <t>Ryan Gille:
EXAMINER REVIEW.</t>
        </r>
      </text>
    </comment>
    <comment ref="AM2" authorId="0" shapeId="0" xr:uid="{00000000-0006-0000-0C00-000014000000}">
      <text>
        <r>
          <rPr>
            <sz val="11"/>
            <color theme="1"/>
            <rFont val="Calibri"/>
            <scheme val="minor"/>
          </rPr>
          <t>Ryan Gille:
EXAMINER REVIEW.</t>
        </r>
      </text>
    </comment>
    <comment ref="AQ2" authorId="0" shapeId="0" xr:uid="{00000000-0006-0000-0C00-000015000000}">
      <text>
        <r>
          <rPr>
            <sz val="11"/>
            <color theme="1"/>
            <rFont val="Calibri"/>
            <scheme val="minor"/>
          </rPr>
          <t>Ryan Gille:
EXAMINER REVIEW.</t>
        </r>
      </text>
    </comment>
    <comment ref="AR2" authorId="0" shapeId="0" xr:uid="{00000000-0006-0000-0C00-000016000000}">
      <text>
        <r>
          <rPr>
            <sz val="11"/>
            <color theme="1"/>
            <rFont val="Calibri"/>
            <scheme val="minor"/>
          </rPr>
          <t>Ryan Gille:
EXAMINER REVIEW.</t>
        </r>
      </text>
    </comment>
    <comment ref="AS2" authorId="0" shapeId="0" xr:uid="{00000000-0006-0000-0C00-000017000000}">
      <text>
        <r>
          <rPr>
            <sz val="11"/>
            <color theme="1"/>
            <rFont val="Calibri"/>
            <scheme val="minor"/>
          </rPr>
          <t>Ryan Gille:
EXAMINER REVIEW.</t>
        </r>
      </text>
    </comment>
    <comment ref="AU2" authorId="0" shapeId="0" xr:uid="{00000000-0006-0000-0C00-000018000000}">
      <text>
        <r>
          <rPr>
            <sz val="11"/>
            <color theme="1"/>
            <rFont val="Calibri"/>
            <scheme val="minor"/>
          </rPr>
          <t>Ryan Gille:
EXAMINER REVIEW.</t>
        </r>
      </text>
    </comment>
    <comment ref="AV2" authorId="0" shapeId="0" xr:uid="{00000000-0006-0000-0C00-000019000000}">
      <text>
        <r>
          <rPr>
            <sz val="11"/>
            <color theme="1"/>
            <rFont val="Calibri"/>
            <scheme val="minor"/>
          </rPr>
          <t>Ryan Gille:
EXAMINER REVIEW.</t>
        </r>
      </text>
    </comment>
    <comment ref="AW2" authorId="0" shapeId="0" xr:uid="{00000000-0006-0000-0C00-00001A000000}">
      <text>
        <r>
          <rPr>
            <sz val="11"/>
            <color theme="1"/>
            <rFont val="Calibri"/>
            <scheme val="minor"/>
          </rPr>
          <t>Ryan Gille:
EXAMINER REVIEW.</t>
        </r>
      </text>
    </comment>
    <comment ref="AX2" authorId="0" shapeId="0" xr:uid="{00000000-0006-0000-0C00-00001B000000}">
      <text>
        <r>
          <rPr>
            <sz val="11"/>
            <color theme="1"/>
            <rFont val="Calibri"/>
            <scheme val="minor"/>
          </rPr>
          <t>Ryan Gille:
EXAMINER REVIEW.</t>
        </r>
      </text>
    </comment>
    <comment ref="AY2" authorId="0" shapeId="0" xr:uid="{00000000-0006-0000-0C00-00001C000000}">
      <text>
        <r>
          <rPr>
            <sz val="11"/>
            <color theme="1"/>
            <rFont val="Calibri"/>
            <scheme val="minor"/>
          </rPr>
          <t>Ryan Gille:
EXAMINER REVIEW.</t>
        </r>
      </text>
    </comment>
    <comment ref="AZ2" authorId="0" shapeId="0" xr:uid="{00000000-0006-0000-0C00-00001D000000}">
      <text>
        <r>
          <rPr>
            <sz val="11"/>
            <color theme="1"/>
            <rFont val="Calibri"/>
            <scheme val="minor"/>
          </rPr>
          <t>Ryan Gille:
EXAMINER REVIEW.</t>
        </r>
      </text>
    </comment>
    <comment ref="BA2" authorId="0" shapeId="0" xr:uid="{00000000-0006-0000-0C00-00001E000000}">
      <text>
        <r>
          <rPr>
            <sz val="11"/>
            <color theme="1"/>
            <rFont val="Calibri"/>
            <scheme val="minor"/>
          </rPr>
          <t>Ryan Gille:
EXAMINER REVIEW.</t>
        </r>
      </text>
    </comment>
    <comment ref="BB2" authorId="0" shapeId="0" xr:uid="{00000000-0006-0000-0C00-00001F000000}">
      <text>
        <r>
          <rPr>
            <sz val="11"/>
            <color theme="1"/>
            <rFont val="Calibri"/>
            <scheme val="minor"/>
          </rPr>
          <t>Ryan Gille:
EXAMINER REVIEW.</t>
        </r>
      </text>
    </comment>
    <comment ref="BC2" authorId="0" shapeId="0" xr:uid="{00000000-0006-0000-0C00-000020000000}">
      <text>
        <r>
          <rPr>
            <sz val="11"/>
            <color theme="1"/>
            <rFont val="Calibri"/>
            <scheme val="minor"/>
          </rPr>
          <t>Ryan Gille:
EXAMINER REVIEW.</t>
        </r>
      </text>
    </comment>
    <comment ref="BE2" authorId="0" shapeId="0" xr:uid="{00000000-0006-0000-0C00-000021000000}">
      <text>
        <r>
          <rPr>
            <sz val="11"/>
            <color theme="1"/>
            <rFont val="Calibri"/>
            <scheme val="minor"/>
          </rPr>
          <t>Ryan Gille:
EXAMINER REVIEW.</t>
        </r>
      </text>
    </comment>
    <comment ref="BF2" authorId="0" shapeId="0" xr:uid="{00000000-0006-0000-0C00-000022000000}">
      <text>
        <r>
          <rPr>
            <sz val="11"/>
            <color theme="1"/>
            <rFont val="Calibri"/>
            <scheme val="minor"/>
          </rPr>
          <t>Ryan Gille:
EXAMINER REVIEW.</t>
        </r>
      </text>
    </comment>
    <comment ref="BG2" authorId="0" shapeId="0" xr:uid="{00000000-0006-0000-0C00-000023000000}">
      <text>
        <r>
          <rPr>
            <sz val="11"/>
            <color theme="1"/>
            <rFont val="Calibri"/>
            <scheme val="minor"/>
          </rPr>
          <t>Ryan Gille:
EXAMINER REVIEW.</t>
        </r>
      </text>
    </comment>
    <comment ref="BH2" authorId="0" shapeId="0" xr:uid="{00000000-0006-0000-0C00-000024000000}">
      <text>
        <r>
          <rPr>
            <sz val="11"/>
            <color theme="1"/>
            <rFont val="Calibri"/>
            <scheme val="minor"/>
          </rPr>
          <t>Ryan Gille:
EXAMINER REVIEW.</t>
        </r>
      </text>
    </comment>
    <comment ref="BI2" authorId="0" shapeId="0" xr:uid="{00000000-0006-0000-0C00-000025000000}">
      <text>
        <r>
          <rPr>
            <sz val="11"/>
            <color theme="1"/>
            <rFont val="Calibri"/>
            <scheme val="minor"/>
          </rPr>
          <t>Ryan Gille:
EXAMINER REVIEW.</t>
        </r>
      </text>
    </comment>
    <comment ref="BJ2" authorId="0" shapeId="0" xr:uid="{00000000-0006-0000-0C00-000026000000}">
      <text>
        <r>
          <rPr>
            <sz val="11"/>
            <color theme="1"/>
            <rFont val="Calibri"/>
            <scheme val="minor"/>
          </rPr>
          <t>Ryan Gille:
EXAMINER REVIEW.</t>
        </r>
      </text>
    </comment>
    <comment ref="BK2" authorId="0" shapeId="0" xr:uid="{00000000-0006-0000-0C00-000027000000}">
      <text>
        <r>
          <rPr>
            <sz val="11"/>
            <color theme="1"/>
            <rFont val="Calibri"/>
            <scheme val="minor"/>
          </rPr>
          <t>Ryan Gille:
EXAMINER REVIEW.</t>
        </r>
      </text>
    </comment>
    <comment ref="BL2" authorId="0" shapeId="0" xr:uid="{00000000-0006-0000-0C00-000028000000}">
      <text>
        <r>
          <rPr>
            <sz val="11"/>
            <color theme="1"/>
            <rFont val="Calibri"/>
            <scheme val="minor"/>
          </rPr>
          <t>Ryan Gille:
EXAMINER REVIEW.</t>
        </r>
      </text>
    </comment>
    <comment ref="BM2" authorId="0" shapeId="0" xr:uid="{00000000-0006-0000-0C00-000029000000}">
      <text>
        <r>
          <rPr>
            <sz val="11"/>
            <color theme="1"/>
            <rFont val="Calibri"/>
            <scheme val="minor"/>
          </rPr>
          <t>Ryan Gille:
EXAMINER REVIEW.</t>
        </r>
      </text>
    </comment>
    <comment ref="BN2" authorId="0" shapeId="0" xr:uid="{00000000-0006-0000-0C00-00002A000000}">
      <text>
        <r>
          <rPr>
            <sz val="11"/>
            <color theme="1"/>
            <rFont val="Calibri"/>
            <scheme val="minor"/>
          </rPr>
          <t>Ryan Gille:
EXAMINER REVIEW.</t>
        </r>
      </text>
    </comment>
    <comment ref="BO2" authorId="0" shapeId="0" xr:uid="{00000000-0006-0000-0C00-00002B000000}">
      <text>
        <r>
          <rPr>
            <sz val="11"/>
            <color theme="1"/>
            <rFont val="Calibri"/>
            <scheme val="minor"/>
          </rPr>
          <t>Ryan Gille:
EXAMINER REVIEW.</t>
        </r>
      </text>
    </comment>
    <comment ref="BP2" authorId="0" shapeId="0" xr:uid="{00000000-0006-0000-0C00-00002C000000}">
      <text>
        <r>
          <rPr>
            <sz val="11"/>
            <color theme="1"/>
            <rFont val="Calibri"/>
            <scheme val="minor"/>
          </rPr>
          <t>Ryan Gille:
EXAMINER REVIEW.</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L2" authorId="0" shapeId="0" xr:uid="{00000000-0006-0000-0D00-000001000000}">
      <text>
        <r>
          <rPr>
            <sz val="11"/>
            <color theme="1"/>
            <rFont val="Calibri"/>
            <scheme val="minor"/>
          </rPr>
          <t>Ryan Gille:
EXAMINER REVIEW: multi-party assignment — allocation not determinable from index; WI/NRI decimal pending assignment image + OCC/OTC.</t>
        </r>
      </text>
    </comment>
    <comment ref="O2" authorId="0" shapeId="0" xr:uid="{00000000-0006-0000-0D00-000002000000}">
      <text>
        <r>
          <rPr>
            <sz val="11"/>
            <color theme="1"/>
            <rFont val="Calibri"/>
            <scheme val="minor"/>
          </rPr>
          <t>Ryan Gille:
EXAMINER REVIEW: multi-party assignment — allocation not determinable from index; WI/NRI decimal pending assignment image + OCC/OTC.</t>
        </r>
      </text>
    </comment>
    <comment ref="P2" authorId="0" shapeId="0" xr:uid="{00000000-0006-0000-0D00-000003000000}">
      <text>
        <r>
          <rPr>
            <sz val="11"/>
            <color theme="1"/>
            <rFont val="Calibri"/>
            <scheme val="minor"/>
          </rPr>
          <t>Ryan Gille:
EXAMINER REVIEW: multi-party assignment (grantor not in WI chain) — needs assignment image.</t>
        </r>
      </text>
    </comment>
    <comment ref="R2" authorId="0" shapeId="0" xr:uid="{00000000-0006-0000-0D00-000004000000}">
      <text>
        <r>
          <rPr>
            <sz val="11"/>
            <color theme="1"/>
            <rFont val="Calibri"/>
            <scheme val="minor"/>
          </rPr>
          <t>Ryan Gille:
EXAMINER REVIEW: multi-party assignment — allocation not determinable from index; WI/NRI decimal pending assignment image.</t>
        </r>
      </text>
    </comment>
    <comment ref="V2" authorId="0" shapeId="0" xr:uid="{00000000-0006-0000-0D00-000005000000}">
      <text>
        <r>
          <rPr>
            <sz val="11"/>
            <color theme="1"/>
            <rFont val="Calibri"/>
            <scheme val="minor"/>
          </rPr>
          <t>Ryan Gille:
EXAMINER REVIEW: multi-party assignment — allocation not determinable from index; WI/NRI decimal pending assignment image.</t>
        </r>
      </text>
    </comment>
    <comment ref="X2" authorId="0" shapeId="0" xr:uid="{00000000-0006-0000-0D00-000006000000}">
      <text>
        <r>
          <rPr>
            <sz val="11"/>
            <color theme="1"/>
            <rFont val="Calibri"/>
            <scheme val="minor"/>
          </rPr>
          <t>Ryan Gille:
EXAMINER REVIEW: multi-party assignment — allocation not determinable from index; WI/NRI decimal pending assignment image.</t>
        </r>
      </text>
    </comment>
    <comment ref="H3" authorId="0" shapeId="0" xr:uid="{00000000-0006-0000-0D00-000007000000}">
      <text>
        <r>
          <rPr>
            <sz val="11"/>
            <color theme="1"/>
            <rFont val="Calibri"/>
            <scheme val="minor"/>
          </rPr>
          <t>Ryan Gille:
Source: Runsheet row 1012 — Assignment, Cheyenne Resources → Templar Energy, LLC</t>
        </r>
      </text>
    </comment>
    <comment ref="I3" authorId="0" shapeId="0" xr:uid="{00000000-0006-0000-0D00-000008000000}">
      <text>
        <r>
          <rPr>
            <sz val="11"/>
            <color theme="1"/>
            <rFont val="Calibri"/>
            <scheme val="minor"/>
          </rPr>
          <t>Ryan Gille:
Source: Runsheet row 1044 — Assignment, Hani Tabally → Santos J. Dominguez</t>
        </r>
      </text>
    </comment>
    <comment ref="J3" authorId="0" shapeId="0" xr:uid="{00000000-0006-0000-0D00-000009000000}">
      <text>
        <r>
          <rPr>
            <sz val="11"/>
            <color theme="1"/>
            <rFont val="Calibri"/>
            <scheme val="minor"/>
          </rPr>
          <t>Ryan Gille:
Source: Runsheet row 1004 (Bk/Pg shown there as 2356/399) — Assignment, Geodyne/Samson → Fairway Resources III, LLC</t>
        </r>
      </text>
    </comment>
    <comment ref="D5" authorId="0" shapeId="0" xr:uid="{00000000-0006-0000-0D00-00000A000000}">
      <text>
        <r>
          <rPr>
            <sz val="11"/>
            <color theme="1"/>
            <rFont val="Calibri"/>
            <scheme val="minor"/>
          </rPr>
          <t>Ryan Gille:
Working-interest acreage/decimal not determined. Wellbore-tied; verify with full assignment images + OCC/OTC.</t>
        </r>
      </text>
    </comment>
    <comment ref="D6" authorId="0" shapeId="0" xr:uid="{00000000-0006-0000-0D00-00000B000000}">
      <text>
        <r>
          <rPr>
            <sz val="11"/>
            <color theme="1"/>
            <rFont val="Calibri"/>
            <scheme val="minor"/>
          </rPr>
          <t>Populated from Title tab 'Working Interest' section 1 (wellbore chain). Net WI/NRI is TBD pending full assignment images and OCC/OTC review. Items categorized by type in the NOTES column.</t>
        </r>
      </text>
    </comment>
  </commentList>
</comments>
</file>

<file path=xl/sharedStrings.xml><?xml version="1.0" encoding="utf-8"?>
<sst xmlns="http://schemas.openxmlformats.org/spreadsheetml/2006/main" count="41043" uniqueCount="8880">
  <si>
    <t>TRACT 1:</t>
  </si>
  <si>
    <t>N/2 NE/4</t>
  </si>
  <si>
    <t>Containing:</t>
  </si>
  <si>
    <t>80 acres, more or less</t>
  </si>
  <si>
    <t>Mineral Owner</t>
  </si>
  <si>
    <t>Net Acres</t>
  </si>
  <si>
    <t xml:space="preserve">OGL No. </t>
  </si>
  <si>
    <t>Royalty</t>
  </si>
  <si>
    <t>Expiration</t>
  </si>
  <si>
    <t>Comments</t>
  </si>
  <si>
    <t>Gena Mitchell a/k/a Gena Williams a/k/a Gena Moore</t>
  </si>
  <si>
    <t>TBD</t>
  </si>
  <si>
    <t>2702/0505</t>
  </si>
  <si>
    <t>Not stated</t>
  </si>
  <si>
    <t>Recent Silver Oak lease</t>
  </si>
  <si>
    <t>N/2 NE/4, SE/4 NE/4; lease terms and ownership require full image.</t>
  </si>
  <si>
    <t>Mitchell-Buonaccorsi Living Trust trustees</t>
  </si>
  <si>
    <t>2693/0337</t>
  </si>
  <si>
    <t>N/2 NE/4, SE/4 NE/4; full lease image needed.</t>
  </si>
  <si>
    <t>Keri Lee Daigle Tucker Trust</t>
  </si>
  <si>
    <t>2697/0520</t>
  </si>
  <si>
    <t>PDF expanded legal</t>
  </si>
  <si>
    <t>S31 T12N R24W N2 NE SW; NE SE; SE NE from PDF page 88.</t>
  </si>
  <si>
    <t>Ronald Paul Dold</t>
  </si>
  <si>
    <t>2697/0524</t>
  </si>
  <si>
    <t>Covers E2 NW/N2/NE and SW tracts per PDF page 88; full lease needed.</t>
  </si>
  <si>
    <t>Mark Ashley Daigle Trust</t>
  </si>
  <si>
    <t>2693/0349</t>
  </si>
  <si>
    <t>SE/4 NE/4, NE/4 SE/4; full lease needed.</t>
  </si>
  <si>
    <t>Kevin Warner Johnson Trust</t>
  </si>
  <si>
    <t>2693/0345</t>
  </si>
  <si>
    <t>Carrie Leeann Mitchell / Nancy Susan Mitchell</t>
  </si>
  <si>
    <t>001608/0541; 001608/0543</t>
  </si>
  <si>
    <t>Historic EOG lease rows</t>
  </si>
  <si>
    <t>Historic PDF page 24 additions; release/HBP not determined.</t>
  </si>
  <si>
    <t>REPORT TOTAL</t>
  </si>
  <si>
    <t>TOTAL</t>
  </si>
  <si>
    <t>TRACT 2:</t>
  </si>
  <si>
    <t>SW/4 NE/4</t>
  </si>
  <si>
    <t>40 acres, more or less</t>
  </si>
  <si>
    <t>EDR, LLC -&gt; Del Monte Royalty Partners, LLC
PO BOX 18876, Oklahoma City, OK</t>
  </si>
  <si>
    <t>2625/0233</t>
  </si>
  <si>
    <t>N/A</t>
  </si>
  <si>
    <t>Mineral deed</t>
  </si>
  <si>
    <t>SW/4 NE/4; exact fraction/net acres not in index.</t>
  </si>
  <si>
    <t>EDR, LLC -&gt; Okki Industries, LLC
PO BOX 54859, Oklahoma City, OK</t>
  </si>
  <si>
    <t>2625/0231</t>
  </si>
  <si>
    <t>Greystone Energy &amp; Minerals -&gt; Cardinal Land Co. / EDR</t>
  </si>
  <si>
    <t>2481/0287</t>
  </si>
  <si>
    <t>SW/4 NE/4; full deed needed.</t>
  </si>
  <si>
    <t>Paul R. Deutsch / Deborah A. Deutsch</t>
  </si>
  <si>
    <t>2561/0142</t>
  </si>
  <si>
    <t>Address/notice item</t>
  </si>
  <si>
    <t>SW/4 NE/4; no conveyance inferred.</t>
  </si>
  <si>
    <t>Matthew Lucas / Katie Lucas</t>
  </si>
  <si>
    <t>2541/0100; 2488/0370</t>
  </si>
  <si>
    <t>Mortgage/release match needed</t>
  </si>
  <si>
    <t>SE/4 SW/4/Lot 4 partial; collateral/release scope TBD.</t>
  </si>
  <si>
    <t xml:space="preserve"> </t>
  </si>
  <si>
    <t>TRACT 3:</t>
  </si>
  <si>
    <t>SE/4 NE/4</t>
  </si>
  <si>
    <t>Gena Mitchell a/k/a Williams / Gena W. Moore</t>
  </si>
  <si>
    <t>3/16 (0.1875)</t>
  </si>
  <si>
    <t>Top lease; 5-yr primary; exp 02/11/2031 (springs on prior-lease termination)</t>
  </si>
  <si>
    <t>N/2 NE/4, SE/4 NE/4; lease terms and ownership require full image. TOP LEASE subordinate to prior 2004-era lease; springs on its termination. Prior Lease: (Mitchell family) to R. Michael Lortz, dtd 01/14/2004, Bk 1736. Term resolved from non-watermarked page-1 image, OKCountyRecords API print 6/12/2026.</t>
  </si>
  <si>
    <t>Top lease; 3-yr primary; exp 02/23/2029 (springs on prior-lease termination)</t>
  </si>
  <si>
    <t>N/2 NE/4, SE/4 NE/4; full lease image needed. TOP LEASE subordinate to prior 2004-era lease; springs on its termination. Prior Lease: Carrie Leeann Mitchell to R. Michael Lortz, dtd 01/14/2004, Bk 1736 Pg 0594. Term resolved from non-watermarked page-1 image, OKCountyRecords API print 6/12/2026.</t>
  </si>
  <si>
    <t>Top lease; 5-yr primary term; exp 02/17/2031</t>
  </si>
  <si>
    <t>S31 T12N R24W N2 NE SW; NE SE; SE NE from PDF page 88. TOP LEASE subordinate to prior 2004-era lease; springs on its termination. Prior Lease: Sorenson Daigle/Johnson trustees to R. Michael Lortz (2004).</t>
  </si>
  <si>
    <t>Top lease; 3-yr primary term; exp 03/31/2029</t>
  </si>
  <si>
    <t>Covers E2 NW/N2/NE and SW tracts per PDF page 88; full lease needed. TOP LEASE subordinate to prior 2004-era lease; springs on its termination. Prior Lease: Nancy S. Mitchell to R. Michael Lortz, dtd 01/14/2004.</t>
  </si>
  <si>
    <t>Top lease; 5-yr primary; exp 02/23/2031 (springs on prior-lease termination)</t>
  </si>
  <si>
    <t>SE/4 NE/4, NE/4 SE/4; full lease needed. TOP LEASE subordinate to prior 2004-era lease; springs on its termination. Prior Lease: Sorenson Oil and Gas Trust (Daigle/Johnson, TTEEs) to N/G Discovery, L.L.C.. Term resolved from non-watermarked page-1 image, OKCountyRecords API print 6/12/2026.</t>
  </si>
  <si>
    <t>Top lease; 5-yr primary; exp 02/27/2031 (springs on prior-lease termination)</t>
  </si>
  <si>
    <t>SE/4 NE/4, NE/4 SE/4; full lease needed. TOP LEASE subordinate to prior 2004-era lease; springs on its termination. Prior Lease: Sorenson Oil and Gas Trust (Daigle/Johnson, TTEEs) to R. Michael Lortz, dtd 2004. Term resolved from non-watermarked page-1 image, OKCountyRecords API print 6/12/2026.</t>
  </si>
  <si>
    <t>TRACT 4:</t>
  </si>
  <si>
    <t>E/2 NW/4</t>
  </si>
  <si>
    <t>Colt Development / Roca Development -&gt; Dustin Deal, LLC</t>
  </si>
  <si>
    <t>2426/0154</t>
  </si>
  <si>
    <t>E/2 NW/4; exact quantum not stated.</t>
  </si>
  <si>
    <t>Cindy Lou Vignal Trustee -&gt; Gary Wayne Vignal Trustee</t>
  </si>
  <si>
    <t>2406/0228</t>
  </si>
  <si>
    <t>Quit Claim Mineral Deed</t>
  </si>
  <si>
    <t>E/2 NW/4; full deed needed.</t>
  </si>
  <si>
    <t>Ella Pearl Kirk -&gt; Calvin Wayne Kirk</t>
  </si>
  <si>
    <t>2365/0338</t>
  </si>
  <si>
    <t>NW/4 partial; exact legal/quantum TBD.</t>
  </si>
  <si>
    <t>William Bryant / Kathy Bryant</t>
  </si>
  <si>
    <t>2379/0142; 2511/0016; 2511/0018</t>
  </si>
  <si>
    <t>Lot 1 tract/partial; confirm releases.</t>
  </si>
  <si>
    <t>Ronald Paul Dold -&gt; Silver Oak Natural Resources
5030 N May Ave Ste 125, Oklahoma City, OK</t>
  </si>
  <si>
    <t>E/2 NW and other tracts per PDF page 88. TOP LEASE subordinate to prior 2004-era lease; springs on its termination. Prior Lease: Nancy S. Mitchell to R. Michael Lortz, dtd 01/14/2004.</t>
  </si>
  <si>
    <t>TRACT 5:</t>
  </si>
  <si>
    <t>NW/4 partial, Lots 1 &amp; 4, SE/4 SW/4 partial</t>
  </si>
  <si>
    <t>Acreage not determined — VERIFY (irregular lots; confirm from plat/survey)</t>
  </si>
  <si>
    <t>TRACT 6:</t>
  </si>
  <si>
    <t>W/2 SW/4</t>
  </si>
  <si>
    <t>80 acres, more or less (nominal — VERIFY against plat)</t>
  </si>
  <si>
    <t>TRACT 7:</t>
  </si>
  <si>
    <t>NE/4 SE/4</t>
  </si>
  <si>
    <t>40 acres, more or less (nominal — VERIFY against plat)</t>
  </si>
  <si>
    <t>TRACT 8:</t>
  </si>
  <si>
    <t>W/2 SE/4, SE/4 SE/4</t>
  </si>
  <si>
    <t>120 acres, more or less (nominal — VERIFY against plat)</t>
  </si>
  <si>
    <t xml:space="preserve">Working Interest: </t>
  </si>
  <si>
    <t>Insofar as the Lalexander 1-31 / wellbore and all-section leasehold items; exact WI/NRI TBD</t>
  </si>
  <si>
    <t>Owner</t>
  </si>
  <si>
    <t>Base OGL's</t>
  </si>
  <si>
    <t>Martin's Empire, LLC -&gt; Stride Bank Trustee</t>
  </si>
  <si>
    <t>2698/0069 / 2026-002547</t>
  </si>
  <si>
    <t>Wellbore assignment; corrected target legal</t>
  </si>
  <si>
    <t>ORRI assignment, NOT working interest: Martin's Empire, LLC assigns 2% of 8/8ths overriding royalty from the Exhibit A wellbores to Stride Bank, N.A., TTEE of the Umbrella Trust dtd 12/30/2025; eff 01/01/2026, rec 05/04/2026 (2698/0069, 7 pgs). S31 index legal NW NW; OCC surface location is C NW SE. Abstracted from watermarked county image via OKCountyRecords API 6/12/2026 (free to view).</t>
  </si>
  <si>
    <t>Cheyenne Resources -&gt; Templar Energy, LLC</t>
  </si>
  <si>
    <t>2385/0072</t>
  </si>
  <si>
    <t>Assignment</t>
  </si>
  <si>
    <t>Lalexander 1-31; well/exhibit review needed.</t>
  </si>
  <si>
    <t>Hani Tabally -&gt; Santos J. Dominguez</t>
  </si>
  <si>
    <t>2455/0446</t>
  </si>
  <si>
    <t>Lalexander of 31-12N-24W; full assignment needed.</t>
  </si>
  <si>
    <t>Geodyne/Samson -&gt; Fairway Resources III, LLC</t>
  </si>
  <si>
    <t>2356/0399</t>
  </si>
  <si>
    <t>Public snippet assignment</t>
  </si>
  <si>
    <t>S31 T12N R24W Lalexander; full image needed.</t>
  </si>
  <si>
    <t>Fairway Resources III, LLC -&gt; JPMorgan Chase Bank
P O Box 25848 OK1-1097, Oklahoma City, OK</t>
  </si>
  <si>
    <t>2357/0001</t>
  </si>
  <si>
    <t>Public snippet mortgage</t>
  </si>
  <si>
    <t>Collateral/release status open.</t>
  </si>
  <si>
    <t>Deutsche/JPMorgan releases to Samson/Geodyne</t>
  </si>
  <si>
    <t>2356/0001; 2356/0200</t>
  </si>
  <si>
    <t>Public snippet releases</t>
  </si>
  <si>
    <t>Release effect on target requires full images.</t>
  </si>
  <si>
    <t>Historic Chesapeake/EOG/Lortz/Devon/Jess Harris/TODCO leasehold</t>
  </si>
  <si>
    <t>OGLs 1-30</t>
  </si>
  <si>
    <t>Mixed/unknown</t>
  </si>
  <si>
    <t>Expired/HBP status not concluded</t>
  </si>
  <si>
    <t>Primary terms alone are not enough; check production, pooling, shut-in, extensions and releases.</t>
  </si>
  <si>
    <t>Silver Oak Natural Resources, LLC
5030 N May Ave Ste 125, Oklahoma City, OK</t>
  </si>
  <si>
    <t>2693/0337; 0345; 0349; 2697/0520; 0524; 2702/0505</t>
  </si>
  <si>
    <t>Top leases; 3-to-5-yr primaries; exps 2029-2031</t>
  </si>
  <si>
    <t>All six 2026 Silver Oak leases are PAID-UP TOP LEASES at 3/16 royalty, subordinate to 2004-era prior leases and effective only upon their termination. Terms verified from instrument images 6/12/2026: 2693/337 3-yr exp 02/23/2029; 2693/345 5-yr exp 02/27/2031; 2693/349 5-yr exp 02/23/2031; 2697/520 5-yr exp 02/17/2031; 2697/524 3-yr exp 03/31/2029; 2702/505 5-yr exp 02/11/2031.</t>
  </si>
  <si>
    <t>Lalexander 1-31 / wellbore chain</t>
  </si>
  <si>
    <t>2385/0072; 2455/0446; 2698/0069</t>
  </si>
  <si>
    <t>Well/OCC check required</t>
  </si>
  <si>
    <t>OCC RBDMS 6/12/2026: Alexander #1-31, API 35-129-22925, status ACTIVE (oil), operator Martin's Resources LLC, surface C NW SE (660' FWL x 1980' FSL). Active status supports HBP for wellbore-tied leasehold; OTC gross-production confirmation still required. | HBP PENDING — Client describes this as an INACTIVE well; OCC RBDMS shows status ACTIVE (oil). Reconcile active/inactive status and confirm OTC gross production before treating the section as HBP.</t>
  </si>
  <si>
    <t>Mortgage/lien burden chain</t>
  </si>
  <si>
    <t>2356/0001; 2356/0200; 2357/0001; 2357/0474</t>
  </si>
  <si>
    <t>Open until matched to releases</t>
  </si>
  <si>
    <t>Full images/exhibits needed for release scope and collateral.</t>
  </si>
  <si>
    <t>Notes</t>
  </si>
  <si>
    <t xml:space="preserve">Prospect </t>
  </si>
  <si>
    <t>25-004</t>
  </si>
  <si>
    <t xml:space="preserve">Section </t>
  </si>
  <si>
    <t>Township</t>
  </si>
  <si>
    <t>12N</t>
  </si>
  <si>
    <t>Range</t>
  </si>
  <si>
    <t>24W</t>
  </si>
  <si>
    <t>County</t>
  </si>
  <si>
    <t>Roger Mills</t>
  </si>
  <si>
    <t xml:space="preserve">State </t>
  </si>
  <si>
    <t>Oklahoma</t>
  </si>
  <si>
    <t>Containing 640.00 acres, more or less</t>
  </si>
  <si>
    <t>Tract 1</t>
  </si>
  <si>
    <t>Tract 4</t>
  </si>
  <si>
    <t>Tract 2</t>
  </si>
  <si>
    <t>Tract 3</t>
  </si>
  <si>
    <t>Tract 5</t>
  </si>
  <si>
    <t>Tract 7</t>
  </si>
  <si>
    <t>Tract 6</t>
  </si>
  <si>
    <t>Tract 8</t>
  </si>
  <si>
    <t>ATTACHMENTS:</t>
  </si>
  <si>
    <t>OWNERSHIP REPORT DATED:</t>
  </si>
  <si>
    <t>LAST ENTRY:</t>
  </si>
  <si>
    <t xml:space="preserve">TITLE OPINION UPDATE DATED: </t>
  </si>
  <si>
    <t>x</t>
  </si>
  <si>
    <t xml:space="preserve">CURSORY REPORT DATED: </t>
  </si>
  <si>
    <t>2704/142</t>
  </si>
  <si>
    <t>COUNTY CERTIFICATION DATE:</t>
  </si>
  <si>
    <t>REMARKS:</t>
  </si>
  <si>
    <t>REPORT IS A CURSORY REPORT</t>
  </si>
  <si>
    <t>EXAMINER:</t>
  </si>
  <si>
    <t>RG</t>
  </si>
  <si>
    <t>SECTION 31 — T12N R24W, Roger Mills County, OK</t>
  </si>
  <si>
    <t>Tract / Aliquot Plat — nominal 40-acre quarter-quarter diagram (North up). Not a survey.</t>
  </si>
  <si>
    <t>N ↑</t>
  </si>
  <si>
    <t>W</t>
  </si>
  <si>
    <t>NW/4 NW/4
Tract 5</t>
  </si>
  <si>
    <t>NE/4 NW/4
Tract 4</t>
  </si>
  <si>
    <t>NW/4 NE/4
Tract 1</t>
  </si>
  <si>
    <t>NE/4 NE/4
Tract 1</t>
  </si>
  <si>
    <t>E</t>
  </si>
  <si>
    <t>SW/4 NW/4
Tract 5</t>
  </si>
  <si>
    <t>SE/4 NW/4
Tract 4</t>
  </si>
  <si>
    <t>SW/4 NE/4
Tract 2</t>
  </si>
  <si>
    <t>SE/4 NE/4
Tract 3</t>
  </si>
  <si>
    <t>NW/4 SW/4
Tract 6</t>
  </si>
  <si>
    <t>NE/4 SW/4
NOT ASSIGNED</t>
  </si>
  <si>
    <t>NW/4 SE/4
Tract 8</t>
  </si>
  <si>
    <t>NE/4 SE/4
Tract 7</t>
  </si>
  <si>
    <t>SW/4 SW/4
Tract 6</t>
  </si>
  <si>
    <t>SE/4 SW/4
Tract 5 (part)</t>
  </si>
  <si>
    <t>SW/4 SE/4
Tract 8</t>
  </si>
  <si>
    <t>SE/4 SE/4
Tract 8</t>
  </si>
  <si>
    <t>S</t>
  </si>
  <si>
    <t>LEGEND</t>
  </si>
  <si>
    <t>Tract</t>
  </si>
  <si>
    <t>Legal description</t>
  </si>
  <si>
    <t>Nom. ac.</t>
  </si>
  <si>
    <t>NW/4 partial (W/2, Lots 1 &amp; 4) + SE/4 SW/4 partial</t>
  </si>
  <si>
    <t>Irregular — VERIFY</t>
  </si>
  <si>
    <t>Boundary section; W &amp; S tiers are government lots with non-40 acreage.</t>
  </si>
  <si>
    <t>80 (nom.)</t>
  </si>
  <si>
    <t>SW tier lotted — confirm acreage vs plat.</t>
  </si>
  <si>
    <t>120 (nom.)</t>
  </si>
  <si>
    <t>—</t>
  </si>
  <si>
    <t>NE/4 SW/4</t>
  </si>
  <si>
    <t>NOT in any subject tract per current legals — verify (may fall in lots).</t>
  </si>
  <si>
    <t>Diagram derived from the tract legal descriptions on the Title sheet (data already in this workbook). Aliquot positions are nominal; Section 31 is a township-boundary section, so the west and south tiers are government lots whose true acreage differs from 40. Not a survey — confirm boundaries and acreage against the recorded plat/survey.</t>
  </si>
  <si>
    <t>Aerial / plat reference — attach recorded plat/survey image here when available.</t>
  </si>
  <si>
    <t>OGL #</t>
  </si>
  <si>
    <t>LH</t>
  </si>
  <si>
    <t>Image #</t>
  </si>
  <si>
    <t>Instrument</t>
  </si>
  <si>
    <t>Bk./Pg.</t>
  </si>
  <si>
    <t>Execution Date</t>
  </si>
  <si>
    <t>Filing Date</t>
  </si>
  <si>
    <t>Grantor</t>
  </si>
  <si>
    <t>Grantee</t>
  </si>
  <si>
    <t>Legal Description</t>
  </si>
  <si>
    <t>Misc. Notes</t>
  </si>
  <si>
    <t>Term</t>
  </si>
  <si>
    <t>Gross Acres</t>
  </si>
  <si>
    <t>Tracts</t>
  </si>
  <si>
    <t>Exp Date</t>
  </si>
  <si>
    <t>Net Mineral Acres</t>
  </si>
  <si>
    <t>Depth Clause</t>
  </si>
  <si>
    <t>Option to Extend</t>
  </si>
  <si>
    <t>No Warranty Clause</t>
  </si>
  <si>
    <t>Top Lease Clause</t>
  </si>
  <si>
    <t>Lease</t>
  </si>
  <si>
    <t>1676/377</t>
  </si>
  <si>
    <t>Myron V. Slobin</t>
  </si>
  <si>
    <t>Chesapeake Exploration Ltd. Ptn</t>
  </si>
  <si>
    <t>31-12N-24W</t>
  </si>
  <si>
    <t>F</t>
  </si>
  <si>
    <t>1676/379</t>
  </si>
  <si>
    <t>Paul A. Prsnl Rep Albert</t>
  </si>
  <si>
    <t>1688/108</t>
  </si>
  <si>
    <t>L. A. Persicke</t>
  </si>
  <si>
    <t>1677/533</t>
  </si>
  <si>
    <t>David S. Silverberg</t>
  </si>
  <si>
    <t>EOG Resources Inc.</t>
  </si>
  <si>
    <t>1677/516</t>
  </si>
  <si>
    <t>Lyle T. Ibeling</t>
  </si>
  <si>
    <t>Chesapeake Exploration Co. Ltd. Ptn</t>
  </si>
  <si>
    <t>1683/1</t>
  </si>
  <si>
    <t>Paul R. &amp; Deborah A. Deutseh</t>
  </si>
  <si>
    <t>EOG Resources</t>
  </si>
  <si>
    <t>1677/512</t>
  </si>
  <si>
    <t>Hayhurst Oil Properties Inc.</t>
  </si>
  <si>
    <t>Fleshman Agency Inc.</t>
  </si>
  <si>
    <t>1686/580</t>
  </si>
  <si>
    <t>Peggy Atty For Bain William C. Jr Brawner</t>
  </si>
  <si>
    <t>1689/464</t>
  </si>
  <si>
    <t>Gregory J. Winneke</t>
  </si>
  <si>
    <t>1736/592</t>
  </si>
  <si>
    <t>Nancy Mitchell Williams</t>
  </si>
  <si>
    <t>R. Michael Lortz</t>
  </si>
  <si>
    <t>1736/588</t>
  </si>
  <si>
    <t>Clarence C. Ttee Bain</t>
  </si>
  <si>
    <t>1738/479</t>
  </si>
  <si>
    <t>Lola F. Richards</t>
  </si>
  <si>
    <t>1736/473</t>
  </si>
  <si>
    <t>Charles Allen Atha</t>
  </si>
  <si>
    <t>1792/517</t>
  </si>
  <si>
    <t>Martha Ann Devenas</t>
  </si>
  <si>
    <t>1798/146</t>
  </si>
  <si>
    <t>Rogene E. Ttee Williams</t>
  </si>
  <si>
    <t>1797/167</t>
  </si>
  <si>
    <t>Peggy J. Brawner</t>
  </si>
  <si>
    <t>1817/386</t>
  </si>
  <si>
    <t>Joe H. Britton</t>
  </si>
  <si>
    <t>Todco Properties Inc.</t>
  </si>
  <si>
    <t>1816/352</t>
  </si>
  <si>
    <t>Shawn S. Walters</t>
  </si>
  <si>
    <t>Jess Harris III</t>
  </si>
  <si>
    <t>1816/358</t>
  </si>
  <si>
    <t>Eddie Tom Lakey</t>
  </si>
  <si>
    <t>1816/386</t>
  </si>
  <si>
    <t>Myron Slobin</t>
  </si>
  <si>
    <t>1822/572</t>
  </si>
  <si>
    <t>Harris Jess III Inc.</t>
  </si>
  <si>
    <t>1816/374</t>
  </si>
  <si>
    <t>Margaret Kirk</t>
  </si>
  <si>
    <t>1822/562</t>
  </si>
  <si>
    <t>Clyde A. Pine</t>
  </si>
  <si>
    <t>1820/15</t>
  </si>
  <si>
    <t>Devon Energy Production Co.. LP</t>
  </si>
  <si>
    <t>1821/92</t>
  </si>
  <si>
    <t>Anna Tamise Gibson</t>
  </si>
  <si>
    <t>Devon Energy Production Co.</t>
  </si>
  <si>
    <t>1821/465</t>
  </si>
  <si>
    <t>James M. Robertson</t>
  </si>
  <si>
    <t>Devon Energy Prod Co.</t>
  </si>
  <si>
    <t>1829/26</t>
  </si>
  <si>
    <t>Termo Company</t>
  </si>
  <si>
    <t>MIS009/0513</t>
  </si>
  <si>
    <t>W. D. Wilson</t>
  </si>
  <si>
    <t>Olo Olson</t>
  </si>
  <si>
    <t>All of 31-12N-24W aol</t>
  </si>
  <si>
    <t>Oil and Gas Lease</t>
  </si>
  <si>
    <t>H. E. Rupp,
L. M. Rupp</t>
  </si>
  <si>
    <t>REO Oil &amp; Gas Company</t>
  </si>
  <si>
    <t>M. Hambrook</t>
  </si>
  <si>
    <t>All of 31-12N-24W</t>
  </si>
  <si>
    <t>Claude J. McGuire,
Herbert E. McGuire</t>
  </si>
  <si>
    <t>Empire Gas &amp; Fuel Company</t>
  </si>
  <si>
    <t>C. S. Repass,
Sarah Repass</t>
  </si>
  <si>
    <t>Susie Danforth,
W. C. Danforth</t>
  </si>
  <si>
    <t>John R. Williams</t>
  </si>
  <si>
    <t>H. E. Rupp,
Lulu M. Rupp</t>
  </si>
  <si>
    <t>J. G. Queman</t>
  </si>
  <si>
    <t>Margaret V. Black,
William G. Black</t>
  </si>
  <si>
    <t>W. E. Thomas</t>
  </si>
  <si>
    <t>E. T. Gamble,
Zella Gamble</t>
  </si>
  <si>
    <t>Calvin M. Rosser</t>
  </si>
  <si>
    <t>Louis E. Jaques,
Virginia Jaques</t>
  </si>
  <si>
    <t>Roy M. Johnson</t>
  </si>
  <si>
    <t>Lee Aulbert,
Mollie Aulbert</t>
  </si>
  <si>
    <t>Mark Hambrook</t>
  </si>
  <si>
    <t>Eula Bain,
William C. Bain</t>
  </si>
  <si>
    <t>J. G. Hambrook,
Thomas Hambrook</t>
  </si>
  <si>
    <t>Swinburn J. Stewart</t>
  </si>
  <si>
    <t>Maggie S. Bennett,
A. M. Cuff,
Ida M. Cuff,
O. L. Davis,
Pearl L. Davis,
Eli Shotwell,
Ida Shotwell,
Josie D. Shotwell,
Roy T. Shotwell</t>
  </si>
  <si>
    <t>Tom R. Johnson, Jr.</t>
  </si>
  <si>
    <t>O. C. Robinson</t>
  </si>
  <si>
    <t>Ethel Carter,
H. M. Carter</t>
  </si>
  <si>
    <t>Atlantic Refining Company</t>
  </si>
  <si>
    <t>J. B. Campbell,
Lillie a. Campbell,
Lillie a. Hambrook</t>
  </si>
  <si>
    <t>C. L. Moss</t>
  </si>
  <si>
    <t>J. E. Campbell,
Lillie a. Campbell</t>
  </si>
  <si>
    <t>Gladys Priest</t>
  </si>
  <si>
    <t>Tom R. Johnson</t>
  </si>
  <si>
    <t>Eula M. Bain,
W. M. Bain</t>
  </si>
  <si>
    <t>Ed Puls</t>
  </si>
  <si>
    <t>MIS045/0202</t>
  </si>
  <si>
    <t>Joseph Devenas,
Mary Margaret Devenas</t>
  </si>
  <si>
    <t>Robert O. Lister, Jr.</t>
  </si>
  <si>
    <t>MIS045/0204</t>
  </si>
  <si>
    <t>Margaret Gray,
Murrell Gray</t>
  </si>
  <si>
    <t>MIS045/0206</t>
  </si>
  <si>
    <t>MIS045/0208</t>
  </si>
  <si>
    <t>Ethel I. Carter,
H. M. Carter</t>
  </si>
  <si>
    <t>MIS045/0212</t>
  </si>
  <si>
    <t>Carrie Lou Mitchell,
Marvin G. Mitchell</t>
  </si>
  <si>
    <t>MIS045/0214</t>
  </si>
  <si>
    <t>MIS045/0598</t>
  </si>
  <si>
    <t>MIS045/0600</t>
  </si>
  <si>
    <t>MIS047/0166</t>
  </si>
  <si>
    <t>Marie Lister,
Robert O. Lister, Jr.</t>
  </si>
  <si>
    <t>W. V. Lister</t>
  </si>
  <si>
    <t>MIS047/0240</t>
  </si>
  <si>
    <t>Eula Bain,
W. M. Bain</t>
  </si>
  <si>
    <t>Jack Campbell</t>
  </si>
  <si>
    <t>MIS078/0309</t>
  </si>
  <si>
    <t>J. B. Campbell,
Lillie a. Campbell</t>
  </si>
  <si>
    <t>J. R. Groves</t>
  </si>
  <si>
    <t>Crystal Henson,
O. K. Henson, Jr.</t>
  </si>
  <si>
    <t>Union Oil Company of California</t>
  </si>
  <si>
    <t>GHK Corporation</t>
  </si>
  <si>
    <t>Joseph Devanas,
Mary Margaret Devanas</t>
  </si>
  <si>
    <t>Capitola Yell Harmon,
Fred Harmon</t>
  </si>
  <si>
    <t>Kerr McGee Corporation</t>
  </si>
  <si>
    <t>L. E. Thurman</t>
  </si>
  <si>
    <t>Eula M. Bain,
William C. Bain</t>
  </si>
  <si>
    <t>A. C. Campbell,
Fern Campbell,
J. W. Klopfenstein,
Ruby M. Klopfenstein</t>
  </si>
  <si>
    <t>Chalfant Magee &amp; Hansen Inc.</t>
  </si>
  <si>
    <t>Gena (minor) Williams,
Gene G. Guardian Williams,
Marvin Mitchell (minor) Williams</t>
  </si>
  <si>
    <t>Carrie Leeann (minor) Mitchell,
John L. Guardian Mitchell,
Nancy Susan (minor) Mitchell</t>
  </si>
  <si>
    <t>Oleta Florene Flanagan,
Oleta Florene Wylie</t>
  </si>
  <si>
    <t>EL Paso Natural Gas Company</t>
  </si>
  <si>
    <t>Glen D. Mitchel,
Hazel P. Mitchel</t>
  </si>
  <si>
    <t>Annie E. Mitchel</t>
  </si>
  <si>
    <t>R. O. Wilkin</t>
  </si>
  <si>
    <t>Exxon Corporation</t>
  </si>
  <si>
    <t>Flag Redfern Oil Company</t>
  </si>
  <si>
    <t>Apexco Inc.</t>
  </si>
  <si>
    <t>Albert Fields Beaty,
Lila Muriel Beaty</t>
  </si>
  <si>
    <t>Cities Service Company</t>
  </si>
  <si>
    <t>Lavona L. Maddux Dobry,
T. a. Dobry</t>
  </si>
  <si>
    <t>M. a. Elder</t>
  </si>
  <si>
    <t>John W. Dunn, Fidelity Bank, Trustee of The Cynthia Ann Present Interest Dunn Trust</t>
  </si>
  <si>
    <t>Tenneco Oil Company</t>
  </si>
  <si>
    <t>Wilda E. Jensen</t>
  </si>
  <si>
    <t>Dale Folks</t>
  </si>
  <si>
    <t>Clarence C. Bain</t>
  </si>
  <si>
    <t>Opal L. Fuchs</t>
  </si>
  <si>
    <t>Carl L. Bain</t>
  </si>
  <si>
    <t>Dow C. Bain</t>
  </si>
  <si>
    <t>Myrtle M. Gale</t>
  </si>
  <si>
    <t>Lee Oil Properties Inc.</t>
  </si>
  <si>
    <t>Juanita M. Wolff</t>
  </si>
  <si>
    <t>Crystal F. Pallo</t>
  </si>
  <si>
    <t>M. E. Moore</t>
  </si>
  <si>
    <t>Lillie a. Campbell,
Lillie a. Hambrook</t>
  </si>
  <si>
    <t>Margie Ann Kirk</t>
  </si>
  <si>
    <t>Panhandle Cooperative Royalty Company</t>
  </si>
  <si>
    <t>C W Dobbins &amp; Sons Inc.</t>
  </si>
  <si>
    <t>Panhandle Royalty Company</t>
  </si>
  <si>
    <t>Sooner Energy Services Inc.</t>
  </si>
  <si>
    <t>A. C. Campbell,
Fern Campbell</t>
  </si>
  <si>
    <t>Moore Stansberry Inc.</t>
  </si>
  <si>
    <t>Ella Pearl Kirk,
Gordon E. Kirk</t>
  </si>
  <si>
    <t>Universal Resources Corporation</t>
  </si>
  <si>
    <t>John W. Klopfenstein,
Ruby M. Klopfenstein</t>
  </si>
  <si>
    <t>Richland Resources Corporation</t>
  </si>
  <si>
    <t>Adams-Litle Inc.</t>
  </si>
  <si>
    <t>J. E. Barnett</t>
  </si>
  <si>
    <t>Walter J. Rusek, Trustee of The Mann Childrens Trust</t>
  </si>
  <si>
    <t>Marchelle Sorenson Daigle, Trustee of The Sorenson Oil &amp; Gas Trust,
Michelle Sorenson Johnson</t>
  </si>
  <si>
    <t>EL Paso Exploration Company</t>
  </si>
  <si>
    <t>Oleta Florene Wylie</t>
  </si>
  <si>
    <t>Jan Hambrook,
Virgil Mark Hambrook</t>
  </si>
  <si>
    <t>Joseph a. Dominguez</t>
  </si>
  <si>
    <t>Charles Rex Atha,
Letty Atha</t>
  </si>
  <si>
    <t>Alpine Oil &amp; Royalty Inc.</t>
  </si>
  <si>
    <t>Belinda B. Aka Schroeder,
Belinda B. Carpenter Sullivan,
Mark Sullivan</t>
  </si>
  <si>
    <t>L. O. Warren</t>
  </si>
  <si>
    <t>L. a. Persicke</t>
  </si>
  <si>
    <t>John R. Pringle</t>
  </si>
  <si>
    <t>Billy Wayne Bain, William Cobal Bain, Jr., Trustee of The William C. Bain Trust</t>
  </si>
  <si>
    <t>James F. Menehan</t>
  </si>
  <si>
    <t>William Cobal Bain, Jr.</t>
  </si>
  <si>
    <t>Billy Wayne Bain, Trustee of The Hazel a. Hamilton Trust</t>
  </si>
  <si>
    <t>Billy Wayne Bain</t>
  </si>
  <si>
    <t>Deborah a. Deutsch,
Paul R. Deutsch</t>
  </si>
  <si>
    <t>Laura L. Snyder</t>
  </si>
  <si>
    <t>Eula Cross</t>
  </si>
  <si>
    <t>Richard M. Heins</t>
  </si>
  <si>
    <t>Jonathan E. Jensen</t>
  </si>
  <si>
    <t>John W. Klopfenstein,
Ruby W. Klopfenstein</t>
  </si>
  <si>
    <t>Yale Oil Association Inc.</t>
  </si>
  <si>
    <t>Billy Wayne Bain,
Hazel a. Hamilton</t>
  </si>
  <si>
    <t>William Cobal Bain, Jr.,
Crystal F. Pallo</t>
  </si>
  <si>
    <t>Billy Wayne Bain, William Cobal Bain, Jr., Trustee of The William C. Bain Trust,
William C. Bain, Deceased</t>
  </si>
  <si>
    <t>Ford Exploration</t>
  </si>
  <si>
    <t>David M. Warren</t>
  </si>
  <si>
    <t>A. C. Campbell</t>
  </si>
  <si>
    <t>Anson Company</t>
  </si>
  <si>
    <t>Lloyd Smith</t>
  </si>
  <si>
    <t>Mary Margaret Devenas</t>
  </si>
  <si>
    <t>Williams Properties Inc.</t>
  </si>
  <si>
    <t>Seven W Resources Inc.</t>
  </si>
  <si>
    <t>Estate of Maragaret Standiford Gray,
Fred a. Standiford, Jr.</t>
  </si>
  <si>
    <t>1028/0163</t>
  </si>
  <si>
    <t>Letty Atha</t>
  </si>
  <si>
    <t>Santa FE Energy Operating Partners</t>
  </si>
  <si>
    <t>1028/0165</t>
  </si>
  <si>
    <t>1028/0169</t>
  </si>
  <si>
    <t>1028/0173</t>
  </si>
  <si>
    <t>1028/0177</t>
  </si>
  <si>
    <t>Virgil Hambrook</t>
  </si>
  <si>
    <t>1037/0064</t>
  </si>
  <si>
    <t>1059/0241</t>
  </si>
  <si>
    <t>Dow C. Bain,
Edris O. Bain</t>
  </si>
  <si>
    <t>1064/0168</t>
  </si>
  <si>
    <t>Alfred William Standiford</t>
  </si>
  <si>
    <t>J. R. Nicholson</t>
  </si>
  <si>
    <t>1089/0174</t>
  </si>
  <si>
    <t>1103/0152</t>
  </si>
  <si>
    <t>1103/0156</t>
  </si>
  <si>
    <t>Margie Ann Anderson,
Margie Ann Kirk</t>
  </si>
  <si>
    <t>1111/0229</t>
  </si>
  <si>
    <t>Marvin Mitchell Williams</t>
  </si>
  <si>
    <t>ED ORR &amp; Associates</t>
  </si>
  <si>
    <t>1111/0231</t>
  </si>
  <si>
    <t>Chester Whitledge</t>
  </si>
  <si>
    <t>1111/0219</t>
  </si>
  <si>
    <t>1111/0223</t>
  </si>
  <si>
    <t>Gene Williams Waggner</t>
  </si>
  <si>
    <t>1111/0225</t>
  </si>
  <si>
    <t>Nancy Susan Mitchell</t>
  </si>
  <si>
    <t>1111/0227</t>
  </si>
  <si>
    <t>Carrie Leeann Mitchell</t>
  </si>
  <si>
    <t>1111/0247</t>
  </si>
  <si>
    <t>1111/0253</t>
  </si>
  <si>
    <t>The William C. Bain Trust,
Opal L. Fuchs</t>
  </si>
  <si>
    <t>1600/0208</t>
  </si>
  <si>
    <t>EOG Resources, Inc.</t>
  </si>
  <si>
    <t>NW/4 SE/4, S/2 SE/4, SW/4 NE/4 of 31-12N-24W</t>
  </si>
  <si>
    <t>1601/0276</t>
  </si>
  <si>
    <t>Jesse W. Fuchs</t>
  </si>
  <si>
    <t>1602/0490</t>
  </si>
  <si>
    <t>Anna R. Britton,
Joe Britton</t>
  </si>
  <si>
    <t>E/2 NW/4, N/2 NE/4 NE/4, NE/4 SE/4, SE/4 NE/4 of 31-12N-24W</t>
  </si>
  <si>
    <t>1602/0517</t>
  </si>
  <si>
    <t>Isa May Smith</t>
  </si>
  <si>
    <t>Richard C. Cope</t>
  </si>
  <si>
    <t>SE/4 SE/4, SW/4 NE/4, W/2 SE/4 of 31-12N-24W</t>
  </si>
  <si>
    <t>1603/0007</t>
  </si>
  <si>
    <t>Raymond M. Fuchs</t>
  </si>
  <si>
    <t>1603/0147</t>
  </si>
  <si>
    <t>Glenn D. Mitchell</t>
  </si>
  <si>
    <t>E/2 NW/4, N/2 NE/4 SW/4, NE/4 SE/4, SE/4 NE/4 of 31-12N-24W</t>
  </si>
  <si>
    <t>1603/0374</t>
  </si>
  <si>
    <t>Oleta Florene Wyllie</t>
  </si>
  <si>
    <t>SE/4 SW/4 of 31-12N-24W</t>
  </si>
  <si>
    <t>1603/0376</t>
  </si>
  <si>
    <t>Minion Investment Company</t>
  </si>
  <si>
    <t>1604/0108</t>
  </si>
  <si>
    <t>Jan A. Schroff</t>
  </si>
  <si>
    <t>1604/0115</t>
  </si>
  <si>
    <t>Jon T. Williams,
Rogene E. Williams</t>
  </si>
  <si>
    <t>1604/0117</t>
  </si>
  <si>
    <t>Dwight J. Williams</t>
  </si>
  <si>
    <t>1604/0239</t>
  </si>
  <si>
    <t>Eleanore Wheeler</t>
  </si>
  <si>
    <t>NE/4 SW/4, Lots 3-4 of 31-12N-24W</t>
  </si>
  <si>
    <t>1604/0243</t>
  </si>
  <si>
    <t>NE/4 SW/4, Lots 3-4, SE/4 SW/4 of 31-12N-24W</t>
  </si>
  <si>
    <t>1604/0251</t>
  </si>
  <si>
    <t>Jon N. Wilkerson</t>
  </si>
  <si>
    <t>NE/4 SW/4, S/2 NE/4, Lots 3-4 of 31-12N-24W</t>
  </si>
  <si>
    <t>1604/0259</t>
  </si>
  <si>
    <t>Roger Klopfenstein</t>
  </si>
  <si>
    <t>1604/0307</t>
  </si>
  <si>
    <t>Melinda McCaul Mulvihill</t>
  </si>
  <si>
    <t>1604/0309</t>
  </si>
  <si>
    <t>Mark J. Fuchs</t>
  </si>
  <si>
    <t>1604/0311</t>
  </si>
  <si>
    <t>Stephen M. Criser</t>
  </si>
  <si>
    <t>1604/0322</t>
  </si>
  <si>
    <t>Sandra Lorrain York</t>
  </si>
  <si>
    <t>1604/0453</t>
  </si>
  <si>
    <t>Nanalee Faye Barnett</t>
  </si>
  <si>
    <t>1606/0416</t>
  </si>
  <si>
    <t>Charles D. Ray</t>
  </si>
  <si>
    <t>E/2 NW/4, NE/4 SE/4, SE/4 NE/4 of 31-12N-24W</t>
  </si>
  <si>
    <t>1606/0418</t>
  </si>
  <si>
    <t>Clyde a. Pine</t>
  </si>
  <si>
    <t>E/2 NW/4, NE/4 NE/4, NE/4 SE/4 of 31-12N-24W</t>
  </si>
  <si>
    <t>1607/0323</t>
  </si>
  <si>
    <t>Lots 1-2, N/2, Lot 3 of 31-12N-24W</t>
  </si>
  <si>
    <t>1607/0325</t>
  </si>
  <si>
    <t>E/2 NW/4, E/2 SW/4, Lot 4, N/2 NE/4, NE/4 NE/4, S/2, Lot 3, SE/4 NE/4 of 31-12N-24W</t>
  </si>
  <si>
    <t>1607/0327</t>
  </si>
  <si>
    <t>Louisa McLerron</t>
  </si>
  <si>
    <t>1608/0452</t>
  </si>
  <si>
    <t>Melinda Barbie</t>
  </si>
  <si>
    <t>Lot 4, S/2, Lot 3, S/2 NE/4 SW/4, SE/4 SW/4 of 31-12N-24W</t>
  </si>
  <si>
    <t>1608/0541</t>
  </si>
  <si>
    <t>Carrie Leeanne Mitchell</t>
  </si>
  <si>
    <t>E/2 NW/4, E/2 SW/4, Lots 3-4, N/2 NE/4, NE/4 SE/4, SE/4 NE/4 of 31-12N-24W</t>
  </si>
  <si>
    <t>1608/0543</t>
  </si>
  <si>
    <t>1609/0199</t>
  </si>
  <si>
    <t>Gena W. Moore</t>
  </si>
  <si>
    <t>E/2 NW/4, E/2 SW/4, N/2 NE/4, NE/4 SE/4, Lots 3-4, SE/4 NE/4 of 31-12N-24W</t>
  </si>
  <si>
    <t>1610/0040</t>
  </si>
  <si>
    <t>1610/0121</t>
  </si>
  <si>
    <t>Robert H. Frazler</t>
  </si>
  <si>
    <t>1613/0497</t>
  </si>
  <si>
    <t>Ella P. Kirk</t>
  </si>
  <si>
    <t>Lots 1-3 of 31-12N-24W</t>
  </si>
  <si>
    <t>1626/0462</t>
  </si>
  <si>
    <t>1629/0523</t>
  </si>
  <si>
    <t>Joe, Devenas, Jr.</t>
  </si>
  <si>
    <t>1629/0525</t>
  </si>
  <si>
    <t>Joseph Devenas</t>
  </si>
  <si>
    <t>1639/0003</t>
  </si>
  <si>
    <t>Clarence C. Bain,
Dorothy J. Bain</t>
  </si>
  <si>
    <t>1639/0005</t>
  </si>
  <si>
    <t>1639/0009</t>
  </si>
  <si>
    <t>Tim E. Jensen</t>
  </si>
  <si>
    <t>1639/0013</t>
  </si>
  <si>
    <t>Billy W. Bain</t>
  </si>
  <si>
    <t>1639/0015</t>
  </si>
  <si>
    <t>X.</t>
  </si>
  <si>
    <t>1639/0017</t>
  </si>
  <si>
    <t>Hans W. Jensen</t>
  </si>
  <si>
    <t>1639/0019</t>
  </si>
  <si>
    <t>1639/0021</t>
  </si>
  <si>
    <t>1639/0007</t>
  </si>
  <si>
    <t>L.e. Thurman</t>
  </si>
  <si>
    <t>1639/0011</t>
  </si>
  <si>
    <t>Audy C. Campbell,
Janice Campbell</t>
  </si>
  <si>
    <t>S/2 NE/4 SW/4, SE/4 SW/4 of 31-12N-24W</t>
  </si>
  <si>
    <t>1641/0030</t>
  </si>
  <si>
    <t>Chesapeake Exploration Ltd. PTN</t>
  </si>
  <si>
    <t>E/2 NW/4, N/2 NE/4 SW/4, NE/4 NE/4 SE/4, SE/4 NE/4 of 31-12N-24W</t>
  </si>
  <si>
    <t>1642/0097</t>
  </si>
  <si>
    <t>William Clifton Bain</t>
  </si>
  <si>
    <t>1642/0099</t>
  </si>
  <si>
    <t>Paul Milton Bain</t>
  </si>
  <si>
    <t>1642/0102</t>
  </si>
  <si>
    <t>Michael L. Bain</t>
  </si>
  <si>
    <t>1676/0377</t>
  </si>
  <si>
    <t>1676/0379</t>
  </si>
  <si>
    <t>Paul A, Prsnl Repres Albert</t>
  </si>
  <si>
    <t>1682/0064</t>
  </si>
  <si>
    <t>NW/4 SE/4, S/2 SE/4 of 31-12N-24W</t>
  </si>
  <si>
    <t>1688/0108</t>
  </si>
  <si>
    <t>1677/0533</t>
  </si>
  <si>
    <t>1677/0535</t>
  </si>
  <si>
    <t>Mary Ellen Silverberg</t>
  </si>
  <si>
    <t>1677/0516</t>
  </si>
  <si>
    <t>1680/0431</t>
  </si>
  <si>
    <t>James E. Menchan</t>
  </si>
  <si>
    <t>E/2 SE/4, SW/4 NE/4 of 31-12N-24W</t>
  </si>
  <si>
    <t>1678/0554</t>
  </si>
  <si>
    <t>1683/0001</t>
  </si>
  <si>
    <t>1677/0512</t>
  </si>
  <si>
    <t>Hayhurst Oil Properties, Inc.</t>
  </si>
  <si>
    <t>Fleshman Agency, Inc.</t>
  </si>
  <si>
    <t>1684/0443</t>
  </si>
  <si>
    <t>1686/0580</t>
  </si>
  <si>
    <t>William C, Bain, Jr.,
Peggy, Atty in Fact Brawner</t>
  </si>
  <si>
    <t>Ratification</t>
  </si>
  <si>
    <t>1689/0522</t>
  </si>
  <si>
    <t>1689/0521</t>
  </si>
  <si>
    <t>William Cobal, Bain, Jr.,
Peggy, Atty in Fact Brawner</t>
  </si>
  <si>
    <t>1689/0520</t>
  </si>
  <si>
    <t>Leona I. Degrande</t>
  </si>
  <si>
    <t>1689/0523</t>
  </si>
  <si>
    <t>Donald R. Bain</t>
  </si>
  <si>
    <t>1689/0524</t>
  </si>
  <si>
    <t>Charlotte F. Wilbert</t>
  </si>
  <si>
    <t>1689/0519</t>
  </si>
  <si>
    <t>Melvin F. Bain</t>
  </si>
  <si>
    <t>1689/0464</t>
  </si>
  <si>
    <t>1736/0592</t>
  </si>
  <si>
    <t>E/2 NW/4, N/2 NE/4, N/2 NE/4 SW/4, Lot 4, NE/4 SE/4, S/2 NE/4 SW/4, SE/4 NE/4, SE/4 SW/4 of 31-12N-24W</t>
  </si>
  <si>
    <t>1736/0594</t>
  </si>
  <si>
    <t>1736/0600</t>
  </si>
  <si>
    <t>1736/0602</t>
  </si>
  <si>
    <t>1736/0193</t>
  </si>
  <si>
    <t>1736/0195</t>
  </si>
  <si>
    <t>1736/0199</t>
  </si>
  <si>
    <t>1736/0590</t>
  </si>
  <si>
    <t>1736/0596</t>
  </si>
  <si>
    <t>1736/0598</t>
  </si>
  <si>
    <t>Dow C. Etux Bain</t>
  </si>
  <si>
    <t>1824/0181</t>
  </si>
  <si>
    <t>1736/0588</t>
  </si>
  <si>
    <t>1736/0197</t>
  </si>
  <si>
    <t>S/2 NE/4 SW/4, Lot 4, SE/4 SW/4, Lot 3 of 31-12N-24W</t>
  </si>
  <si>
    <t>1736/0496</t>
  </si>
  <si>
    <t>John W. Bain,
Joseph a. Bain,
Anna T. Gibson</t>
  </si>
  <si>
    <t>1736/0485</t>
  </si>
  <si>
    <t>1738/0479</t>
  </si>
  <si>
    <t>1736/0473</t>
  </si>
  <si>
    <t>1737/0580</t>
  </si>
  <si>
    <t>Kodiak Production Company</t>
  </si>
  <si>
    <t>1764/0122</t>
  </si>
  <si>
    <t>Farrell E. Hamilton</t>
  </si>
  <si>
    <t>1764/0124</t>
  </si>
  <si>
    <t>Deeanne Browning</t>
  </si>
  <si>
    <t>1764/0128</t>
  </si>
  <si>
    <t>Travis L. Smith</t>
  </si>
  <si>
    <t>NW/4 SE/4, S/2 SE/4, SW/4 NW/4 of 31-12N-24W</t>
  </si>
  <si>
    <t>1780/0409</t>
  </si>
  <si>
    <t>N/g Discovery, LLC</t>
  </si>
  <si>
    <t>1782/0261</t>
  </si>
  <si>
    <t>1781/0204</t>
  </si>
  <si>
    <t>1782/0267</t>
  </si>
  <si>
    <t>1785/0274</t>
  </si>
  <si>
    <t>Joe Devenas, Jr.</t>
  </si>
  <si>
    <t>1785/0278</t>
  </si>
  <si>
    <t>1785/0276</t>
  </si>
  <si>
    <t>1787/0047</t>
  </si>
  <si>
    <t>Marchelle Sorenson Daigle, Michelle Sorenson Johnson, Trustee of The Sorenson Oil &amp; Gas Trust</t>
  </si>
  <si>
    <t>1792/0517</t>
  </si>
  <si>
    <t>1793/0501</t>
  </si>
  <si>
    <t>Molly Devenas</t>
  </si>
  <si>
    <t>1793/0502</t>
  </si>
  <si>
    <t>Joe Deveanas</t>
  </si>
  <si>
    <t>1786/0335</t>
  </si>
  <si>
    <t>Linda Klopfenstein,
Roger Klopfenstein</t>
  </si>
  <si>
    <t>Chesapeake Explor Ltd. Ptnrshp</t>
  </si>
  <si>
    <t>1788/0024</t>
  </si>
  <si>
    <t>Arrowhead Resources Inc.</t>
  </si>
  <si>
    <t>Arrowhead Explor &amp; Prod Co.</t>
  </si>
  <si>
    <t>1798/0146</t>
  </si>
  <si>
    <t>The Williams Jon T. Trust,
The Rogene E. Williams Trust,
Rogene E. Williams</t>
  </si>
  <si>
    <t>Chesapeake Exploration Ltd. Ptnrshp</t>
  </si>
  <si>
    <t>1798/0148</t>
  </si>
  <si>
    <t>1798/0150</t>
  </si>
  <si>
    <t>Stephen M. Criser, Trustee of The McCaul Rive Lind Trust</t>
  </si>
  <si>
    <t>NW/4 SE/4, SW/4 NE/4 of 31-12N-24W aol</t>
  </si>
  <si>
    <t>1798/0292</t>
  </si>
  <si>
    <t>Jan a. Schroff</t>
  </si>
  <si>
    <t>Chesapeake Explor Ltd. Ptnrsh</t>
  </si>
  <si>
    <t>1797/0167</t>
  </si>
  <si>
    <t>1798/0573</t>
  </si>
  <si>
    <t>Leona I. De Grande</t>
  </si>
  <si>
    <t>1798/0576</t>
  </si>
  <si>
    <t>1798/0579</t>
  </si>
  <si>
    <t>Charlotte F. Willert</t>
  </si>
  <si>
    <t>1798/0582</t>
  </si>
  <si>
    <t>1799/0030</t>
  </si>
  <si>
    <t>Marilyn L. Broyles</t>
  </si>
  <si>
    <t>1817/0386</t>
  </si>
  <si>
    <t>1817/0388</t>
  </si>
  <si>
    <t>James E. Menehan</t>
  </si>
  <si>
    <t>1810/0310</t>
  </si>
  <si>
    <t>Hayhurst Peggy J., Trustee of The Hayhurst Peggy J. Revoc Trust</t>
  </si>
  <si>
    <t>1816/0352</t>
  </si>
  <si>
    <t>1816/0358</t>
  </si>
  <si>
    <t>1816/0386</t>
  </si>
  <si>
    <t>1816/0389</t>
  </si>
  <si>
    <t>Gregory J. Wiinneke</t>
  </si>
  <si>
    <t>1816/0376</t>
  </si>
  <si>
    <t>1822/0572</t>
  </si>
  <si>
    <t>1822/0574</t>
  </si>
  <si>
    <t>Mary Ellen Sitzmann</t>
  </si>
  <si>
    <t>1822/0578</t>
  </si>
  <si>
    <t>1816/0374</t>
  </si>
  <si>
    <t>S/2 N/2 SW/4, SE/4 SW/4 of 31-12N-24W</t>
  </si>
  <si>
    <t>1822/0576</t>
  </si>
  <si>
    <t>E/2 NW/4 of 31-12N-24W</t>
  </si>
  <si>
    <t>1822/0562</t>
  </si>
  <si>
    <t>1820/0015</t>
  </si>
  <si>
    <t>Devon Energy Production Company</t>
  </si>
  <si>
    <t>1827/0548</t>
  </si>
  <si>
    <t>B H C H Mineral Ltd.,
B H C H Properties Ltd.</t>
  </si>
  <si>
    <t>1821/0092</t>
  </si>
  <si>
    <t>1821/0465</t>
  </si>
  <si>
    <t>James M. Robertson,
Rose Elaine Robertson</t>
  </si>
  <si>
    <t>Amendment Oil Lease</t>
  </si>
  <si>
    <t>1831/0229</t>
  </si>
  <si>
    <t>Newfield Explor MID Cont Inc.</t>
  </si>
  <si>
    <t>1833/0218</t>
  </si>
  <si>
    <t>Ella Pearl Kirk</t>
  </si>
  <si>
    <t>1829/0026</t>
  </si>
  <si>
    <t>a/k/a Gena Williams,
a/k/a Gena Mitchell Williams,
Gena W. Moore</t>
  </si>
  <si>
    <t>Silver Oak Natural Resources, LLC</t>
  </si>
  <si>
    <t>N/2 NE/4, N/2 NE/4 SW/4, NE/4 SE/4, NW/4, S/2, Lots 3-4, S/2 NE/4 SW/4, SE/4 NE/4, SE/4 SW/4 of 31-12N-24W</t>
  </si>
  <si>
    <t>T</t>
  </si>
  <si>
    <t>PAID-UP TOP LEASE, 3/16 royalty. Top-lease clause present; window resolved. Prior Lease: (Mitchell family) to R. Michael Lortz, dtd 01/14/2004, Bk 1736. Abstracted from watermarked county image via OKCountyRecords API 6/12/2026 (free to view). Term resolved from non-watermarked page-1 image, OKCountyRecords API print 6/12/2026.</t>
  </si>
  <si>
    <t>Keri Lee Daigle Tucker, Trustee of The Keri Lee Daigle Tucker Trust</t>
  </si>
  <si>
    <t>PAID-UP TOP LEASE, 3/16 royalty. 5-yr primary term. Prior Lease: Sorenson Daigle/Johnson trustees to R. Michael Lortz (2004). Abstracted from watermarked county image via OKCountyRecords API 6/12/2026 (free to view).</t>
  </si>
  <si>
    <t>Mark Ashley Daigle, Trustee of The Mark Ashley Daigle Trust</t>
  </si>
  <si>
    <t>Silveroak Natural Resources, LLC</t>
  </si>
  <si>
    <t>PAID-UP TOP LEASE, 3/16 royalty. 5-yr subordination window. Prior Lease: Sorenson Oil and Gas Trust (Daigle/Johnson, TTEEs) to N/G Discovery, L.L.C.. Abstracted from watermarked county image via OKCountyRecords API 6/12/2026 (free to view). Term resolved from non-watermarked page-1 image, OKCountyRecords API print 6/12/2026.</t>
  </si>
  <si>
    <t>James Gerard Buonaccorsi, Carrie Leeann Mitchell, Trustee of The Mitchell Buonaccorsi Living Trust</t>
  </si>
  <si>
    <t>E/2 NW/4, N/2 NE/4, N/2 NE/4 SW/4, NE/4 SE/4, NE/4 SW/4, S/2, Lots 3-4, SE/4 NE/4, SE/4 SW/4 of 31-12N-24W</t>
  </si>
  <si>
    <t>PAID-UP TOP LEASE, 3/16 royalty. 3-yr subordination window. Prior Lease: Carrie Leeann Mitchell to R. Michael Lortz, dtd 01/14/2004, Bk 1736 Pg 0594. Abstracted from watermarked county image via OKCountyRecords API 6/12/2026 (free to view). Term resolved from non-watermarked page-1 image, OKCountyRecords API print 6/12/2026.</t>
  </si>
  <si>
    <t>Kevin Johnson Johnson, Trustee of The Kevin Warner Johnson Trust</t>
  </si>
  <si>
    <t>PAID-UP TOP LEASE, 3/16 royalty. 5-yr subordination window. Prior Lease: Sorenson Oil and Gas Trust (Daigle/Johnson, TTEEs) to R. Michael Lortz, dtd 2004. Abstracted from watermarked county image via OKCountyRecords API 6/12/2026 (free to view). Term resolved from non-watermarked page-1 image, OKCountyRecords API print 6/12/2026.</t>
  </si>
  <si>
    <t>E/2 NW/4, N/2, N/2 NE/4 SW/4, NE/4 SE/4, S/2, Lots 3-4, S/2 NE/4 SW/4, SE/4 NE/4, SE/4 SW/4 of 31-12N-24W</t>
  </si>
  <si>
    <t>PAID-UP TOP LEASE, 3/16 royalty. 3-yr primary term. Prior Lease: Nancy S. Mitchell to R. Michael Lortz, dtd 01/14/2004. Abstracted from watermarked county image via OKCountyRecords API 6/12/2026 (free to view).</t>
  </si>
  <si>
    <t>Chesapeake Exploration, Ltd. Partnership</t>
  </si>
  <si>
    <t>Paul A, Personal Rep. Albert</t>
  </si>
  <si>
    <t>Chesapeake Exploration Co., Ltd. Partnership</t>
  </si>
  <si>
    <t>Deborah A. Deutsch, Paul R. Deutsch</t>
  </si>
  <si>
    <t>William C, Bain, Jr., Peggy, Atty In Fact Brawner</t>
  </si>
  <si>
    <t>The Williams Jon T. Trust, the Rogene E. Williams Trust, Rogene E. Williams</t>
  </si>
  <si>
    <t>Todco Properties, Inc.</t>
  </si>
  <si>
    <t>Harris Jess III, Inc.</t>
  </si>
  <si>
    <t>Devon Energy Production Co.. L.P.</t>
  </si>
  <si>
    <t>James M. Robertson, Rose Elaine Robertson</t>
  </si>
  <si>
    <t>H. E. Rupp, L. M. Rupp</t>
  </si>
  <si>
    <t>Reo Oil and Gas Company</t>
  </si>
  <si>
    <t>Claude J. Mcguire, Herbert E. Mcguire</t>
  </si>
  <si>
    <t>Empire Gas and Fuel Company</t>
  </si>
  <si>
    <t>C. S. Repass, Sarah Repass</t>
  </si>
  <si>
    <t>Susie Danforth, W. C. Danforth</t>
  </si>
  <si>
    <t>H. E. Rupp, Lulu M. Rupp</t>
  </si>
  <si>
    <t>Margaret V. Black, William G. Black</t>
  </si>
  <si>
    <t>E. T. Gamble, Zella Gamble</t>
  </si>
  <si>
    <t>Louis E. Jaques, Virginia Jaques</t>
  </si>
  <si>
    <t>Lee Aulbert, Mollie Aulbert</t>
  </si>
  <si>
    <t>Eula Bain, William C. Bain</t>
  </si>
  <si>
    <t>J. G. Hambrook, Thomas Hambrook</t>
  </si>
  <si>
    <t>Maggie S. Bennett, A. M. Cuff, Ida M. Cuff, O. L. Davis, Pearl L. Davis, Eli Shotwell, Ida Shotwell, Josie D. Shotwell, Roy T. Shotwell</t>
  </si>
  <si>
    <t>Ethel Carter, H. M. Carter</t>
  </si>
  <si>
    <t>J. B. Campbell, Lillie A. Campbell, Lillie A. Hambrook</t>
  </si>
  <si>
    <t>J. E. Campbell, Lillie A. Campbell</t>
  </si>
  <si>
    <t>Eula M. Bain, W. M. Bain</t>
  </si>
  <si>
    <t>Joseph Devenas, Mary Margaret Devenas</t>
  </si>
  <si>
    <t>Margaret Gray, Murrell Gray</t>
  </si>
  <si>
    <t>Ethel I. Carter, H. M. Carter</t>
  </si>
  <si>
    <t>Carrie Lou Mitchell, Marvin G. Mitchell</t>
  </si>
  <si>
    <t>Marie Lister, Robert O. Lister, Jr.</t>
  </si>
  <si>
    <t>Eula Bain, W. M. Bain</t>
  </si>
  <si>
    <t>J. B. Campbell, Lillie A. Campbell</t>
  </si>
  <si>
    <t>0110/0054</t>
  </si>
  <si>
    <t>Crystal Henson, O. K. Henson, Jr.</t>
  </si>
  <si>
    <t>0112/0464</t>
  </si>
  <si>
    <t>Ghk Corporation</t>
  </si>
  <si>
    <t>0112/0466</t>
  </si>
  <si>
    <t>Joseph Devanas, Mary Margaret Devanas</t>
  </si>
  <si>
    <t>0112/0468</t>
  </si>
  <si>
    <t>0114/0483</t>
  </si>
  <si>
    <t>Capitola Yell Harmon, Fred Harmon</t>
  </si>
  <si>
    <t>Kerr Mcgee Corporation</t>
  </si>
  <si>
    <t>0116/0044</t>
  </si>
  <si>
    <t>0123/0448</t>
  </si>
  <si>
    <t>Eula M. Bain, William C. Bain</t>
  </si>
  <si>
    <t>0125/0007</t>
  </si>
  <si>
    <t>A. C. Campbell, Fern Campbell, J. W. Klopfenstein, Ruby M. Klopfenstein</t>
  </si>
  <si>
    <t>Chalfant Magee and Hansen, Inc.</t>
  </si>
  <si>
    <t>0139/0036</t>
  </si>
  <si>
    <t>Gena (minor) Williams, Gene G. Guardian Williams, Marvin Mitchell (minor) Williams</t>
  </si>
  <si>
    <t>0139/0070</t>
  </si>
  <si>
    <t>Carrie Leeann (minor) Mitchell, John L. Guardian Mitchell, Nancy Susan (minor) Mitchell</t>
  </si>
  <si>
    <t>0149/0559</t>
  </si>
  <si>
    <t>Oleta Florene Flanagan, Oleta Florene Wylie</t>
  </si>
  <si>
    <t>El Paso Natural Gas Company</t>
  </si>
  <si>
    <t>0153/0344</t>
  </si>
  <si>
    <t>Glen D. Mitchel, Hazel P. Mitchel</t>
  </si>
  <si>
    <t>0159/0001</t>
  </si>
  <si>
    <t>0163/0132</t>
  </si>
  <si>
    <t>0190/0249</t>
  </si>
  <si>
    <t>Apexco, Inc.</t>
  </si>
  <si>
    <t>0206/0058</t>
  </si>
  <si>
    <t>Albert Fields Beaty, Lila Muriel Beaty</t>
  </si>
  <si>
    <t>0227/0330</t>
  </si>
  <si>
    <t>Lavona L. Maddux Dobry, T. A. Dobry</t>
  </si>
  <si>
    <t>M. A. Elder</t>
  </si>
  <si>
    <t>0237/0364</t>
  </si>
  <si>
    <t>John W. Dunn, Fidelity Bank, Trustee of the Cynthia Ann Present Interest Dunn Trust</t>
  </si>
  <si>
    <t>0238/0640</t>
  </si>
  <si>
    <t>0239/0001</t>
  </si>
  <si>
    <t>0239/0003</t>
  </si>
  <si>
    <t>0239/0623</t>
  </si>
  <si>
    <t>0239/0629</t>
  </si>
  <si>
    <t>0239/0635</t>
  </si>
  <si>
    <t>Lee Oil Properties, Inc.</t>
  </si>
  <si>
    <t>0240/0412</t>
  </si>
  <si>
    <t>0240/0414</t>
  </si>
  <si>
    <t>0240/0422</t>
  </si>
  <si>
    <t>0240/0522</t>
  </si>
  <si>
    <t>0242/0410</t>
  </si>
  <si>
    <t>Lillie A. Campbell, Lillie A. Hambrook</t>
  </si>
  <si>
    <t>0242/0412</t>
  </si>
  <si>
    <t>0246/0233</t>
  </si>
  <si>
    <t>C. W. Dobbins and Sons, Inc.</t>
  </si>
  <si>
    <t>0290/0078</t>
  </si>
  <si>
    <t>Sooner Energy Services, Inc.</t>
  </si>
  <si>
    <t>0331/0011</t>
  </si>
  <si>
    <t>A. C. Campbell, Fern Campbell</t>
  </si>
  <si>
    <t>Moore Stansberry, Inc.</t>
  </si>
  <si>
    <t>0381/0171</t>
  </si>
  <si>
    <t>0398/0176</t>
  </si>
  <si>
    <t>Ella Pearl Kirk, Gordon E. Kirk</t>
  </si>
  <si>
    <t>0410/0076</t>
  </si>
  <si>
    <t>John W. Klopfenstein, Ruby M. Klopfenstein</t>
  </si>
  <si>
    <t>0417/0121</t>
  </si>
  <si>
    <t>Adams-litle, Inc.</t>
  </si>
  <si>
    <t>0426/0103</t>
  </si>
  <si>
    <t>0428/0243</t>
  </si>
  <si>
    <t>Walter J. Rusek, Trustee of the Mann Childrens Trust</t>
  </si>
  <si>
    <t>0442/0105</t>
  </si>
  <si>
    <t>Marchelle Sorenson Daigle, Trustee of the Sorenson Oil and Gas Trust, Michelle Sorenson Johnson</t>
  </si>
  <si>
    <t>0519/0208</t>
  </si>
  <si>
    <t>0520/0232</t>
  </si>
  <si>
    <t>0532/0231</t>
  </si>
  <si>
    <t>El Paso Exploration Company</t>
  </si>
  <si>
    <t>0532/0233</t>
  </si>
  <si>
    <t>0534/0053</t>
  </si>
  <si>
    <t>0534/0055</t>
  </si>
  <si>
    <t>0552/0190</t>
  </si>
  <si>
    <t>Jan Hambrook, Virgil Mark Hambrook</t>
  </si>
  <si>
    <t>Joseph A. Dominguez</t>
  </si>
  <si>
    <t>0552/0193</t>
  </si>
  <si>
    <t>Charles Rex Atha, Letty Atha</t>
  </si>
  <si>
    <t>0579/0284</t>
  </si>
  <si>
    <t>0579/0286</t>
  </si>
  <si>
    <t>0593/0177</t>
  </si>
  <si>
    <t>Alpine Oil and Royalty, Inc.</t>
  </si>
  <si>
    <t>0593/0301</t>
  </si>
  <si>
    <t>Belinda B. Aka Schroeder, Belinda B. Carpenter Sullivan, Mark Sullivan</t>
  </si>
  <si>
    <t>0595/0247</t>
  </si>
  <si>
    <t>0595/0249</t>
  </si>
  <si>
    <t>0595/0267</t>
  </si>
  <si>
    <t>Billy Wayne Bain, William Cobal Bain, Jr., Trustee of the William C. Bain Trust</t>
  </si>
  <si>
    <t>0595/0251</t>
  </si>
  <si>
    <t>0595/0253</t>
  </si>
  <si>
    <t>0595/0255</t>
  </si>
  <si>
    <t>0595/0259</t>
  </si>
  <si>
    <t>0595/0261</t>
  </si>
  <si>
    <t>0595/0263</t>
  </si>
  <si>
    <t>0595/0265</t>
  </si>
  <si>
    <t>0596/0106</t>
  </si>
  <si>
    <t>0596/0108</t>
  </si>
  <si>
    <t>Billy Wayne Bain, Trustee of the Hazel A. Hamilton Trust</t>
  </si>
  <si>
    <t>0596/0110</t>
  </si>
  <si>
    <t>0596/0104</t>
  </si>
  <si>
    <t>0597/0018</t>
  </si>
  <si>
    <t>0597/0113</t>
  </si>
  <si>
    <t>0598/0258</t>
  </si>
  <si>
    <t>0599/0167</t>
  </si>
  <si>
    <t>0601/0252</t>
  </si>
  <si>
    <t>0601/0254</t>
  </si>
  <si>
    <t>0601/0260</t>
  </si>
  <si>
    <t>0684/0127</t>
  </si>
  <si>
    <t>John W. Klopfenstein, Ruby W. Klopfenstein</t>
  </si>
  <si>
    <t>Yale Oil Association, Inc.</t>
  </si>
  <si>
    <t>0708/0033</t>
  </si>
  <si>
    <t>0708/0039</t>
  </si>
  <si>
    <t>0708/0041</t>
  </si>
  <si>
    <t>0708/0053</t>
  </si>
  <si>
    <t>0708/0063</t>
  </si>
  <si>
    <t>0708/0043</t>
  </si>
  <si>
    <t>Billy Wayne Bain, Hazel A. Hamilton</t>
  </si>
  <si>
    <t>0708/0045</t>
  </si>
  <si>
    <t>0708/0067</t>
  </si>
  <si>
    <t>0708/0069</t>
  </si>
  <si>
    <t>William Cobal Bain, Jr., Crystal F. Pallo</t>
  </si>
  <si>
    <t>0708/0071</t>
  </si>
  <si>
    <t>Billy Wayne Bain, William Cobal Bain, Jr., Trustee of the William C. Bain Trust, William C. Bain, Deceased</t>
  </si>
  <si>
    <t>0710/0069</t>
  </si>
  <si>
    <t>0710/0071</t>
  </si>
  <si>
    <t>0711/0247</t>
  </si>
  <si>
    <t>0729/0188</t>
  </si>
  <si>
    <t>0760/0202</t>
  </si>
  <si>
    <t>0846/0236</t>
  </si>
  <si>
    <t>0898/0285</t>
  </si>
  <si>
    <t>0898/0287</t>
  </si>
  <si>
    <t>0906/0204</t>
  </si>
  <si>
    <t>0908/0166</t>
  </si>
  <si>
    <t>0935/0274</t>
  </si>
  <si>
    <t>0941/0004</t>
  </si>
  <si>
    <t>0981/0289</t>
  </si>
  <si>
    <t>Williams Properties, Inc.</t>
  </si>
  <si>
    <t>0981/0285</t>
  </si>
  <si>
    <t>Seven W. Resources, Inc.</t>
  </si>
  <si>
    <t>0983/0128</t>
  </si>
  <si>
    <t>Estate of Maragaret Standiford Gray, Fred A. Standiford, Jr.</t>
  </si>
  <si>
    <t>Santa Fe Energy Operating Partners</t>
  </si>
  <si>
    <t>Dow C. Bain, Edris O. Bain</t>
  </si>
  <si>
    <t>Margie Ann Anderson, Margie Ann Kirk</t>
  </si>
  <si>
    <t>Ed Orr and Associates</t>
  </si>
  <si>
    <t>The William C. Bain Trust, Opal L. Fuchs</t>
  </si>
  <si>
    <t>Anna R. Britton, Joe Britton</t>
  </si>
  <si>
    <t>Jon T. Williams, Rogene E. Williams</t>
  </si>
  <si>
    <t>Melinda Mccaul Mulvihill</t>
  </si>
  <si>
    <t>Louisa Mclerron</t>
  </si>
  <si>
    <t>Clarence C. Bain, Dorothy J. Bain</t>
  </si>
  <si>
    <t>Audy C. Campbell, Janice Campbell</t>
  </si>
  <si>
    <t>William Cobal, Bain, Jr., Peggy, Atty In Fact Brawner</t>
  </si>
  <si>
    <t>John W. Bain, Joseph A. Bain, Anna T. Gibson</t>
  </si>
  <si>
    <t>Marchelle Sorenson Daigle, Michelle Sorenson Johnson, Trustee of the Sorenson Oil and Gas Trust</t>
  </si>
  <si>
    <t>Linda Klopfenstein, Roger Klopfenstein</t>
  </si>
  <si>
    <t>Chesapeake Explor, Ltd. Ptnrshp</t>
  </si>
  <si>
    <t>Arrowhead Resources, Inc.</t>
  </si>
  <si>
    <t>Arrowhead Explor and Prod Co.</t>
  </si>
  <si>
    <t>Stephen M. Criser, Trustee of the Mccaul Rive Lind Trust</t>
  </si>
  <si>
    <t>Chesapeake Explor, Ltd. Ptnrsh</t>
  </si>
  <si>
    <t>Hayhurst Peggy J., Trustee of the Hayhurst Peggy J. Revoc Trust</t>
  </si>
  <si>
    <t>B. H. C. H. Mineral, Ltd., B. H. C. H. Properties, Ltd.</t>
  </si>
  <si>
    <t>Newfield Explor Mid Cont, Inc.</t>
  </si>
  <si>
    <t>A/k/a Gena Williams, A/k/a Gena Mitchell Williams, Gena W. Moore</t>
  </si>
  <si>
    <t>Keri Lee Daigle Tucker, Trustee of the Keri Lee Daigle Tucker Trust</t>
  </si>
  <si>
    <t>Mark Ashley Daigle, Trustee of the Mark Ashley Daigle Trust</t>
  </si>
  <si>
    <t>James Gerard Buonaccorsi, Carrie Leeann Mitchell, Trustee of the Mitchell Buonaccorsi Living Trust</t>
  </si>
  <si>
    <t>Kevin Johnson Johnson, Trustee of the Kevin Warner Johnson Trust</t>
  </si>
  <si>
    <t>Instrument #</t>
  </si>
  <si>
    <t>OGL</t>
  </si>
  <si>
    <t>Doc Type</t>
  </si>
  <si>
    <t>Bk/Pg.</t>
  </si>
  <si>
    <t>Effective Date</t>
  </si>
  <si>
    <t>Recorded Date</t>
  </si>
  <si>
    <t>Document Link</t>
  </si>
  <si>
    <t>Homestead</t>
  </si>
  <si>
    <t>FR1/470</t>
  </si>
  <si>
    <t>General Land Office</t>
  </si>
  <si>
    <t>Leo Kinnett</t>
  </si>
  <si>
    <t>Homestead/Patent record; no instrument # of record</t>
  </si>
  <si>
    <t>1905-000429</t>
  </si>
  <si>
    <t>Deed</t>
  </si>
  <si>
    <t>D6/206</t>
  </si>
  <si>
    <t>Leo Kennett</t>
  </si>
  <si>
    <t>Mack Hawbrook</t>
  </si>
  <si>
    <t>ARTI</t>
  </si>
  <si>
    <t>1907-000709</t>
  </si>
  <si>
    <t>D9/303</t>
  </si>
  <si>
    <t>Charles T. Kennett,
Sadie N. Kennett</t>
  </si>
  <si>
    <t>John G. Lancaster</t>
  </si>
  <si>
    <t>FR2/199</t>
  </si>
  <si>
    <t>Charles F. Kennett</t>
  </si>
  <si>
    <t>1907-005379</t>
  </si>
  <si>
    <t>Patent</t>
  </si>
  <si>
    <t>PAT3/495</t>
  </si>
  <si>
    <t>United States of America</t>
  </si>
  <si>
    <t>E/2 NW/4, Lots 1 , 2 of 31-12N-24W</t>
  </si>
  <si>
    <t>Fee / as stated</t>
  </si>
  <si>
    <t>FR2/292</t>
  </si>
  <si>
    <t>Hobert E. McGuire</t>
  </si>
  <si>
    <t>FR2/293</t>
  </si>
  <si>
    <t>Ernest Brooks</t>
  </si>
  <si>
    <t>1907-001545</t>
  </si>
  <si>
    <t>D11/209</t>
  </si>
  <si>
    <t>1907-002970</t>
  </si>
  <si>
    <t>Release</t>
  </si>
  <si>
    <t>MIS5/500</t>
  </si>
  <si>
    <t>Leo Kermett</t>
  </si>
  <si>
    <t>Leasehold / WI</t>
  </si>
  <si>
    <t>1907-000157</t>
  </si>
  <si>
    <t>ASN1/103</t>
  </si>
  <si>
    <t>Oklahoma Farm Mortgage Company</t>
  </si>
  <si>
    <t>Abram Poole Jr.</t>
  </si>
  <si>
    <t>FR2/448</t>
  </si>
  <si>
    <t>Roy a. Garrison</t>
  </si>
  <si>
    <t>All of 31-12N-24W, aol</t>
  </si>
  <si>
    <t>1908-000607</t>
  </si>
  <si>
    <t>D11/448</t>
  </si>
  <si>
    <t>John G. Lancaster,
Mary C. Lancaster</t>
  </si>
  <si>
    <t>Eugene S. Repass</t>
  </si>
  <si>
    <t>1908-003103</t>
  </si>
  <si>
    <t>REL1/308</t>
  </si>
  <si>
    <t>Oklahoma Western Mortgage Co</t>
  </si>
  <si>
    <t>Roy A. Garrison,
Virdie Garrison</t>
  </si>
  <si>
    <t>31-12N-24W, aol</t>
  </si>
  <si>
    <t>1908-003105</t>
  </si>
  <si>
    <t>REL1/309</t>
  </si>
  <si>
    <t>1909-000004</t>
  </si>
  <si>
    <t>ASN1/137</t>
  </si>
  <si>
    <t>Thomas Kent</t>
  </si>
  <si>
    <t>1909-002932</t>
  </si>
  <si>
    <t>PAT6/7</t>
  </si>
  <si>
    <t>1910-000114</t>
  </si>
  <si>
    <t>ASN2/9</t>
  </si>
  <si>
    <t>G. E. Martin</t>
  </si>
  <si>
    <t>Oklahoma National Life Insurance Company</t>
  </si>
  <si>
    <t>1911-000098</t>
  </si>
  <si>
    <t>ASN2/28</t>
  </si>
  <si>
    <t>A. B. Kent</t>
  </si>
  <si>
    <t>Sarah Jane Kent</t>
  </si>
  <si>
    <t>1913-000413</t>
  </si>
  <si>
    <t>D19/268</t>
  </si>
  <si>
    <t>Ernest Brooks,
Mary Brooks</t>
  </si>
  <si>
    <t>1913-000024</t>
  </si>
  <si>
    <t>ASN2/45</t>
  </si>
  <si>
    <t>Georgie S. Preston</t>
  </si>
  <si>
    <t>1913-000133</t>
  </si>
  <si>
    <t>ASN3/182</t>
  </si>
  <si>
    <t>P. E. Schaub</t>
  </si>
  <si>
    <t>1913-000192</t>
  </si>
  <si>
    <t>ASN4/12</t>
  </si>
  <si>
    <t>Will G. Barber</t>
  </si>
  <si>
    <t>1914-002273</t>
  </si>
  <si>
    <t>REL5/489</t>
  </si>
  <si>
    <t>Graves Farm Loan Investment Company</t>
  </si>
  <si>
    <t>Roy A. Garrison,
Virdie M. Garrison</t>
  </si>
  <si>
    <t>1914-002098</t>
  </si>
  <si>
    <t>REL4/361</t>
  </si>
  <si>
    <t>E. S. Repass,
Sarah Repass</t>
  </si>
  <si>
    <t>1914-002382</t>
  </si>
  <si>
    <t>REL6/104</t>
  </si>
  <si>
    <t>Oklahoma Farm Mortgage Co</t>
  </si>
  <si>
    <t>1914-000130</t>
  </si>
  <si>
    <t>ASN3/285</t>
  </si>
  <si>
    <t>E. C. Thorne</t>
  </si>
  <si>
    <t>State Life Insurance Company</t>
  </si>
  <si>
    <t>1914-002143</t>
  </si>
  <si>
    <t>REL4/383</t>
  </si>
  <si>
    <t>Claude J. McGuire,
H. E. McGuire</t>
  </si>
  <si>
    <t>1916-001105</t>
  </si>
  <si>
    <t>MIS9/513</t>
  </si>
  <si>
    <t>1916-000332</t>
  </si>
  <si>
    <t>D22/248</t>
  </si>
  <si>
    <t>H. L. Rowley,
Myrtie Rowley</t>
  </si>
  <si>
    <t>H. E. Rupp</t>
  </si>
  <si>
    <t>1917-004125</t>
  </si>
  <si>
    <t>REL4/563</t>
  </si>
  <si>
    <t>Bertha M. Hambrook,
Mark Hambrook</t>
  </si>
  <si>
    <t>1917-003351</t>
  </si>
  <si>
    <t>OGL4/61</t>
  </si>
  <si>
    <t>Reo Oil &amp; Gas Company</t>
  </si>
  <si>
    <t>1917-003354</t>
  </si>
  <si>
    <t>OGL4/64</t>
  </si>
  <si>
    <t>1917-003731</t>
  </si>
  <si>
    <t>OGL5/320</t>
  </si>
  <si>
    <t>1917-003743</t>
  </si>
  <si>
    <t>OGL5/332</t>
  </si>
  <si>
    <t>1917-004775</t>
  </si>
  <si>
    <t>REL9/89</t>
  </si>
  <si>
    <t>Mrs Susie Danforth</t>
  </si>
  <si>
    <t>1918-002463</t>
  </si>
  <si>
    <t>REL9/108</t>
  </si>
  <si>
    <t>State Life Ins Co</t>
  </si>
  <si>
    <t>1918-002091</t>
  </si>
  <si>
    <t>REL5/251</t>
  </si>
  <si>
    <t>Claude McGuire,
Herbert E. McGuire</t>
  </si>
  <si>
    <t>1918-000943</t>
  </si>
  <si>
    <t>D27/477</t>
  </si>
  <si>
    <t>E. T. Gamble</t>
  </si>
  <si>
    <t>1918-002849</t>
  </si>
  <si>
    <t>REL9/340</t>
  </si>
  <si>
    <t>Empire Gas &amp; Fuel Co</t>
  </si>
  <si>
    <t>1918-001215</t>
  </si>
  <si>
    <t>Miscellaneous</t>
  </si>
  <si>
    <t>MIS10/485</t>
  </si>
  <si>
    <t>E. S. Repass</t>
  </si>
  <si>
    <t>William C. Bain</t>
  </si>
  <si>
    <t>See instrument</t>
  </si>
  <si>
    <t>1919-002106</t>
  </si>
  <si>
    <t>OGL4/401</t>
  </si>
  <si>
    <t>1919-002150</t>
  </si>
  <si>
    <t>OGL4/445</t>
  </si>
  <si>
    <t>1919-000296</t>
  </si>
  <si>
    <t>ASN5/562</t>
  </si>
  <si>
    <t>Great Southern Life Insurance Company</t>
  </si>
  <si>
    <t>1919-000971</t>
  </si>
  <si>
    <t>D29/382</t>
  </si>
  <si>
    <t>E. S. Repass,
Sarah J. Repass</t>
  </si>
  <si>
    <t>1919-001437</t>
  </si>
  <si>
    <t>Affidavit</t>
  </si>
  <si>
    <t>MIS11/154</t>
  </si>
  <si>
    <t>E. L. Martin</t>
  </si>
  <si>
    <t>The Public</t>
  </si>
  <si>
    <t>1919-003329</t>
  </si>
  <si>
    <t>REL11/26</t>
  </si>
  <si>
    <t>Great Southern Life Ins Co</t>
  </si>
  <si>
    <t>1920-000012</t>
  </si>
  <si>
    <t>ASN4/82</t>
  </si>
  <si>
    <t>Martin Loan &amp; Investment Company</t>
  </si>
  <si>
    <t>Florence Lewis</t>
  </si>
  <si>
    <t>1920-002046</t>
  </si>
  <si>
    <t>OGL4/556</t>
  </si>
  <si>
    <t>1920-003327</t>
  </si>
  <si>
    <t>REL11/327</t>
  </si>
  <si>
    <t>1921-001533</t>
  </si>
  <si>
    <t>REL11/342</t>
  </si>
  <si>
    <t>H. L. Rowley</t>
  </si>
  <si>
    <t>H. E. Rupp,
Lula M. Rupp</t>
  </si>
  <si>
    <t>1921-001998</t>
  </si>
  <si>
    <t>REL13/49</t>
  </si>
  <si>
    <t>H. E. Rupp,
Lula Rupp</t>
  </si>
  <si>
    <t>1921-000501</t>
  </si>
  <si>
    <t>D31/387</t>
  </si>
  <si>
    <t>E. C. Winford</t>
  </si>
  <si>
    <t>1921-000502</t>
  </si>
  <si>
    <t>D31/388</t>
  </si>
  <si>
    <t>E. C. Winford,
Florence E. Winford</t>
  </si>
  <si>
    <t>Louis E. Jaques</t>
  </si>
  <si>
    <t>1921-001778</t>
  </si>
  <si>
    <t>REL11/476</t>
  </si>
  <si>
    <t>1921-001835</t>
  </si>
  <si>
    <t>REL11/509</t>
  </si>
  <si>
    <t>1922-000463</t>
  </si>
  <si>
    <t>D31/637</t>
  </si>
  <si>
    <t>Benjamin H. Shotwell</t>
  </si>
  <si>
    <t>1922-001969</t>
  </si>
  <si>
    <t>REL13/120</t>
  </si>
  <si>
    <t>1922-001979</t>
  </si>
  <si>
    <t>REL13/125</t>
  </si>
  <si>
    <t>Eugene P. Gum</t>
  </si>
  <si>
    <t>1923-001298</t>
  </si>
  <si>
    <t>MIS12/107</t>
  </si>
  <si>
    <t>1923-002282</t>
  </si>
  <si>
    <t>OGL6/484</t>
  </si>
  <si>
    <t>1923-001306</t>
  </si>
  <si>
    <t>MIS12/119</t>
  </si>
  <si>
    <t>A. H. Douglass</t>
  </si>
  <si>
    <t>1925-000406</t>
  </si>
  <si>
    <t>D34/104</t>
  </si>
  <si>
    <t>E. T. Gamble,
Zella M. Gamble</t>
  </si>
  <si>
    <t>Leo Aulbert</t>
  </si>
  <si>
    <t>1926-001354</t>
  </si>
  <si>
    <t>REL7/496</t>
  </si>
  <si>
    <t>Wilda B. Bain,
William C. Bain</t>
  </si>
  <si>
    <t>1927-000706</t>
  </si>
  <si>
    <t>D38/162</t>
  </si>
  <si>
    <t>Panhandle Co-operative Royalty Company</t>
  </si>
  <si>
    <t>1927-000712</t>
  </si>
  <si>
    <t>D38/173</t>
  </si>
  <si>
    <t>L. E. Jacques,
N. V. Jacques</t>
  </si>
  <si>
    <t>Panhandle Co-operative Royalty Co</t>
  </si>
  <si>
    <t>Fee / as stated | OCR variant? 'Jacques' cf. 'Jaques'</t>
  </si>
  <si>
    <t>1928-002014</t>
  </si>
  <si>
    <t>REL15/588</t>
  </si>
  <si>
    <t>1929-002475</t>
  </si>
  <si>
    <t>REL7/548</t>
  </si>
  <si>
    <t>1930-003190</t>
  </si>
  <si>
    <t>REL16/331</t>
  </si>
  <si>
    <t>Albert G. Frick</t>
  </si>
  <si>
    <t>1930-002914</t>
  </si>
  <si>
    <t>PAT10/234</t>
  </si>
  <si>
    <t>Roy A. Garrison</t>
  </si>
  <si>
    <t>1930-003271</t>
  </si>
  <si>
    <t>REL16/387</t>
  </si>
  <si>
    <t>1930-001678</t>
  </si>
  <si>
    <t>MIS15/55</t>
  </si>
  <si>
    <t>G. D. Wooley</t>
  </si>
  <si>
    <t>1930-001681</t>
  </si>
  <si>
    <t>MIS15/59</t>
  </si>
  <si>
    <t>1930-002708</t>
  </si>
  <si>
    <t>OGL8/649</t>
  </si>
  <si>
    <t>1930-002773</t>
  </si>
  <si>
    <t>OGL9/32</t>
  </si>
  <si>
    <t>1930-002771</t>
  </si>
  <si>
    <t>OGL9/30</t>
  </si>
  <si>
    <t>1930-002803</t>
  </si>
  <si>
    <t>OGL9/62</t>
  </si>
  <si>
    <t>1930-001789</t>
  </si>
  <si>
    <t>Agreement</t>
  </si>
  <si>
    <t>MIS15/290</t>
  </si>
  <si>
    <t>1930-001819</t>
  </si>
  <si>
    <t>MIS15/330</t>
  </si>
  <si>
    <t>1930-002841</t>
  </si>
  <si>
    <t>OGL9/100</t>
  </si>
  <si>
    <t>1930-002854</t>
  </si>
  <si>
    <t>OGL9/113</t>
  </si>
  <si>
    <t>1930-002857</t>
  </si>
  <si>
    <t>OGL9/116</t>
  </si>
  <si>
    <t>1930-000125</t>
  </si>
  <si>
    <t>ASN9/394</t>
  </si>
  <si>
    <t>First State Bank of Cheyenne</t>
  </si>
  <si>
    <t>1931-001768</t>
  </si>
  <si>
    <t>OGL9/176</t>
  </si>
  <si>
    <t>1931-001962</t>
  </si>
  <si>
    <t>REL16/531</t>
  </si>
  <si>
    <t>1931-000573</t>
  </si>
  <si>
    <t>D41/447</t>
  </si>
  <si>
    <t>Flora E. Hambrook,
Thomas O. Hambrook</t>
  </si>
  <si>
    <t>James G. Hambrook</t>
  </si>
  <si>
    <t>1931-001910</t>
  </si>
  <si>
    <t>REL13/608</t>
  </si>
  <si>
    <t>O. M. Marsh</t>
  </si>
  <si>
    <t>1931-001789</t>
  </si>
  <si>
    <t>PAT7/374</t>
  </si>
  <si>
    <t>Herbert E. McGuire</t>
  </si>
  <si>
    <t>1931-000994</t>
  </si>
  <si>
    <t>D43/608</t>
  </si>
  <si>
    <t>Ethel Shotwell,
Lawrence E. Shotwell</t>
  </si>
  <si>
    <t>Maggie Bennett,
Pearl L. Davis,
Eli L. Shotwell,
Roy T. Shotwell</t>
  </si>
  <si>
    <t>1932-001278</t>
  </si>
  <si>
    <t>REL17/490</t>
  </si>
  <si>
    <t>1932-000511</t>
  </si>
  <si>
    <t>D46/89</t>
  </si>
  <si>
    <t>Lillie Hambrook</t>
  </si>
  <si>
    <t>1933-000028</t>
  </si>
  <si>
    <t>ASN12/165</t>
  </si>
  <si>
    <t>Sprowls Cronin and Company</t>
  </si>
  <si>
    <t>1934-001693</t>
  </si>
  <si>
    <t>REL18/49</t>
  </si>
  <si>
    <t>1935-000201</t>
  </si>
  <si>
    <t>D45/395</t>
  </si>
  <si>
    <t>Ethel Brister,
L. E. Jaques</t>
  </si>
  <si>
    <t>Virginia Jaques</t>
  </si>
  <si>
    <t>1935-000554</t>
  </si>
  <si>
    <t>D46/540</t>
  </si>
  <si>
    <t>H. M. Carter</t>
  </si>
  <si>
    <t>1935-001793</t>
  </si>
  <si>
    <t>REL19/547</t>
  </si>
  <si>
    <t>1935-001795</t>
  </si>
  <si>
    <t>REL19/548</t>
  </si>
  <si>
    <t>1937-000416</t>
  </si>
  <si>
    <t>D48/72</t>
  </si>
  <si>
    <t>N. Virgina Jacques,
Virginia Jaques</t>
  </si>
  <si>
    <t>1938-000632</t>
  </si>
  <si>
    <t>MIS19/466</t>
  </si>
  <si>
    <t>M. R. Slief</t>
  </si>
  <si>
    <t>1938-000969</t>
  </si>
  <si>
    <t>REL18/166</t>
  </si>
  <si>
    <t>Beckham County National Bank</t>
  </si>
  <si>
    <t>Louis E. Jaques,
N. Virginia Jaques</t>
  </si>
  <si>
    <t>1939-001120</t>
  </si>
  <si>
    <t>QCD3/491</t>
  </si>
  <si>
    <t>Ethel Brister,
Jack Brister</t>
  </si>
  <si>
    <t>1939-001197</t>
  </si>
  <si>
    <t>REL18/174</t>
  </si>
  <si>
    <t>1939-001202</t>
  </si>
  <si>
    <t>REL18/177</t>
  </si>
  <si>
    <t>1939-000083</t>
  </si>
  <si>
    <t>ASN13/186</t>
  </si>
  <si>
    <t>Flag Oil Company of Oklahoma</t>
  </si>
  <si>
    <t>1939-000085</t>
  </si>
  <si>
    <t>ASN13/188</t>
  </si>
  <si>
    <t>1942-000982</t>
  </si>
  <si>
    <t>REL21/4</t>
  </si>
  <si>
    <t>Federal Farm Mortgage Corporation,
Land Bank Commissioner</t>
  </si>
  <si>
    <t>1942-000630</t>
  </si>
  <si>
    <t>Final Decree</t>
  </si>
  <si>
    <t>MIS21/471</t>
  </si>
  <si>
    <t>Beckham County Court,
Swinburn J. Stewart</t>
  </si>
  <si>
    <t>1944-001314</t>
  </si>
  <si>
    <t>REL21/313</t>
  </si>
  <si>
    <t>Sprowls Cronin &amp; Co</t>
  </si>
  <si>
    <t>1945-000816</t>
  </si>
  <si>
    <t>MIS22/628</t>
  </si>
  <si>
    <t>Beckham County Court,
Benjamin H. Shotwell</t>
  </si>
  <si>
    <t>1945-001445</t>
  </si>
  <si>
    <t>REL18/328</t>
  </si>
  <si>
    <t>Walter Sprowls</t>
  </si>
  <si>
    <t>1945-001524</t>
  </si>
  <si>
    <t>REL21/347</t>
  </si>
  <si>
    <t>Sebring, Carl B. Bank Comm</t>
  </si>
  <si>
    <t>1945-000171</t>
  </si>
  <si>
    <t>D55/254</t>
  </si>
  <si>
    <t>Maggie Bennett,
A. M. Cuff,
Ida M. Cuff,
H. V. Davis,
Maggie Davis,
O. L. Davis,
Pearl L. Davis,
Eli L. Shotwell,
Ida M. Shotwell,
Josie A. Shotwell,
Roy T. Shotwell</t>
  </si>
  <si>
    <t>1946-001487</t>
  </si>
  <si>
    <t>OGL11/83</t>
  </si>
  <si>
    <t>Tom R. Johnson Jr.</t>
  </si>
  <si>
    <t>1946-001492</t>
  </si>
  <si>
    <t>OGL11/88</t>
  </si>
  <si>
    <t>1946-001409</t>
  </si>
  <si>
    <t>OGL10/262</t>
  </si>
  <si>
    <t>1947-001785</t>
  </si>
  <si>
    <t>REL21/563</t>
  </si>
  <si>
    <t>1947-001286</t>
  </si>
  <si>
    <t>OGL10/457</t>
  </si>
  <si>
    <t>J. B. Campbell,
Lillie A. Campbell,
Lillie A. Hambrook</t>
  </si>
  <si>
    <t>1948-002010</t>
  </si>
  <si>
    <t>OGL11/337</t>
  </si>
  <si>
    <t>J. E. Campbell,
Lillie A. Campbell</t>
  </si>
  <si>
    <t>1948-000087</t>
  </si>
  <si>
    <t>ASN14/269</t>
  </si>
  <si>
    <t>Commissioners of the Land Office</t>
  </si>
  <si>
    <t>1948-002054</t>
  </si>
  <si>
    <t>OGL11/498</t>
  </si>
  <si>
    <t>1948-000106</t>
  </si>
  <si>
    <t>ASN14/298</t>
  </si>
  <si>
    <t>C. L. Moss,
Rilda O. Moss</t>
  </si>
  <si>
    <t>Superior Oil Company</t>
  </si>
  <si>
    <t>1949-002129</t>
  </si>
  <si>
    <t>Certificate</t>
  </si>
  <si>
    <t>MIS25/30</t>
  </si>
  <si>
    <t>Corporation Commission of Oklahoma</t>
  </si>
  <si>
    <t>1949-002138</t>
  </si>
  <si>
    <t>Contract</t>
  </si>
  <si>
    <t>MIS25/41</t>
  </si>
  <si>
    <t>Ethel Carter,
N. M. Carter</t>
  </si>
  <si>
    <t>Marvin G. Mitchell</t>
  </si>
  <si>
    <t>1949-003597</t>
  </si>
  <si>
    <t>REL24/128</t>
  </si>
  <si>
    <t>1949-002521</t>
  </si>
  <si>
    <t>OGL12/452</t>
  </si>
  <si>
    <t>1949-003605</t>
  </si>
  <si>
    <t>REL24/133</t>
  </si>
  <si>
    <t>1949-003394</t>
  </si>
  <si>
    <t>QCD5/92</t>
  </si>
  <si>
    <t>A. H. Douglas</t>
  </si>
  <si>
    <t>1949-000809</t>
  </si>
  <si>
    <t>D59/246</t>
  </si>
  <si>
    <t>1949-000814</t>
  </si>
  <si>
    <t>D59/251</t>
  </si>
  <si>
    <t>H. M. Carter,
Mrs Ethel Carter</t>
  </si>
  <si>
    <t>1949-000505</t>
  </si>
  <si>
    <t>ASN16/312</t>
  </si>
  <si>
    <t>Maxlyn M. Johnson,
Tom R. Johnson</t>
  </si>
  <si>
    <t>Gulf Oil Corporation</t>
  </si>
  <si>
    <t>1949-000506</t>
  </si>
  <si>
    <t>ASN16/313</t>
  </si>
  <si>
    <t>1949-000111</t>
  </si>
  <si>
    <t>ASN15/149</t>
  </si>
  <si>
    <t>Commissioners of Land Office</t>
  </si>
  <si>
    <t>1949-000517</t>
  </si>
  <si>
    <t>ASN16/324</t>
  </si>
  <si>
    <t>Maxine P. Robinson,
O. C. Robinson</t>
  </si>
  <si>
    <t>1949-003639</t>
  </si>
  <si>
    <t>REL24/150</t>
  </si>
  <si>
    <t>1949-001867</t>
  </si>
  <si>
    <t>D63/97</t>
  </si>
  <si>
    <t>G. C. Mitchel,
Glenn D. Mitchel</t>
  </si>
  <si>
    <t>1950-001326</t>
  </si>
  <si>
    <t>MIS25/335</t>
  </si>
  <si>
    <t>Gulf Oil Corp</t>
  </si>
  <si>
    <t>1950-000383</t>
  </si>
  <si>
    <t>D59/410</t>
  </si>
  <si>
    <t>1951-001020</t>
  </si>
  <si>
    <t>D65/63</t>
  </si>
  <si>
    <t>Elvin J. Ridling</t>
  </si>
  <si>
    <t>1952-001426</t>
  </si>
  <si>
    <t>REL25/7</t>
  </si>
  <si>
    <t>1952-001427</t>
  </si>
  <si>
    <t>REL25/8</t>
  </si>
  <si>
    <t>Louis E. Jacques,
N. Virginia Jacques</t>
  </si>
  <si>
    <t>Leasehold / WI | OCR variant? 'Jacques' cf. 'Jaques'</t>
  </si>
  <si>
    <t>1953-000493</t>
  </si>
  <si>
    <t>D67/154</t>
  </si>
  <si>
    <t>Dorothy Jean Ridling,
Elvin J. Ridling</t>
  </si>
  <si>
    <t>Carrie Lou Mitchell,
M. G. Mitchell</t>
  </si>
  <si>
    <t>1953-001402</t>
  </si>
  <si>
    <t>REL24/339</t>
  </si>
  <si>
    <t>1953-000498</t>
  </si>
  <si>
    <t>D67/159</t>
  </si>
  <si>
    <t>Hazel Avers,
W. L. Avers</t>
  </si>
  <si>
    <t>1953-000389</t>
  </si>
  <si>
    <t>D65/208</t>
  </si>
  <si>
    <t>Hazel Ayers,
W. L. Ayers</t>
  </si>
  <si>
    <t>1954-001418</t>
  </si>
  <si>
    <t>REL24/469</t>
  </si>
  <si>
    <t>1956-001415</t>
  </si>
  <si>
    <t>REL25/52</t>
  </si>
  <si>
    <t>1956-001377</t>
  </si>
  <si>
    <t>REL24/628</t>
  </si>
  <si>
    <t>1957-001086</t>
  </si>
  <si>
    <t>MIS27/380</t>
  </si>
  <si>
    <t>W. L. Ayers</t>
  </si>
  <si>
    <t>Clara Mae Bryan,
George M. Bryan</t>
  </si>
  <si>
    <t>1957-002580</t>
  </si>
  <si>
    <t>REL25/397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</si>
  <si>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</si>
  <si>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Leasehold / WI | OCR variant? 'Roinson' cf. 'Robinson'</t>
  </si>
  <si>
    <t>1958-002778</t>
  </si>
  <si>
    <t>REL25/454</t>
  </si>
  <si>
    <t>Ira J. Fish,
Gladys Priest,
Inez L. Cobb Sears</t>
  </si>
  <si>
    <t>1958-002810</t>
  </si>
  <si>
    <t>REL25/472</t>
  </si>
  <si>
    <t>Lee Aulbert,
James Devine,
Elizabeth R. McCauley,
C. M. Neilson,
Pan Mutual Royalties</t>
  </si>
  <si>
    <t>1958-002487</t>
  </si>
  <si>
    <t>OGL22/198</t>
  </si>
  <si>
    <t>1959-001270</t>
  </si>
  <si>
    <t>MIS29/334</t>
  </si>
  <si>
    <t>Southwestern Bell Telephone Co</t>
  </si>
  <si>
    <t>1959-002917</t>
  </si>
  <si>
    <t>REL17/186</t>
  </si>
  <si>
    <t>1960-000414</t>
  </si>
  <si>
    <t>Merger</t>
  </si>
  <si>
    <t>MIS32/144</t>
  </si>
  <si>
    <t>Magnolia Petroleum,
Magnolia Petroleum Co,
Socony Mobil Oil Co</t>
  </si>
  <si>
    <t>1962-000500</t>
  </si>
  <si>
    <t>MIS45/202</t>
  </si>
  <si>
    <t>Robert O. Lister Jr.</t>
  </si>
  <si>
    <t>1962-000501</t>
  </si>
  <si>
    <t>MIS45/204</t>
  </si>
  <si>
    <t>1962-000502</t>
  </si>
  <si>
    <t>MIS45/206</t>
  </si>
  <si>
    <t>1962-000503</t>
  </si>
  <si>
    <t>MIS45/208</t>
  </si>
  <si>
    <t>1962-000505</t>
  </si>
  <si>
    <t>MIS45/212</t>
  </si>
  <si>
    <t>1962-000506</t>
  </si>
  <si>
    <t>MIS45/214</t>
  </si>
  <si>
    <t>1962-000726</t>
  </si>
  <si>
    <t>MIS45/598</t>
  </si>
  <si>
    <t>1962-000727</t>
  </si>
  <si>
    <t>MIS45/600</t>
  </si>
  <si>
    <t>1962-001141</t>
  </si>
  <si>
    <t>MIS47/164</t>
  </si>
  <si>
    <t>1962-001142</t>
  </si>
  <si>
    <t>MIS47/165</t>
  </si>
  <si>
    <t>1962-001143</t>
  </si>
  <si>
    <t>MIS47/166</t>
  </si>
  <si>
    <t>Marie Lister,
Robert O. Lister Jr.</t>
  </si>
  <si>
    <t>1962-001144</t>
  </si>
  <si>
    <t>MIS47/168</t>
  </si>
  <si>
    <t>1962-001145</t>
  </si>
  <si>
    <t>MIS47/169</t>
  </si>
  <si>
    <t>Carrie Lou Mitchell</t>
  </si>
  <si>
    <t>1962-001196</t>
  </si>
  <si>
    <t>MIS47/240</t>
  </si>
  <si>
    <t>1962-001271</t>
  </si>
  <si>
    <t>MIS47/367</t>
  </si>
  <si>
    <t>1962-001281</t>
  </si>
  <si>
    <t>MIS47/377</t>
  </si>
  <si>
    <t>Midwest Oil Corporation</t>
  </si>
  <si>
    <t>1962-001389</t>
  </si>
  <si>
    <t>MIS47/558</t>
  </si>
  <si>
    <t>1962-001390</t>
  </si>
  <si>
    <t>MIS47/559</t>
  </si>
  <si>
    <t>J. W. Klopfenstein</t>
  </si>
  <si>
    <t>1963-000284</t>
  </si>
  <si>
    <t>MIS50/67</t>
  </si>
  <si>
    <t>1963-000285</t>
  </si>
  <si>
    <t>MIS50/68</t>
  </si>
  <si>
    <t>1963-000286</t>
  </si>
  <si>
    <t>MIS50/69</t>
  </si>
  <si>
    <t>1963-000287</t>
  </si>
  <si>
    <t>MIS50/70</t>
  </si>
  <si>
    <t>1965-000770</t>
  </si>
  <si>
    <t>MIS62/462</t>
  </si>
  <si>
    <t>1965-000771</t>
  </si>
  <si>
    <t>MIS62/464</t>
  </si>
  <si>
    <t>1966-000665</t>
  </si>
  <si>
    <t>MIS69/512</t>
  </si>
  <si>
    <t>Clinton Production Credit Association</t>
  </si>
  <si>
    <t>Beatrice Marshall,
C. W. Marshall</t>
  </si>
  <si>
    <t>1967-000241</t>
  </si>
  <si>
    <t>MIS78/112</t>
  </si>
  <si>
    <t>Clark Exec Ellison,
Ellison, Kenneth A. Estate of Dcd</t>
  </si>
  <si>
    <t>1967-000351</t>
  </si>
  <si>
    <t>MIS78/309</t>
  </si>
  <si>
    <t>J. B. Campbell,
Lillie A. Campbell</t>
  </si>
  <si>
    <t>1967-002816</t>
  </si>
  <si>
    <t>MIS86/33</t>
  </si>
  <si>
    <t>Max Carder,
The Public</t>
  </si>
  <si>
    <t>Fee / as stated | OCR variant? 'Carder' cf. 'Carter'</t>
  </si>
  <si>
    <t>1968-003045</t>
  </si>
  <si>
    <t>MIS97/20</t>
  </si>
  <si>
    <t>1968-003144</t>
  </si>
  <si>
    <t>Rental Division Order</t>
  </si>
  <si>
    <t>MIS97/120</t>
  </si>
  <si>
    <t>1970-001176</t>
  </si>
  <si>
    <t>110/54</t>
  </si>
  <si>
    <t>Crystal Henson,
O. K. Henson Jr.</t>
  </si>
  <si>
    <t>1970-001971</t>
  </si>
  <si>
    <t>112/464</t>
  </si>
  <si>
    <t>1970-001972</t>
  </si>
  <si>
    <t>112/466</t>
  </si>
  <si>
    <t>Leasehold / WI | OCR variant? 'Devanas' cf. 'Devenas'</t>
  </si>
  <si>
    <t>1970-001973</t>
  </si>
  <si>
    <t>112/468</t>
  </si>
  <si>
    <t>1970-002603</t>
  </si>
  <si>
    <t>114/483</t>
  </si>
  <si>
    <t>1970-002661</t>
  </si>
  <si>
    <t>114/553</t>
  </si>
  <si>
    <t>Gasanadarko, Ltd.</t>
  </si>
  <si>
    <t>1970-002662</t>
  </si>
  <si>
    <t>114/554</t>
  </si>
  <si>
    <t>1970-002663</t>
  </si>
  <si>
    <t>114/555</t>
  </si>
  <si>
    <t>1970-002664</t>
  </si>
  <si>
    <t>114/556</t>
  </si>
  <si>
    <t>1970-002665</t>
  </si>
  <si>
    <t>114/557</t>
  </si>
  <si>
    <t>1970-002666</t>
  </si>
  <si>
    <t>114/558</t>
  </si>
  <si>
    <t>1970-002991</t>
  </si>
  <si>
    <t>115/456</t>
  </si>
  <si>
    <t>1970-002992</t>
  </si>
  <si>
    <t>115/457</t>
  </si>
  <si>
    <t>1970-003015</t>
  </si>
  <si>
    <t>115/485</t>
  </si>
  <si>
    <t>1970-003106</t>
  </si>
  <si>
    <t>116/44</t>
  </si>
  <si>
    <t>1970-003107</t>
  </si>
  <si>
    <t>116/47</t>
  </si>
  <si>
    <t>1971-001694</t>
  </si>
  <si>
    <t>122/46</t>
  </si>
  <si>
    <t>1971-002243</t>
  </si>
  <si>
    <t>123/448</t>
  </si>
  <si>
    <t>1971-002244</t>
  </si>
  <si>
    <t>123/450</t>
  </si>
  <si>
    <t>1971-002664</t>
  </si>
  <si>
    <t>125/7</t>
  </si>
  <si>
    <t>Chalfant Magee &amp; Hansen, Inc.</t>
  </si>
  <si>
    <t>1971-003272</t>
  </si>
  <si>
    <t>127/28</t>
  </si>
  <si>
    <t>1971-003746</t>
  </si>
  <si>
    <t>128/290</t>
  </si>
  <si>
    <t>El Paso Natural Gas Co</t>
  </si>
  <si>
    <t>1971-004499</t>
  </si>
  <si>
    <t>130/483</t>
  </si>
  <si>
    <t>1972-002543</t>
  </si>
  <si>
    <t>139/36</t>
  </si>
  <si>
    <t>1972-002544</t>
  </si>
  <si>
    <t>139/38</t>
  </si>
  <si>
    <t>Gena Williams,
Gene C. Guard Williams,
Marvin Mitchell Williams</t>
  </si>
  <si>
    <t>1972-002545</t>
  </si>
  <si>
    <t>139/39</t>
  </si>
  <si>
    <t>Gena Williams,
Marvin Mitchell Williams</t>
  </si>
  <si>
    <t>Gene G. Williams</t>
  </si>
  <si>
    <t>1972-002561</t>
  </si>
  <si>
    <t>139/70</t>
  </si>
  <si>
    <t>1972-002562</t>
  </si>
  <si>
    <t>139/72</t>
  </si>
  <si>
    <t>Carrie Lee Ann Mitchell,
Nancy Susan Mitchell</t>
  </si>
  <si>
    <t>John L. Mitchell</t>
  </si>
  <si>
    <t>1972-002563</t>
  </si>
  <si>
    <t>139/73</t>
  </si>
  <si>
    <t>Carrie Leeann Mitchell,
John J. Guard Mitchell,
Nancy Susqn Mitchell</t>
  </si>
  <si>
    <t>1973-001367</t>
  </si>
  <si>
    <t>149/559</t>
  </si>
  <si>
    <t>1973-002502</t>
  </si>
  <si>
    <t>153/344</t>
  </si>
  <si>
    <t>Leasehold / WI | OCR variant? 'Mitchel' cf. 'Mitchell'</t>
  </si>
  <si>
    <t>1974-000130</t>
  </si>
  <si>
    <t>159/1</t>
  </si>
  <si>
    <t>1974-001152</t>
  </si>
  <si>
    <t>162/162</t>
  </si>
  <si>
    <t>Elmo W. Kirk,
Freeda Kirk</t>
  </si>
  <si>
    <t>1974-001419</t>
  </si>
  <si>
    <t>163/132</t>
  </si>
  <si>
    <t>1974-001639</t>
  </si>
  <si>
    <t>163/565</t>
  </si>
  <si>
    <t>L. E. Thurman,
Veronica Thurman</t>
  </si>
  <si>
    <t>Marie Lister</t>
  </si>
  <si>
    <t>1974-001700</t>
  </si>
  <si>
    <t>164/66</t>
  </si>
  <si>
    <t>W. H. Sorenson</t>
  </si>
  <si>
    <t>1974-002044</t>
  </si>
  <si>
    <t>165/87</t>
  </si>
  <si>
    <t>Mann Childrens Trust</t>
  </si>
  <si>
    <t>1975-000869</t>
  </si>
  <si>
    <t>176/144</t>
  </si>
  <si>
    <t>1976-001369</t>
  </si>
  <si>
    <t>190/249</t>
  </si>
  <si>
    <t>1976-003251</t>
  </si>
  <si>
    <t>197/116</t>
  </si>
  <si>
    <t>Margie Kirk</t>
  </si>
  <si>
    <t>1976-003640</t>
  </si>
  <si>
    <t>198/182</t>
  </si>
  <si>
    <t>Entex Petroleum, Inc.</t>
  </si>
  <si>
    <t>W/2 NW/4 Lots 1-2 of 31-12N-24W, aol</t>
  </si>
  <si>
    <t>1977-000812</t>
  </si>
  <si>
    <t>206/38</t>
  </si>
  <si>
    <t>1977-000821</t>
  </si>
  <si>
    <t>206/58</t>
  </si>
  <si>
    <t>1977-006651</t>
  </si>
  <si>
    <t>224/379</t>
  </si>
  <si>
    <t>1977-007503</t>
  </si>
  <si>
    <t>227/89</t>
  </si>
  <si>
    <t>1977-007639</t>
  </si>
  <si>
    <t>227/330</t>
  </si>
  <si>
    <t>Lavona L. Maddux Dobry,
T. A. Dobry</t>
  </si>
  <si>
    <t>1978-002575</t>
  </si>
  <si>
    <t>237/364</t>
  </si>
  <si>
    <t>Dunn, Cynthia Ann Present Interest Trust,
John W. Dunn, Trustee,
Fidelity Bank Trustee</t>
  </si>
  <si>
    <t>1978-002576</t>
  </si>
  <si>
    <t>237/367</t>
  </si>
  <si>
    <t>Eula Bain,
W. C. Bain,
William C. Bain,
W. M. Bain</t>
  </si>
  <si>
    <t>Hazel A. Hamilton</t>
  </si>
  <si>
    <t>1978-002579</t>
  </si>
  <si>
    <t>237/370</t>
  </si>
  <si>
    <t>1978-002580</t>
  </si>
  <si>
    <t>237/371</t>
  </si>
  <si>
    <t>1978-002581</t>
  </si>
  <si>
    <t>237/372</t>
  </si>
  <si>
    <t>1978-002582</t>
  </si>
  <si>
    <t>237/373</t>
  </si>
  <si>
    <t>1978-002583</t>
  </si>
  <si>
    <t>237/374</t>
  </si>
  <si>
    <t>William C. Bain Jr.</t>
  </si>
  <si>
    <t>1978-002585</t>
  </si>
  <si>
    <t>237/376</t>
  </si>
  <si>
    <t>1978-002589</t>
  </si>
  <si>
    <t>237/381</t>
  </si>
  <si>
    <t>Bliss Reeves,
Valiria Reeves</t>
  </si>
  <si>
    <t>Troy B. Reeves,
Vera June Reeves</t>
  </si>
  <si>
    <t>1978-002584</t>
  </si>
  <si>
    <t>Mineral Deed</t>
  </si>
  <si>
    <t>237/375</t>
  </si>
  <si>
    <t>Mineral</t>
  </si>
  <si>
    <t>1978-002892</t>
  </si>
  <si>
    <t>238/336</t>
  </si>
  <si>
    <t>Natomas North America, Inc.</t>
  </si>
  <si>
    <t>Bovaird Supply Company</t>
  </si>
  <si>
    <t>1978-003000</t>
  </si>
  <si>
    <t>238/640</t>
  </si>
  <si>
    <t>1978-003002</t>
  </si>
  <si>
    <t>239/1</t>
  </si>
  <si>
    <t>1978-003003</t>
  </si>
  <si>
    <t>239/3</t>
  </si>
  <si>
    <t>1978-003286</t>
  </si>
  <si>
    <t>239/623</t>
  </si>
  <si>
    <t>1978-003289</t>
  </si>
  <si>
    <t>239/629</t>
  </si>
  <si>
    <t>1978-003292</t>
  </si>
  <si>
    <t>239/635</t>
  </si>
  <si>
    <t>1978-003485</t>
  </si>
  <si>
    <t>240/400</t>
  </si>
  <si>
    <t>Apexco, Inc.,
El Paso Natural Gas Company</t>
  </si>
  <si>
    <t>William C. Bain,
Hazel Louise Waitman,
George O. Walther</t>
  </si>
  <si>
    <t>1978-003492</t>
  </si>
  <si>
    <t>240/412</t>
  </si>
  <si>
    <t>1978-003493</t>
  </si>
  <si>
    <t>240/414</t>
  </si>
  <si>
    <t>1978-003497</t>
  </si>
  <si>
    <t>240/422</t>
  </si>
  <si>
    <t>1978-003561</t>
  </si>
  <si>
    <t>240/522</t>
  </si>
  <si>
    <t>1978-004102</t>
  </si>
  <si>
    <t>242/410</t>
  </si>
  <si>
    <t>Lillie A. Campbell,
Lillie A. Hambrook</t>
  </si>
  <si>
    <t>1978-004103</t>
  </si>
  <si>
    <t>242/412</t>
  </si>
  <si>
    <t>1978-004315</t>
  </si>
  <si>
    <t>243/141</t>
  </si>
  <si>
    <t>1978-005128</t>
  </si>
  <si>
    <t>245/472</t>
  </si>
  <si>
    <t>1978-005129</t>
  </si>
  <si>
    <t>245/473</t>
  </si>
  <si>
    <t>1978-005130</t>
  </si>
  <si>
    <t>245/474</t>
  </si>
  <si>
    <t>1978-005131</t>
  </si>
  <si>
    <t>245/475</t>
  </si>
  <si>
    <t>1978-005132</t>
  </si>
  <si>
    <t>245/476</t>
  </si>
  <si>
    <t>1978-005133</t>
  </si>
  <si>
    <t>245/477</t>
  </si>
  <si>
    <t>1978-005134</t>
  </si>
  <si>
    <t>245/478</t>
  </si>
  <si>
    <t>1978-005135</t>
  </si>
  <si>
    <t>245/479</t>
  </si>
  <si>
    <t>1978-005136</t>
  </si>
  <si>
    <t>245/480</t>
  </si>
  <si>
    <t>1978-005137</t>
  </si>
  <si>
    <t>245/481</t>
  </si>
  <si>
    <t>Juanita M. Wolfe</t>
  </si>
  <si>
    <t>1978-005257</t>
  </si>
  <si>
    <t>246/151</t>
  </si>
  <si>
    <t>1978-005310</t>
  </si>
  <si>
    <t>246/233</t>
  </si>
  <si>
    <t>C. W. Dobbins &amp; Sons, Inc.</t>
  </si>
  <si>
    <t>1978-005884</t>
  </si>
  <si>
    <t>248/236</t>
  </si>
  <si>
    <t>NW/4 NE/4 of 31-12N-24W, aol</t>
  </si>
  <si>
    <t>1978-005886</t>
  </si>
  <si>
    <t>248/240</t>
  </si>
  <si>
    <t>1978-007974</t>
  </si>
  <si>
    <t>254/555</t>
  </si>
  <si>
    <t>1979-001572</t>
  </si>
  <si>
    <t>262/460</t>
  </si>
  <si>
    <t>Freeda Kirk</t>
  </si>
  <si>
    <t>Rod Kirk</t>
  </si>
  <si>
    <t>1979-002206</t>
  </si>
  <si>
    <t>264/428</t>
  </si>
  <si>
    <t>Lillie Campbell</t>
  </si>
  <si>
    <t>Letty Atha,
Virgil Hambrook,
The Public</t>
  </si>
  <si>
    <t>1979-002207</t>
  </si>
  <si>
    <t>264/432</t>
  </si>
  <si>
    <t>Oklahoma Tax Commission</t>
  </si>
  <si>
    <t>Estate of Lillie Mae Campbell</t>
  </si>
  <si>
    <t>1979-002364</t>
  </si>
  <si>
    <t>265/81</t>
  </si>
  <si>
    <t>1979-003905</t>
  </si>
  <si>
    <t>271/443</t>
  </si>
  <si>
    <t>Letty Atha,
Virgil Hambrook</t>
  </si>
  <si>
    <t>1979-004016</t>
  </si>
  <si>
    <t>272/42</t>
  </si>
  <si>
    <t>Elmo W. Kirk</t>
  </si>
  <si>
    <t>Freeda Kirk,
The Public</t>
  </si>
  <si>
    <t>1979-004021</t>
  </si>
  <si>
    <t>272/51</t>
  </si>
  <si>
    <t>Herman M. Sidees,
Laury C. Sidees</t>
  </si>
  <si>
    <t>1979-004050</t>
  </si>
  <si>
    <t>272/124</t>
  </si>
  <si>
    <t>Apache Corp</t>
  </si>
  <si>
    <t>1979-004258</t>
  </si>
  <si>
    <t>273/10</t>
  </si>
  <si>
    <t>Herman M. Sides,
Laury C. Sides</t>
  </si>
  <si>
    <t>1979-004881</t>
  </si>
  <si>
    <t>274/566</t>
  </si>
  <si>
    <t>Alpine Oil &amp; Royalty Company Incorporated</t>
  </si>
  <si>
    <t>1979-005006</t>
  </si>
  <si>
    <t>275/168</t>
  </si>
  <si>
    <t>1979-005007</t>
  </si>
  <si>
    <t>275/170</t>
  </si>
  <si>
    <t>1979-005655</t>
  </si>
  <si>
    <t>277/64</t>
  </si>
  <si>
    <t>Panhandle Cooperative Royalty Co</t>
  </si>
  <si>
    <t>Panhandle Royalty Co</t>
  </si>
  <si>
    <t>1979-006593</t>
  </si>
  <si>
    <t>280/42</t>
  </si>
  <si>
    <t>W. C. Bain Jr.</t>
  </si>
  <si>
    <t>1979-006913</t>
  </si>
  <si>
    <t>281/126</t>
  </si>
  <si>
    <t>1980-002071</t>
  </si>
  <si>
    <t>290/78</t>
  </si>
  <si>
    <t>1980-002413</t>
  </si>
  <si>
    <t>291/149</t>
  </si>
  <si>
    <t>Amarex, Inc.</t>
  </si>
  <si>
    <t>1980-004149</t>
  </si>
  <si>
    <t>296/585</t>
  </si>
  <si>
    <t>Flag-redfern Oil Company</t>
  </si>
  <si>
    <t>1980-004634</t>
  </si>
  <si>
    <t>298/320</t>
  </si>
  <si>
    <t>Bovaird Supply Co</t>
  </si>
  <si>
    <t>1980-006290</t>
  </si>
  <si>
    <t>303/363</t>
  </si>
  <si>
    <t>Rodney L. Kirk</t>
  </si>
  <si>
    <t>1980-006291</t>
  </si>
  <si>
    <t>303/364</t>
  </si>
  <si>
    <t>1980-006466</t>
  </si>
  <si>
    <t>304/35</t>
  </si>
  <si>
    <t>1981-003167</t>
  </si>
  <si>
    <t>331/11</t>
  </si>
  <si>
    <t>1981-003445</t>
  </si>
  <si>
    <t>332/238</t>
  </si>
  <si>
    <t>Moore-stansberry, Inc.</t>
  </si>
  <si>
    <t>1981-005180</t>
  </si>
  <si>
    <t>341/154</t>
  </si>
  <si>
    <t>Glenn D. Mitchel,
Hazel P. Mitchel</t>
  </si>
  <si>
    <t>Nolan E. Britton, Inc.</t>
  </si>
  <si>
    <t>1981-005181</t>
  </si>
  <si>
    <t>341/155</t>
  </si>
  <si>
    <t>Chinook Resources, Inc.</t>
  </si>
  <si>
    <t>1981-007481</t>
  </si>
  <si>
    <t>355/341</t>
  </si>
  <si>
    <t>Leede Exploration</t>
  </si>
  <si>
    <t>1981-009501</t>
  </si>
  <si>
    <t>368/272</t>
  </si>
  <si>
    <t>Brent L. Schooley</t>
  </si>
  <si>
    <t>1981-011348</t>
  </si>
  <si>
    <t>380/104</t>
  </si>
  <si>
    <t>1981-011365</t>
  </si>
  <si>
    <t>380/121</t>
  </si>
  <si>
    <t>1981-011564</t>
  </si>
  <si>
    <t>381/171</t>
  </si>
  <si>
    <t>1981-011846</t>
  </si>
  <si>
    <t>383/1</t>
  </si>
  <si>
    <t>El Paso Exploration Co</t>
  </si>
  <si>
    <t>1981-013847</t>
  </si>
  <si>
    <t>398/176</t>
  </si>
  <si>
    <t>1982-000608</t>
  </si>
  <si>
    <t>410/76</t>
  </si>
  <si>
    <t>1982-001029</t>
  </si>
  <si>
    <t>412/282</t>
  </si>
  <si>
    <t>1982-001703</t>
  </si>
  <si>
    <t>417/121</t>
  </si>
  <si>
    <t>1982-002776</t>
  </si>
  <si>
    <t>423/78</t>
  </si>
  <si>
    <t>1982-003363</t>
  </si>
  <si>
    <t>426/103</t>
  </si>
  <si>
    <t>1982-003751</t>
  </si>
  <si>
    <t>428/243</t>
  </si>
  <si>
    <t>Mann Childrens Trust,
Walter J. Rusek, Trustee</t>
  </si>
  <si>
    <t>1982-004342</t>
  </si>
  <si>
    <t>432/110</t>
  </si>
  <si>
    <t>Michelle Sorenson Johnson, Trustee,
Sorenson Oil &amp; Gas Trust,
Marchelle Sorenson Uaigle, Trustee</t>
  </si>
  <si>
    <t>1982-004658</t>
  </si>
  <si>
    <t>434/163</t>
  </si>
  <si>
    <t>Farmers Home Administration</t>
  </si>
  <si>
    <t>1982-005195</t>
  </si>
  <si>
    <t>437/206</t>
  </si>
  <si>
    <t>Ella Pearl Kirk,
Gordon H. Kirk</t>
  </si>
  <si>
    <t>1982-005352</t>
  </si>
  <si>
    <t>438/128</t>
  </si>
  <si>
    <t>1982-005357</t>
  </si>
  <si>
    <t>438/133</t>
  </si>
  <si>
    <t>1982-005721</t>
  </si>
  <si>
    <t>440/99</t>
  </si>
  <si>
    <t>1982-005993</t>
  </si>
  <si>
    <t>442/105</t>
  </si>
  <si>
    <t>Marchelle Sorenson Daigle, Trustee,
Michelle Sorenson Johnson,
Sorenson Oil &amp; Gas Trust</t>
  </si>
  <si>
    <t>1982-005994</t>
  </si>
  <si>
    <t>442/107</t>
  </si>
  <si>
    <t>Adams Litle, Inc.</t>
  </si>
  <si>
    <t>Energy Reserves Group, Inc.</t>
  </si>
  <si>
    <t>1982-005996</t>
  </si>
  <si>
    <t>442/109</t>
  </si>
  <si>
    <t>1982-005997</t>
  </si>
  <si>
    <t>442/110</t>
  </si>
  <si>
    <t>1982-006217</t>
  </si>
  <si>
    <t>443/310</t>
  </si>
  <si>
    <t>Baker Logsdon &amp; Phelps,
Harold Logsdon</t>
  </si>
  <si>
    <t>1982-006218</t>
  </si>
  <si>
    <t>443/311</t>
  </si>
  <si>
    <t>1982-007158</t>
  </si>
  <si>
    <t>451/176</t>
  </si>
  <si>
    <t>1982-007341</t>
  </si>
  <si>
    <t>452/212</t>
  </si>
  <si>
    <t>1982-008742</t>
  </si>
  <si>
    <t>462/216</t>
  </si>
  <si>
    <t>Michigan Wisconsin Pipe Line Co</t>
  </si>
  <si>
    <t>Ann Production Co,
Forest Oil Corp</t>
  </si>
  <si>
    <t>1982-010547</t>
  </si>
  <si>
    <t>475/235</t>
  </si>
  <si>
    <t>Richland Resources Corp</t>
  </si>
  <si>
    <t>J. Walter Duncan Jr.</t>
  </si>
  <si>
    <t>1982-011142</t>
  </si>
  <si>
    <t>480/70</t>
  </si>
  <si>
    <t>Barbara J. Bain,
Billy W. Bain</t>
  </si>
  <si>
    <t>1982-011143</t>
  </si>
  <si>
    <t>480/71</t>
  </si>
  <si>
    <t>1982-011144</t>
  </si>
  <si>
    <t>480/72</t>
  </si>
  <si>
    <t>1983-001668</t>
  </si>
  <si>
    <t>512/61</t>
  </si>
  <si>
    <t>1983-001669</t>
  </si>
  <si>
    <t>512/65</t>
  </si>
  <si>
    <t>Billy Wayne Bain, Trustee,
Hazel A. Trust Hamilton</t>
  </si>
  <si>
    <t>O. K. Oil Venture</t>
  </si>
  <si>
    <t>1983-001671</t>
  </si>
  <si>
    <t>512/67</t>
  </si>
  <si>
    <t>Jesse G. French</t>
  </si>
  <si>
    <t>Lois B. French,
The Public</t>
  </si>
  <si>
    <t>1983-001869</t>
  </si>
  <si>
    <t>513/101</t>
  </si>
  <si>
    <t>1983-002348</t>
  </si>
  <si>
    <t>517/134</t>
  </si>
  <si>
    <t>1983-002349</t>
  </si>
  <si>
    <t>517/135</t>
  </si>
  <si>
    <t>John R. Bringle</t>
  </si>
  <si>
    <t>1983-002350</t>
  </si>
  <si>
    <t>517/136</t>
  </si>
  <si>
    <t>1983-002351</t>
  </si>
  <si>
    <t>517/137</t>
  </si>
  <si>
    <t>1983-002352</t>
  </si>
  <si>
    <t>517/138</t>
  </si>
  <si>
    <t>1983-002495</t>
  </si>
  <si>
    <t>519/208</t>
  </si>
  <si>
    <t>1983-002623</t>
  </si>
  <si>
    <t>520/232</t>
  </si>
  <si>
    <t>1983-003111</t>
  </si>
  <si>
    <t>526/273</t>
  </si>
  <si>
    <t>El Paso Exploration Co,
El Paso Natural Gas Co</t>
  </si>
  <si>
    <t>Forest Oil Corp</t>
  </si>
  <si>
    <t>1983-003752</t>
  </si>
  <si>
    <t>532/106</t>
  </si>
  <si>
    <t>Cities Service Co</t>
  </si>
  <si>
    <t>Cities Service Oil &amp; Gas Corp</t>
  </si>
  <si>
    <t>1983-003792</t>
  </si>
  <si>
    <t>532/231</t>
  </si>
  <si>
    <t>1983-003793</t>
  </si>
  <si>
    <t>532/233</t>
  </si>
  <si>
    <t>1983-003961</t>
  </si>
  <si>
    <t>534/53</t>
  </si>
  <si>
    <t>1983-003962</t>
  </si>
  <si>
    <t>534/55</t>
  </si>
  <si>
    <t>1983-005001</t>
  </si>
  <si>
    <t>544/221</t>
  </si>
  <si>
    <t>J. Wlater Duncan Jr.</t>
  </si>
  <si>
    <t>Louis McKee Ford,
Ford, Louis McKee Living Trust</t>
  </si>
  <si>
    <t>1983-005956</t>
  </si>
  <si>
    <t>552/190</t>
  </si>
  <si>
    <t>1983-005957</t>
  </si>
  <si>
    <t>552/192</t>
  </si>
  <si>
    <t>Joseph A. Doninguez</t>
  </si>
  <si>
    <t>Leasehold / WI | OCR variant? 'Doninguez' cf. 'Dominguez'</t>
  </si>
  <si>
    <t>1983-005958</t>
  </si>
  <si>
    <t>552/193</t>
  </si>
  <si>
    <t>1983-005959</t>
  </si>
  <si>
    <t>552/195</t>
  </si>
  <si>
    <t>1983-006435</t>
  </si>
  <si>
    <t>556/272</t>
  </si>
  <si>
    <t>Cities Service Company,
Dyco Petroleum Corporation</t>
  </si>
  <si>
    <t>Federal Land Bank of Wichita,
Panhandle Cooperative Royalty Co</t>
  </si>
  <si>
    <t>1983-009092</t>
  </si>
  <si>
    <t>579/284</t>
  </si>
  <si>
    <t>1983-009093</t>
  </si>
  <si>
    <t>579/286</t>
  </si>
  <si>
    <t>1983-009331</t>
  </si>
  <si>
    <t>581/225</t>
  </si>
  <si>
    <t>Paul Hughes</t>
  </si>
  <si>
    <t>1984-001299</t>
  </si>
  <si>
    <t>593/177</t>
  </si>
  <si>
    <t>Alpine Oil &amp; Royalty, Inc.</t>
  </si>
  <si>
    <t>1984-001346</t>
  </si>
  <si>
    <t>593/301</t>
  </si>
  <si>
    <t>1984-001673</t>
  </si>
  <si>
    <t>595/247</t>
  </si>
  <si>
    <t>1984-001674</t>
  </si>
  <si>
    <t>595/249</t>
  </si>
  <si>
    <t>1984-001675</t>
  </si>
  <si>
    <t>595/251</t>
  </si>
  <si>
    <t>1984-001676</t>
  </si>
  <si>
    <t>595/253</t>
  </si>
  <si>
    <t>1984-001677</t>
  </si>
  <si>
    <t>595/255</t>
  </si>
  <si>
    <t>1984-001679</t>
  </si>
  <si>
    <t>595/259</t>
  </si>
  <si>
    <t>1984-001680</t>
  </si>
  <si>
    <t>595/261</t>
  </si>
  <si>
    <t>1984-001681</t>
  </si>
  <si>
    <t>595/263</t>
  </si>
  <si>
    <t>1984-001682</t>
  </si>
  <si>
    <t>595/265</t>
  </si>
  <si>
    <t>William Cobal Bain Jr.</t>
  </si>
  <si>
    <t>1984-001683</t>
  </si>
  <si>
    <t>595/267</t>
  </si>
  <si>
    <t>Billy Wayne Bain, Trustee,
William Cobal Bain Jr., Trustee,
William C. Trust Bain</t>
  </si>
  <si>
    <t>1984-001750</t>
  </si>
  <si>
    <t>596/104</t>
  </si>
  <si>
    <t>William Cobal Bain Jr., Trustee</t>
  </si>
  <si>
    <t>1984-001751</t>
  </si>
  <si>
    <t>596/106</t>
  </si>
  <si>
    <t>1984-001752</t>
  </si>
  <si>
    <t>596/108</t>
  </si>
  <si>
    <t>1984-001753</t>
  </si>
  <si>
    <t>596/110</t>
  </si>
  <si>
    <t>1984-001867</t>
  </si>
  <si>
    <t>597/18</t>
  </si>
  <si>
    <t>1984-001901</t>
  </si>
  <si>
    <t>597/113</t>
  </si>
  <si>
    <t>Deborah A. Deutsch,
Paul R. Deutsch</t>
  </si>
  <si>
    <t>1984-002100</t>
  </si>
  <si>
    <t>598/258</t>
  </si>
  <si>
    <t>1984-002212</t>
  </si>
  <si>
    <t>599/167</t>
  </si>
  <si>
    <t>1984-002528</t>
  </si>
  <si>
    <t>601/252</t>
  </si>
  <si>
    <t>1984-002529</t>
  </si>
  <si>
    <t>601/254</t>
  </si>
  <si>
    <t>1984-002532</t>
  </si>
  <si>
    <t>601/260</t>
  </si>
  <si>
    <t>1984-002563</t>
  </si>
  <si>
    <t>602/21</t>
  </si>
  <si>
    <t>Apc Operating Partnership</t>
  </si>
  <si>
    <t>1984-002940</t>
  </si>
  <si>
    <t>604/330</t>
  </si>
  <si>
    <t>Linda L. Baker,
Phillip R. Baker,
Shirley J. Baker,
Wallace E. Baker</t>
  </si>
  <si>
    <t>1984-002941</t>
  </si>
  <si>
    <t>604/331</t>
  </si>
  <si>
    <t>O. I. L. Energy, Inc.</t>
  </si>
  <si>
    <t>1984-002943</t>
  </si>
  <si>
    <t>604/350</t>
  </si>
  <si>
    <t>E/2 NW/4 of 31-12N-24W, aol</t>
  </si>
  <si>
    <t>1984-002948</t>
  </si>
  <si>
    <t>605/27</t>
  </si>
  <si>
    <t>Robert H. Frazier,
Clyde A. Pine,
Charles D. Ray</t>
  </si>
  <si>
    <t>1984-003786</t>
  </si>
  <si>
    <t>611/58</t>
  </si>
  <si>
    <t>David S. Silverberry</t>
  </si>
  <si>
    <t>1984-009002</t>
  </si>
  <si>
    <t>650/145</t>
  </si>
  <si>
    <t>Entex Energy Operating, Ltd.</t>
  </si>
  <si>
    <t>1984-009873</t>
  </si>
  <si>
    <t>658/241</t>
  </si>
  <si>
    <t>Mary Margaret Devenas,
Mary Margaret Wilson</t>
  </si>
  <si>
    <t>1984-010210</t>
  </si>
  <si>
    <t>662/34</t>
  </si>
  <si>
    <t>Sohio Petroleum Co</t>
  </si>
  <si>
    <t>1985-000160</t>
  </si>
  <si>
    <t>684/127</t>
  </si>
  <si>
    <t>1985-000800</t>
  </si>
  <si>
    <t>692/30</t>
  </si>
  <si>
    <t>1985-001211</t>
  </si>
  <si>
    <t>696/139</t>
  </si>
  <si>
    <t>Commonwealth Royalties, Inc.</t>
  </si>
  <si>
    <t>1985-002380</t>
  </si>
  <si>
    <t>708/15</t>
  </si>
  <si>
    <t>Sendero Corp</t>
  </si>
  <si>
    <t>1985-002388</t>
  </si>
  <si>
    <t>708/33</t>
  </si>
  <si>
    <t>1985-002391</t>
  </si>
  <si>
    <t>708/39</t>
  </si>
  <si>
    <t>1985-002392</t>
  </si>
  <si>
    <t>708/41</t>
  </si>
  <si>
    <t>1985-002393</t>
  </si>
  <si>
    <t>708/43</t>
  </si>
  <si>
    <t>Billy Wayne Bain, Trustee,
Hazel A. Hamilton</t>
  </si>
  <si>
    <t>1985-002394</t>
  </si>
  <si>
    <t>708/45</t>
  </si>
  <si>
    <t>1985-002398</t>
  </si>
  <si>
    <t>708/53</t>
  </si>
  <si>
    <t>1985-002403</t>
  </si>
  <si>
    <t>708/63</t>
  </si>
  <si>
    <t>1985-002405</t>
  </si>
  <si>
    <t>708/67</t>
  </si>
  <si>
    <t>1985-002406</t>
  </si>
  <si>
    <t>708/69</t>
  </si>
  <si>
    <t>William Cobal Bain Jr., Trustee,
Crystal F. Pallo</t>
  </si>
  <si>
    <t>1985-002407</t>
  </si>
  <si>
    <t>708/71</t>
  </si>
  <si>
    <t>Billy Wayne Bain, Trustee,
William C. Dcd Bain,
William Cobal Bain Jr., Trustee,
William C. Trust Bain</t>
  </si>
  <si>
    <t>1985-002650</t>
  </si>
  <si>
    <t>710/34</t>
  </si>
  <si>
    <t>Continental Illinois Energy Development Corp</t>
  </si>
  <si>
    <t>1985-002660</t>
  </si>
  <si>
    <t>710/69</t>
  </si>
  <si>
    <t>1985-002661</t>
  </si>
  <si>
    <t>710/71</t>
  </si>
  <si>
    <t>1985-002819</t>
  </si>
  <si>
    <t>711/247</t>
  </si>
  <si>
    <t>1985-003205</t>
  </si>
  <si>
    <t>716/54</t>
  </si>
  <si>
    <t>Kidde, Inc.</t>
  </si>
  <si>
    <t>1985-004439</t>
  </si>
  <si>
    <t>729/188</t>
  </si>
  <si>
    <t>1985-005702</t>
  </si>
  <si>
    <t>743/245</t>
  </si>
  <si>
    <t>1985-005895</t>
  </si>
  <si>
    <t>745/75</t>
  </si>
  <si>
    <t>Roger Mills County Sheriff</t>
  </si>
  <si>
    <t>City National Bank of Sayre</t>
  </si>
  <si>
    <t>1985-006556</t>
  </si>
  <si>
    <t>751/68</t>
  </si>
  <si>
    <t>1985-007068</t>
  </si>
  <si>
    <t>756/16</t>
  </si>
  <si>
    <t>C. W. Dcd Hall,
Liberty National Bank &amp; Trust Company Trustee</t>
  </si>
  <si>
    <t>Darlene Hall Cox,
Sunya Lee Westkaemper</t>
  </si>
  <si>
    <t>1985-007096</t>
  </si>
  <si>
    <t>756/79</t>
  </si>
  <si>
    <t>1985-007545</t>
  </si>
  <si>
    <t>760/202</t>
  </si>
  <si>
    <t>1985-000060</t>
  </si>
  <si>
    <t>583/234</t>
  </si>
  <si>
    <t>1985-000061</t>
  </si>
  <si>
    <t>583/236</t>
  </si>
  <si>
    <t>1986-000268</t>
  </si>
  <si>
    <t>781/183</t>
  </si>
  <si>
    <t>Mann Group Investment Company</t>
  </si>
  <si>
    <t>1986-000656</t>
  </si>
  <si>
    <t>786/270</t>
  </si>
  <si>
    <t>Black Hawk Oil Company</t>
  </si>
  <si>
    <t>1986-003428</t>
  </si>
  <si>
    <t>815/191</t>
  </si>
  <si>
    <t>1986-004245</t>
  </si>
  <si>
    <t>825/181</t>
  </si>
  <si>
    <t>Continental Illinois National Bank &amp; Trust Co,
Teresa Rothbauer, Trustee,
L. R. Winslow, Trustee</t>
  </si>
  <si>
    <t>Nolan E. Britton, Inc.,
Edwin L. Sanve,
Ilena Sanve</t>
  </si>
  <si>
    <t>1986-004476</t>
  </si>
  <si>
    <t>829/7</t>
  </si>
  <si>
    <t>1986-005223</t>
  </si>
  <si>
    <t>837/199</t>
  </si>
  <si>
    <t>Ted L. Herbold</t>
  </si>
  <si>
    <t>1986-005341</t>
  </si>
  <si>
    <t>839/100</t>
  </si>
  <si>
    <t>Proven Properties, Inc.</t>
  </si>
  <si>
    <t>1986-005971</t>
  </si>
  <si>
    <t>846/236</t>
  </si>
  <si>
    <t>1987-000496</t>
  </si>
  <si>
    <t>858/277</t>
  </si>
  <si>
    <t>1987-002610</t>
  </si>
  <si>
    <t>883/168</t>
  </si>
  <si>
    <t>Theodore L. Herbold</t>
  </si>
  <si>
    <t>1987-003826</t>
  </si>
  <si>
    <t>897/244</t>
  </si>
  <si>
    <t>Cimarron Mineral Corp</t>
  </si>
  <si>
    <t>1987-003977</t>
  </si>
  <si>
    <t>898/285</t>
  </si>
  <si>
    <t>1987-003978</t>
  </si>
  <si>
    <t>898/287</t>
  </si>
  <si>
    <t>1987-004839</t>
  </si>
  <si>
    <t>906/204</t>
  </si>
  <si>
    <t>1987-005035</t>
  </si>
  <si>
    <t>908/162</t>
  </si>
  <si>
    <t>Anson Co</t>
  </si>
  <si>
    <t>1987-005036</t>
  </si>
  <si>
    <t>908/163</t>
  </si>
  <si>
    <t>1987-005038</t>
  </si>
  <si>
    <t>908/166</t>
  </si>
  <si>
    <t>1987-005625</t>
  </si>
  <si>
    <t>913/261</t>
  </si>
  <si>
    <t>Billy N. Bein</t>
  </si>
  <si>
    <t>Bary Ellen Sitzman</t>
  </si>
  <si>
    <t>1987-006730</t>
  </si>
  <si>
    <t>924/136</t>
  </si>
  <si>
    <t>Paul S. Taylor</t>
  </si>
  <si>
    <t>1987-006731</t>
  </si>
  <si>
    <t>924/138</t>
  </si>
  <si>
    <t>David Slobin</t>
  </si>
  <si>
    <t>1987-006732</t>
  </si>
  <si>
    <t>924/139</t>
  </si>
  <si>
    <t>1987-007491</t>
  </si>
  <si>
    <t>932/8</t>
  </si>
  <si>
    <t>Park Avenue Exploration Corp</t>
  </si>
  <si>
    <t>1987-007492</t>
  </si>
  <si>
    <t>932/11</t>
  </si>
  <si>
    <t>1987-007493</t>
  </si>
  <si>
    <t>932/14</t>
  </si>
  <si>
    <t>J. &amp; M. Investment Co</t>
  </si>
  <si>
    <t>1987-007680</t>
  </si>
  <si>
    <t>933/226</t>
  </si>
  <si>
    <t>1987-007920</t>
  </si>
  <si>
    <t>935/274</t>
  </si>
  <si>
    <t>1988-000257</t>
  </si>
  <si>
    <t>941/4</t>
  </si>
  <si>
    <t>1988-000762</t>
  </si>
  <si>
    <t>946/223</t>
  </si>
  <si>
    <t>Kaiser Francis Oil Co</t>
  </si>
  <si>
    <t>1988-002747</t>
  </si>
  <si>
    <t>966/90</t>
  </si>
  <si>
    <t>1988-004185</t>
  </si>
  <si>
    <t>981/2</t>
  </si>
  <si>
    <t>Eta-flag Royalty Trust,
First City National Bank of Midland Trustee</t>
  </si>
  <si>
    <t>N/2 NE/4, W/2 NW/4 of 31-12N-24W, aol</t>
  </si>
  <si>
    <t>1988-004266</t>
  </si>
  <si>
    <t>981/285</t>
  </si>
  <si>
    <t>1988-004268</t>
  </si>
  <si>
    <t>981/289</t>
  </si>
  <si>
    <t>1988-004401</t>
  </si>
  <si>
    <t>983/128</t>
  </si>
  <si>
    <t>Estate of Maragaret Standiford Gray,
Fred A. Standiford Jr.</t>
  </si>
  <si>
    <t>1988-004480</t>
  </si>
  <si>
    <t>984/181</t>
  </si>
  <si>
    <t>1988-004481</t>
  </si>
  <si>
    <t>984/183</t>
  </si>
  <si>
    <t>Michael Lee Bain</t>
  </si>
  <si>
    <t>1988-004482</t>
  </si>
  <si>
    <t>984/185</t>
  </si>
  <si>
    <t>1988-004483</t>
  </si>
  <si>
    <t>984/187</t>
  </si>
  <si>
    <t>Ronald Dean Bain</t>
  </si>
  <si>
    <t>1988-004635</t>
  </si>
  <si>
    <t>986/185</t>
  </si>
  <si>
    <t>Margaret Gray</t>
  </si>
  <si>
    <t>The Public,
Fred A. Standiford Jr.</t>
  </si>
  <si>
    <t>1988-004637</t>
  </si>
  <si>
    <t>986/196</t>
  </si>
  <si>
    <t>Powell Interiors, Inc.</t>
  </si>
  <si>
    <t>Estate of Margaret Dcd Gray</t>
  </si>
  <si>
    <t>1988-005491</t>
  </si>
  <si>
    <t>996/106</t>
  </si>
  <si>
    <t>1988-005620</t>
  </si>
  <si>
    <t>998/204</t>
  </si>
  <si>
    <t>Cimarron Mineral Corporation</t>
  </si>
  <si>
    <t>Inter-american Corporation</t>
  </si>
  <si>
    <t>1988-006565</t>
  </si>
  <si>
    <t>1009/25</t>
  </si>
  <si>
    <t>1989-000319</t>
  </si>
  <si>
    <t>1028/163</t>
  </si>
  <si>
    <t>1989-000320</t>
  </si>
  <si>
    <t>1028/165</t>
  </si>
  <si>
    <t>1989-000321</t>
  </si>
  <si>
    <t>1028/169</t>
  </si>
  <si>
    <t>1989-000322</t>
  </si>
  <si>
    <t>1028/173</t>
  </si>
  <si>
    <t>1989-000323</t>
  </si>
  <si>
    <t>1028/177</t>
  </si>
  <si>
    <t>1989-000424</t>
  </si>
  <si>
    <t>1030/176</t>
  </si>
  <si>
    <t>Bank of Western Oklahoma</t>
  </si>
  <si>
    <t>1989-001061</t>
  </si>
  <si>
    <t>1037/64</t>
  </si>
  <si>
    <t>1989-001220</t>
  </si>
  <si>
    <t>1038/219</t>
  </si>
  <si>
    <t>Shaun S. Walters</t>
  </si>
  <si>
    <t>1989-001559</t>
  </si>
  <si>
    <t>1042/126</t>
  </si>
  <si>
    <t>Murrell A. Gray</t>
  </si>
  <si>
    <t>Allen Gray,
The Public</t>
  </si>
  <si>
    <t>1989-001842</t>
  </si>
  <si>
    <t>1045/6</t>
  </si>
  <si>
    <t>Alan W. Noyos</t>
  </si>
  <si>
    <t>Mark S. Britton,
Nelson E. Britton,
Jericho-britton,
Nolan E. Britton, Inc.,
Txo Production Corporation,
Valero Producing Company</t>
  </si>
  <si>
    <t>1989-002065</t>
  </si>
  <si>
    <t>1047/68</t>
  </si>
  <si>
    <t>Black Hawk Holding Company,
Roland E. Sledge</t>
  </si>
  <si>
    <t>1989-002320</t>
  </si>
  <si>
    <t>1049/289</t>
  </si>
  <si>
    <t>1989-002321</t>
  </si>
  <si>
    <t>1049/291</t>
  </si>
  <si>
    <t>1989-002322</t>
  </si>
  <si>
    <t>1049/293</t>
  </si>
  <si>
    <t>1989-002323</t>
  </si>
  <si>
    <t>1049/295</t>
  </si>
  <si>
    <t>1989-002559</t>
  </si>
  <si>
    <t>1052/154</t>
  </si>
  <si>
    <t>1989-003258</t>
  </si>
  <si>
    <t>1059/241</t>
  </si>
  <si>
    <t>1989-003645</t>
  </si>
  <si>
    <t>1063/212</t>
  </si>
  <si>
    <t>City National Bank</t>
  </si>
  <si>
    <t>1989-003715</t>
  </si>
  <si>
    <t>1064/168</t>
  </si>
  <si>
    <t>1989-004252</t>
  </si>
  <si>
    <t>1070/194</t>
  </si>
  <si>
    <t>Juanita Wolff</t>
  </si>
  <si>
    <t>1989-004248</t>
  </si>
  <si>
    <t>1070/182</t>
  </si>
  <si>
    <t>1989-004249</t>
  </si>
  <si>
    <t>1070/185</t>
  </si>
  <si>
    <t>Clarence Bain</t>
  </si>
  <si>
    <t>1989-004250</t>
  </si>
  <si>
    <t>1070/188</t>
  </si>
  <si>
    <t>Carl Leon Bain</t>
  </si>
  <si>
    <t>1989-004251</t>
  </si>
  <si>
    <t>1070/191</t>
  </si>
  <si>
    <t>1989-004253</t>
  </si>
  <si>
    <t>1070/197</t>
  </si>
  <si>
    <t>Hazel Hamilton</t>
  </si>
  <si>
    <t>1989-004254</t>
  </si>
  <si>
    <t>1070/200</t>
  </si>
  <si>
    <t>Opal Fuchs</t>
  </si>
  <si>
    <t>1989-004255</t>
  </si>
  <si>
    <t>1070/203</t>
  </si>
  <si>
    <t>Wilda Jensen</t>
  </si>
  <si>
    <t>1989-004256</t>
  </si>
  <si>
    <t>1070/206</t>
  </si>
  <si>
    <t>Crystal Pallo</t>
  </si>
  <si>
    <t>1989-004295</t>
  </si>
  <si>
    <t>1070/298</t>
  </si>
  <si>
    <t>First National Bank of Sayre</t>
  </si>
  <si>
    <t>Billy W. Bain,
Carl L. Bain,
Clarence C. Bain,
Hazel A. Hamilton,
Juanita Wolff</t>
  </si>
  <si>
    <t>1989-004361</t>
  </si>
  <si>
    <t>1072/136</t>
  </si>
  <si>
    <t>Geneeral Energy Operating, Ltd.</t>
  </si>
  <si>
    <t>General LP Acquisition, Inc.</t>
  </si>
  <si>
    <t>1989-005584</t>
  </si>
  <si>
    <t>1086/223</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</si>
  <si>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</si>
  <si>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1989-005585</t>
  </si>
  <si>
    <t>1087/1</t>
  </si>
  <si>
    <t>Termo Co</t>
  </si>
  <si>
    <t>1989-005656</t>
  </si>
  <si>
    <t>1088/5</t>
  </si>
  <si>
    <t>Eula M. Bain</t>
  </si>
  <si>
    <t>Billy Wayne Bain,
The Public</t>
  </si>
  <si>
    <t>1989-005730</t>
  </si>
  <si>
    <t>1089/174</t>
  </si>
  <si>
    <t>1989-005731</t>
  </si>
  <si>
    <t>1089/176</t>
  </si>
  <si>
    <t>Ford, Louis McKee Living Trust,
Louis McKee for, Trustee</t>
  </si>
  <si>
    <t>1989-005860</t>
  </si>
  <si>
    <t>1090/217</t>
  </si>
  <si>
    <t>1989-006590</t>
  </si>
  <si>
    <t>1100/48</t>
  </si>
  <si>
    <t>Bluebonnet Investments, Ltd.</t>
  </si>
  <si>
    <t>1989-006908</t>
  </si>
  <si>
    <t>1103/152</t>
  </si>
  <si>
    <t>1989-006910</t>
  </si>
  <si>
    <t>1103/156</t>
  </si>
  <si>
    <t>1989-007000</t>
  </si>
  <si>
    <t>1104/87</t>
  </si>
  <si>
    <t>Ernest Jensen,
Wilda Jensen</t>
  </si>
  <si>
    <t>1989-007001</t>
  </si>
  <si>
    <t>1104/90</t>
  </si>
  <si>
    <t>1990-000386</t>
  </si>
  <si>
    <t>1109/291</t>
  </si>
  <si>
    <t>El Paso Natural Gas Company,
Meridian Oil Production, Inc.</t>
  </si>
  <si>
    <t>Carrie Leeann (minor) Mitchell,
John L. Guardian Mitchell,
Nancy Susan (minor) Mitchell,
Gena (minor) Williams,
Gene G. Guardian Williams,
Marvin Mitchell (minor) Williams</t>
  </si>
  <si>
    <t>1990-000534</t>
  </si>
  <si>
    <t>1111/182</t>
  </si>
  <si>
    <t>Barbara Fasken</t>
  </si>
  <si>
    <t>1990-000535</t>
  </si>
  <si>
    <t>1111/219</t>
  </si>
  <si>
    <t>1990-000536</t>
  </si>
  <si>
    <t>1111/223</t>
  </si>
  <si>
    <t>Ed Orr &amp; Associates</t>
  </si>
  <si>
    <t>1990-000537</t>
  </si>
  <si>
    <t>1111/225</t>
  </si>
  <si>
    <t>1990-000538</t>
  </si>
  <si>
    <t>1111/227</t>
  </si>
  <si>
    <t>1990-000539</t>
  </si>
  <si>
    <t>1111/229</t>
  </si>
  <si>
    <t>1990-000540</t>
  </si>
  <si>
    <t>1111/231</t>
  </si>
  <si>
    <t>1990-000549</t>
  </si>
  <si>
    <t>1111/244</t>
  </si>
  <si>
    <t>1990-000550</t>
  </si>
  <si>
    <t>1111/246</t>
  </si>
  <si>
    <t>1990-000551</t>
  </si>
  <si>
    <t>1111/247</t>
  </si>
  <si>
    <t>1990-000553</t>
  </si>
  <si>
    <t>1111/253</t>
  </si>
  <si>
    <t>William C. Trust Bain,
Opal L. Fuchs</t>
  </si>
  <si>
    <t>1990-000712</t>
  </si>
  <si>
    <t>1113/44</t>
  </si>
  <si>
    <t>Federal Deposit Insurance Corp</t>
  </si>
  <si>
    <t>1990-000905</t>
  </si>
  <si>
    <t>1114/222</t>
  </si>
  <si>
    <t>1990-000906</t>
  </si>
  <si>
    <t>1114/225</t>
  </si>
  <si>
    <t>1990-000907</t>
  </si>
  <si>
    <t>1114/228</t>
  </si>
  <si>
    <t>1990-000908</t>
  </si>
  <si>
    <t>1114/231</t>
  </si>
  <si>
    <t>1990-000909</t>
  </si>
  <si>
    <t>1114/234</t>
  </si>
  <si>
    <t>1990-000910</t>
  </si>
  <si>
    <t>1114/237</t>
  </si>
  <si>
    <t>1990-000911</t>
  </si>
  <si>
    <t>1114/240</t>
  </si>
  <si>
    <t>1990-000912</t>
  </si>
  <si>
    <t>1114/243</t>
  </si>
  <si>
    <t>1990-000913</t>
  </si>
  <si>
    <t>1114/246</t>
  </si>
  <si>
    <t>1990-001103</t>
  </si>
  <si>
    <t>1117/78</t>
  </si>
  <si>
    <t>Bp Exploration, Inc.</t>
  </si>
  <si>
    <t>Tex Con Oil &amp; Gas Co</t>
  </si>
  <si>
    <t>1990-001592</t>
  </si>
  <si>
    <t>1122/69</t>
  </si>
  <si>
    <t>Evan K. Fuchs</t>
  </si>
  <si>
    <t>1990-001651</t>
  </si>
  <si>
    <t>1122/191</t>
  </si>
  <si>
    <t>Apache Corporation</t>
  </si>
  <si>
    <t>1990-001652</t>
  </si>
  <si>
    <t>1122/192</t>
  </si>
  <si>
    <t>1990-001653</t>
  </si>
  <si>
    <t>1122/193</t>
  </si>
  <si>
    <t>Gene G. Guardian Williams,
Gene (minor) Williams,
Marvin Mitchell (minor) Williams</t>
  </si>
  <si>
    <t>1990-001654</t>
  </si>
  <si>
    <t>1122/194</t>
  </si>
  <si>
    <t>1990-001689</t>
  </si>
  <si>
    <t>1122/274</t>
  </si>
  <si>
    <t>1990-001690</t>
  </si>
  <si>
    <t>1122/277</t>
  </si>
  <si>
    <t>1990-001750</t>
  </si>
  <si>
    <t>1123/100</t>
  </si>
  <si>
    <t>Hazel Trust Hamilton</t>
  </si>
  <si>
    <t>1990-001925</t>
  </si>
  <si>
    <t>1126/98</t>
  </si>
  <si>
    <t>First State Bank &amp; Trust Co</t>
  </si>
  <si>
    <t>1990-001986</t>
  </si>
  <si>
    <t>1126/202</t>
  </si>
  <si>
    <t>1990-001987</t>
  </si>
  <si>
    <t>1126/210</t>
  </si>
  <si>
    <t>1990-001991</t>
  </si>
  <si>
    <t>1126/226</t>
  </si>
  <si>
    <t>1990-001992</t>
  </si>
  <si>
    <t>1126/229</t>
  </si>
  <si>
    <t>1990-001993</t>
  </si>
  <si>
    <t>1126/231</t>
  </si>
  <si>
    <t>1990-001996</t>
  </si>
  <si>
    <t>1126/234</t>
  </si>
  <si>
    <t>1990-002146</t>
  </si>
  <si>
    <t>1128/39</t>
  </si>
  <si>
    <t>State Bank &amp; Trust Co</t>
  </si>
  <si>
    <t>1990-002451</t>
  </si>
  <si>
    <t>1131/89</t>
  </si>
  <si>
    <t>Daniel D. Ferson</t>
  </si>
  <si>
    <t>1990-002553</t>
  </si>
  <si>
    <t>1132/124</t>
  </si>
  <si>
    <t>Ford, Louis McKee Living Trust,
Louis McKee Ford, Trustee</t>
  </si>
  <si>
    <t>Victor E. Ratliff Sr.</t>
  </si>
  <si>
    <t>1990-002606</t>
  </si>
  <si>
    <t>1132/285</t>
  </si>
  <si>
    <t>Alfred W. Standiford</t>
  </si>
  <si>
    <t>Fred A. Standiford Jr.</t>
  </si>
  <si>
    <t>1990-003160</t>
  </si>
  <si>
    <t>1140/26</t>
  </si>
  <si>
    <t>1990-003980</t>
  </si>
  <si>
    <t>1148/114</t>
  </si>
  <si>
    <t>1990-003924</t>
  </si>
  <si>
    <t>1147/242</t>
  </si>
  <si>
    <t>Hefner Corp</t>
  </si>
  <si>
    <t>1990-004213</t>
  </si>
  <si>
    <t>1151/107</t>
  </si>
  <si>
    <t>Charles O. Burckhalter</t>
  </si>
  <si>
    <t>Charles O. Burckhalter, Trustee,
Burckhalter Family Trust</t>
  </si>
  <si>
    <t>1990-005042</t>
  </si>
  <si>
    <t>1159/224</t>
  </si>
  <si>
    <t>1990-005043</t>
  </si>
  <si>
    <t>1159/225</t>
  </si>
  <si>
    <t>1990-005498</t>
  </si>
  <si>
    <t>1164/107</t>
  </si>
  <si>
    <t>1990-005848</t>
  </si>
  <si>
    <t>1167/200</t>
  </si>
  <si>
    <t>Gilbert C. Fuchs</t>
  </si>
  <si>
    <t>Fuchs Family Revocable Trust</t>
  </si>
  <si>
    <t>1990-006747</t>
  </si>
  <si>
    <t>1176/54</t>
  </si>
  <si>
    <t>Louise Ormand,
The Public</t>
  </si>
  <si>
    <t>1991-000858</t>
  </si>
  <si>
    <t>1194/257</t>
  </si>
  <si>
    <t>Alpine Investments, Inc.</t>
  </si>
  <si>
    <t>Estate of Dwight J. Wilson</t>
  </si>
  <si>
    <t>1991-001479</t>
  </si>
  <si>
    <t>1202/294</t>
  </si>
  <si>
    <t>New Liberty Investments, Inc.</t>
  </si>
  <si>
    <t>1991-002362</t>
  </si>
  <si>
    <t>1214/113</t>
  </si>
  <si>
    <t>1991-002734</t>
  </si>
  <si>
    <t>1218/1</t>
  </si>
  <si>
    <t>Umc Petroleum Corp - Delaware</t>
  </si>
  <si>
    <t>1991-003350</t>
  </si>
  <si>
    <t>1227/155</t>
  </si>
  <si>
    <t>J.r. Nicholson,
Alfred Williams Standford</t>
  </si>
  <si>
    <t>Leasehold / WI | OCR variant? 'Standford' cf. 'Standiford'</t>
  </si>
  <si>
    <t>1991-003462</t>
  </si>
  <si>
    <t>1228/213</t>
  </si>
  <si>
    <t>Bp Exploration, Inc.,
Sohio Petroleum Company</t>
  </si>
  <si>
    <t>West Anadarko Gas Gathering System</t>
  </si>
  <si>
    <t>1991-003518</t>
  </si>
  <si>
    <t>Warranty Deed</t>
  </si>
  <si>
    <t>1229/180</t>
  </si>
  <si>
    <t>Mary Margaret Devenas,
Mary Margaret Dovenas,
Mary Margaret Wilson</t>
  </si>
  <si>
    <t>1991-004416</t>
  </si>
  <si>
    <t>1239/267</t>
  </si>
  <si>
    <t>Pennzoil Company</t>
  </si>
  <si>
    <t>1991-004456</t>
  </si>
  <si>
    <t>Conveyance</t>
  </si>
  <si>
    <t>1240/115</t>
  </si>
  <si>
    <t>El Paso Production Company</t>
  </si>
  <si>
    <t>1991-004543</t>
  </si>
  <si>
    <t>Correction</t>
  </si>
  <si>
    <t>1241/66</t>
  </si>
  <si>
    <t>Bp Exploration, Inc.,
Sohio Petroleum Co.,
Standard Oil Production Co.</t>
  </si>
  <si>
    <t>Anadarko Gas Gathering System,
Dyco Petroleum Corporation,
Tex/con Gas Marketing Company,
West Anadarko Gas Gathering System</t>
  </si>
  <si>
    <t>1991-005340</t>
  </si>
  <si>
    <t>1249/161</t>
  </si>
  <si>
    <t>Melinda McCaul Mulvihill,
Wilson, Dwightj Estate of</t>
  </si>
  <si>
    <t>1992-000943</t>
  </si>
  <si>
    <t>1266/19</t>
  </si>
  <si>
    <t>1992-001067</t>
  </si>
  <si>
    <t>1267/168</t>
  </si>
  <si>
    <t>Mattie C. Britton</t>
  </si>
  <si>
    <t>1992-001682</t>
  </si>
  <si>
    <t>1274/277</t>
  </si>
  <si>
    <t>1992-001861</t>
  </si>
  <si>
    <t>1276/267</t>
  </si>
  <si>
    <t>Billy Wayne Bain, Trustee,
William Cobal Bain, Trustee,
W. M. Will of Bain</t>
  </si>
  <si>
    <t>1992-001862</t>
  </si>
  <si>
    <t>1276/270</t>
  </si>
  <si>
    <t>1992-001863</t>
  </si>
  <si>
    <t>1276/273</t>
  </si>
  <si>
    <t>1992-001865</t>
  </si>
  <si>
    <t>1276/279</t>
  </si>
  <si>
    <t>1992-001866</t>
  </si>
  <si>
    <t>1276/282</t>
  </si>
  <si>
    <t>Hazel Ailene Hamilton</t>
  </si>
  <si>
    <t>1992-001867</t>
  </si>
  <si>
    <t>1276/285</t>
  </si>
  <si>
    <t>1992-003373</t>
  </si>
  <si>
    <t>1294/169</t>
  </si>
  <si>
    <t>1992-003494</t>
  </si>
  <si>
    <t>1296/141</t>
  </si>
  <si>
    <t>1992-003918</t>
  </si>
  <si>
    <t>1301/216</t>
  </si>
  <si>
    <t>Black Hawk Oil Co,
Search Drilling Co</t>
  </si>
  <si>
    <t>Rialto Energy, Inc.</t>
  </si>
  <si>
    <t>1992-004778</t>
  </si>
  <si>
    <t>1311/242</t>
  </si>
  <si>
    <t>Seamus Pinion</t>
  </si>
  <si>
    <t>Jack Mahoney</t>
  </si>
  <si>
    <t>1993-000098</t>
  </si>
  <si>
    <t>1313/230</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</si>
  <si>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</si>
  <si>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</si>
  <si>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</si>
  <si>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</si>
  <si>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</si>
  <si>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</si>
  <si>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Klopfenstein, John Estate of Dec</t>
  </si>
  <si>
    <t>The Public,
Elanore Wheeler</t>
  </si>
  <si>
    <t>S/2 NE/4 SW/4 Lots 3-4, SE/4 SW/4 of 31-12N-24W, aol</t>
  </si>
  <si>
    <t>1993-000978</t>
  </si>
  <si>
    <t>1326/88</t>
  </si>
  <si>
    <t>1993-001727</t>
  </si>
  <si>
    <t>1335/88</t>
  </si>
  <si>
    <t>Umc Petroleum Corporation</t>
  </si>
  <si>
    <t>Chase Manhattan Bank,
P. Michael Pleska, Trustee,
Bettylou J. Robert, Trustee</t>
  </si>
  <si>
    <t>1993-002107</t>
  </si>
  <si>
    <t>1340/238</t>
  </si>
  <si>
    <t>Pennzoil Co</t>
  </si>
  <si>
    <t>Rialto Oil &amp; Gas Corp</t>
  </si>
  <si>
    <t>1993-003365</t>
  </si>
  <si>
    <t>1355/192</t>
  </si>
  <si>
    <t>Transok Gas Company</t>
  </si>
  <si>
    <t>1994-004578</t>
  </si>
  <si>
    <t>Quit Claim Deed</t>
  </si>
  <si>
    <t>1401/77</t>
  </si>
  <si>
    <t>Clarence C. Bain, Trustee,
Dorothy J. Bain, Trustee,
Cdb Trust</t>
  </si>
  <si>
    <t>1994-004940</t>
  </si>
  <si>
    <t>1405/223</t>
  </si>
  <si>
    <t>Gladys R. Priest</t>
  </si>
  <si>
    <t>1994-006415</t>
  </si>
  <si>
    <t>1422/9</t>
  </si>
  <si>
    <t>Nam Corporation</t>
  </si>
  <si>
    <t>E/2 NW/4, N/2 NE/4 SW/4, NE/4 SE/4, SE/4 NE/4 of 31-12N-24W, aol</t>
  </si>
  <si>
    <t>1995-003404</t>
  </si>
  <si>
    <t>1457/173</t>
  </si>
  <si>
    <t>Tripco, Inc.</t>
  </si>
  <si>
    <t>Prudential Securities</t>
  </si>
  <si>
    <t>1995-003422</t>
  </si>
  <si>
    <t>1457/236</t>
  </si>
  <si>
    <t>Rialto Production Company</t>
  </si>
  <si>
    <t>1995-003767</t>
  </si>
  <si>
    <t>1459/583</t>
  </si>
  <si>
    <t>Joseph Devenas, Trustee</t>
  </si>
  <si>
    <t>SE/4 SW/4 of 31-12N-24W, aol</t>
  </si>
  <si>
    <t>1995-004151</t>
  </si>
  <si>
    <t>1462/131</t>
  </si>
  <si>
    <t>Barbara Bain,
Billy Wayne Bain</t>
  </si>
  <si>
    <t>Clarence C. Bain, Trustee,
Dorothy J. Bain, Trustee</t>
  </si>
  <si>
    <t>1995-000396</t>
  </si>
  <si>
    <t>1470/59</t>
  </si>
  <si>
    <t>Alpine Oil and Royalty Co, Inc.</t>
  </si>
  <si>
    <t>NW/4 SE/4, SW/4 NE/4 of 31-12N-24W, aol</t>
  </si>
  <si>
    <t>1995-000748</t>
  </si>
  <si>
    <t>1471/574</t>
  </si>
  <si>
    <t>Charles R. Atha,
Letty Atha</t>
  </si>
  <si>
    <t>Charles E. Atha,
Letty Atha</t>
  </si>
  <si>
    <t>NW/4 NW/4 of 31-12N-24W, aol</t>
  </si>
  <si>
    <t>1995-001954</t>
  </si>
  <si>
    <t>1479/191</t>
  </si>
  <si>
    <t>Wilson, Dwight J. Estate of</t>
  </si>
  <si>
    <t>NW/4 SE/4, S/2 SE/4, SW/4 NE/4 of 31-12N-24W, aol</t>
  </si>
  <si>
    <t>1996-003719</t>
  </si>
  <si>
    <t>1489/336</t>
  </si>
  <si>
    <t>Pinion Family Trust</t>
  </si>
  <si>
    <t>1996-004168</t>
  </si>
  <si>
    <t>1493/40</t>
  </si>
  <si>
    <t>E/2 NW/4, N/2 NE/4, N/2 NE/4 SW/4, NE/4 SE/4, S/2 NE/4 SW/4 Lots 3-4 Partial, SE/4 NE/4, SE/4 SW/4 of 31-12N-24W, aol</t>
  </si>
  <si>
    <t>1996-002352</t>
  </si>
  <si>
    <t>1510/491</t>
  </si>
  <si>
    <t>Floyd W. Atha,
Nancy D. Atha</t>
  </si>
  <si>
    <t>E/2 W/2 Lots 1-4, N/2 NE/4, NE/4 SE/4, SE/4 NE/4 of 31-12N-24W</t>
  </si>
  <si>
    <t>1997-006370</t>
  </si>
  <si>
    <t>1510/566</t>
  </si>
  <si>
    <t>Eula G. Cross</t>
  </si>
  <si>
    <t>Patsy J. Crouse</t>
  </si>
  <si>
    <t>All Partial of 31-12N-24W, aol</t>
  </si>
  <si>
    <t>1997-005183</t>
  </si>
  <si>
    <t>1511/32</t>
  </si>
  <si>
    <t>1997-002567A</t>
  </si>
  <si>
    <t>1512/29</t>
  </si>
  <si>
    <t>Kerr-mcgee Corporation</t>
  </si>
  <si>
    <t>Kerr-mcgee North American Onshore Corporation</t>
  </si>
  <si>
    <t>1997-003023</t>
  </si>
  <si>
    <t>1514/525</t>
  </si>
  <si>
    <t>Leonard Herzperg,
Mary Alice Herzperg</t>
  </si>
  <si>
    <t>Lot 1 of 31-12N-24W</t>
  </si>
  <si>
    <t>Fee / as stated | OCR variant? 'Herzperg' cf. 'Herzberg'</t>
  </si>
  <si>
    <t>1997-004254</t>
  </si>
  <si>
    <t>1522/215</t>
  </si>
  <si>
    <t>Letty Jane Atha</t>
  </si>
  <si>
    <t>NW/4 NW/4 Partial of 31-12N-24W, aol</t>
  </si>
  <si>
    <t>1998-004619</t>
  </si>
  <si>
    <t>1556/423</t>
  </si>
  <si>
    <t>Eex Corporation</t>
  </si>
  <si>
    <t>Eex Operating, LLC</t>
  </si>
  <si>
    <t>1994-000003</t>
  </si>
  <si>
    <t>1423/89</t>
  </si>
  <si>
    <t>Fer-scher Exploration, LLC</t>
  </si>
  <si>
    <t>1998-000584</t>
  </si>
  <si>
    <t>1564/310</t>
  </si>
  <si>
    <t>Jon T. and Rogene E. Williams Trust</t>
  </si>
  <si>
    <t>1998-000907</t>
  </si>
  <si>
    <t>1567/245</t>
  </si>
  <si>
    <t>Jan A. Schroff, Trustee</t>
  </si>
  <si>
    <t>1999-002219</t>
  </si>
  <si>
    <t>1576/219</t>
  </si>
  <si>
    <t>1999-002220</t>
  </si>
  <si>
    <t>1576/222</t>
  </si>
  <si>
    <t>1999-002739</t>
  </si>
  <si>
    <t>1579/358</t>
  </si>
  <si>
    <t>1999-003117</t>
  </si>
  <si>
    <t>Affidavit Surviving Jt Tenant</t>
  </si>
  <si>
    <t>1581/316</t>
  </si>
  <si>
    <t>NW/4 Partial of 31-12N-24W, aol</t>
  </si>
  <si>
    <t>1999-003362</t>
  </si>
  <si>
    <t>1583/389</t>
  </si>
  <si>
    <t>1999-003363</t>
  </si>
  <si>
    <t>1583/391</t>
  </si>
  <si>
    <t>Eunice Evelyn Cook,
Albert E. Fuchs,
Aqulla Fuchs,
Delbert Norwood Fuchs,
Eldred Stephen Fuchs,
Jesse William Fuchs,
Ladon Gilbert Fuchs,
Ocie H. Fuchs,
Ocie Harlon Fuchs,
Olivia Leah Lemmons,
Isa May Smith</t>
  </si>
  <si>
    <t>Lola F. Richrads</t>
  </si>
  <si>
    <t>1999-003368</t>
  </si>
  <si>
    <t>1583/426</t>
  </si>
  <si>
    <t>Albert E. Fuchs, Trustee,
Ocie H. Fuchs, Trustee</t>
  </si>
  <si>
    <t>1999-003364</t>
  </si>
  <si>
    <t>1583/398</t>
  </si>
  <si>
    <t>1999-003365</t>
  </si>
  <si>
    <t>1583/405</t>
  </si>
  <si>
    <t>Jessie W. Fuchs</t>
  </si>
  <si>
    <t>1999-003366</t>
  </si>
  <si>
    <t>1583/412</t>
  </si>
  <si>
    <t>1999-003367</t>
  </si>
  <si>
    <t>1583/419</t>
  </si>
  <si>
    <t>1999-005522</t>
  </si>
  <si>
    <t>1597/174</t>
  </si>
  <si>
    <t>Mahoney Childrens Trust,
Mahoney Childrens Trust</t>
  </si>
  <si>
    <t>1999-005936</t>
  </si>
  <si>
    <t>Decree</t>
  </si>
  <si>
    <t>1600/1</t>
  </si>
  <si>
    <t>Atha Letty Jane Deceased</t>
  </si>
  <si>
    <t>1999-006000</t>
  </si>
  <si>
    <t>1600/208</t>
  </si>
  <si>
    <t>2000-006217</t>
  </si>
  <si>
    <t>1601/276</t>
  </si>
  <si>
    <t>2000-006360</t>
  </si>
  <si>
    <t>1602/490</t>
  </si>
  <si>
    <t>2000-006371</t>
  </si>
  <si>
    <t>1602/517</t>
  </si>
  <si>
    <t>2000-006403</t>
  </si>
  <si>
    <t>1603/7</t>
  </si>
  <si>
    <t>2000-006447</t>
  </si>
  <si>
    <t>1603/147</t>
  </si>
  <si>
    <t>2000-006544</t>
  </si>
  <si>
    <t>1603/374</t>
  </si>
  <si>
    <t>2000-006545</t>
  </si>
  <si>
    <t>1603/376</t>
  </si>
  <si>
    <t>2000-006657</t>
  </si>
  <si>
    <t>1604/108</t>
  </si>
  <si>
    <t>Creates oil &amp; gas leasehold burden</t>
  </si>
  <si>
    <t>2000-006661</t>
  </si>
  <si>
    <t>1604/115</t>
  </si>
  <si>
    <t>Jon T. Williams, Trustee</t>
  </si>
  <si>
    <t>2000-006662</t>
  </si>
  <si>
    <t>1604/117</t>
  </si>
  <si>
    <t>2000-006668</t>
  </si>
  <si>
    <t>1604/239</t>
  </si>
  <si>
    <t>2000-006689</t>
  </si>
  <si>
    <t>1604/243</t>
  </si>
  <si>
    <t>2000-006692</t>
  </si>
  <si>
    <t>1604/251</t>
  </si>
  <si>
    <t>2000-006696</t>
  </si>
  <si>
    <t>1604/259</t>
  </si>
  <si>
    <t>2000-006710</t>
  </si>
  <si>
    <t>1604/307</t>
  </si>
  <si>
    <t>Melinda McCall Mulvihill, Trustee</t>
  </si>
  <si>
    <t>2000-006711</t>
  </si>
  <si>
    <t>1604/309</t>
  </si>
  <si>
    <t>2000-006712</t>
  </si>
  <si>
    <t>1604/311</t>
  </si>
  <si>
    <t>Stephen M. Criser, Trustee</t>
  </si>
  <si>
    <t>2000-006686</t>
  </si>
  <si>
    <t>2000-006688</t>
  </si>
  <si>
    <t>2000-006716</t>
  </si>
  <si>
    <t>1604/322</t>
  </si>
  <si>
    <t>Eog Resources, Inc.</t>
  </si>
  <si>
    <t>A of 31-12N-24W</t>
  </si>
  <si>
    <t>2000-006763</t>
  </si>
  <si>
    <t>1604/453</t>
  </si>
  <si>
    <t>2000-006764</t>
  </si>
  <si>
    <t>Proof of Death</t>
  </si>
  <si>
    <t>1604/455</t>
  </si>
  <si>
    <t>.,
Nanalee Faye Barnett</t>
  </si>
  <si>
    <t>J.e. Barnett</t>
  </si>
  <si>
    <t>2000-006917</t>
  </si>
  <si>
    <t>1606/416</t>
  </si>
  <si>
    <t>2000-006918</t>
  </si>
  <si>
    <t>1606/418</t>
  </si>
  <si>
    <t>2000-006984</t>
  </si>
  <si>
    <t>1607/323</t>
  </si>
  <si>
    <t>2000-006985</t>
  </si>
  <si>
    <t>1607/325</t>
  </si>
  <si>
    <t>2000-006986</t>
  </si>
  <si>
    <t>1607/327</t>
  </si>
  <si>
    <t>1994-007065</t>
  </si>
  <si>
    <t>1608/38</t>
  </si>
  <si>
    <t>Lariat Petroleum, Inc.</t>
  </si>
  <si>
    <t>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</si>
  <si>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</si>
  <si>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</si>
  <si>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</si>
  <si>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2000-007204</t>
  </si>
  <si>
    <t>1608/452</t>
  </si>
  <si>
    <t>Primary term expired; HBP status uncertain*
Recorded 2000-03-27. Leasing era 2000-2006; presumed expired absent production/HBP.
Merged duplicate rows: 779</t>
  </si>
  <si>
    <t>1994-007204</t>
  </si>
  <si>
    <t>Lot 4 S/2, Lot 3 S/2 NE/4 SW/4 SE/4 SW/4 of 31-12N-24W, aol</t>
  </si>
  <si>
    <t>OKCountyRecords: 1994-007204</t>
  </si>
  <si>
    <t>1994-007244</t>
  </si>
  <si>
    <t>1608/541</t>
  </si>
  <si>
    <t>E/2 NW/4 E/2 SW/4, Lots 3-4 N/2 NE/4 NE/4 SE/4 SE/4 NE/4 of 31-12N-24W</t>
  </si>
  <si>
    <t>OKCountyRecords: 1994-007244</t>
  </si>
  <si>
    <t>1994-007245</t>
  </si>
  <si>
    <t>1608/543</t>
  </si>
  <si>
    <t>OKCountyRecords: 1994-007245</t>
  </si>
  <si>
    <t>2000-007244</t>
  </si>
  <si>
    <t>Primary term expired; HBP status uncertain*
Recorded 2000-03-28. Leasing era 2000-2006; presumed expired absent production/HBP.</t>
  </si>
  <si>
    <t>2000-007245</t>
  </si>
  <si>
    <t>2000-007332</t>
  </si>
  <si>
    <t>1609/199</t>
  </si>
  <si>
    <t>2000-007383</t>
  </si>
  <si>
    <t>1610/40</t>
  </si>
  <si>
    <t>2000-007411</t>
  </si>
  <si>
    <t>1610/121</t>
  </si>
  <si>
    <t>Leasehold / WI | OCR variant? 'Frazler' cf. 'Frazier'</t>
  </si>
  <si>
    <t>2000-007634</t>
  </si>
  <si>
    <t>1611/352</t>
  </si>
  <si>
    <t>Lortz R. Michael</t>
  </si>
  <si>
    <t>S/2 NE/4 SW/4 Lot 3, 4, SE/4 SW/4 of 31-12N-24W, aol</t>
  </si>
  <si>
    <t>2000-007685</t>
  </si>
  <si>
    <t>1611/503</t>
  </si>
  <si>
    <t>Aspen Minerals Group</t>
  </si>
  <si>
    <t>2000-008063</t>
  </si>
  <si>
    <t>1613/497</t>
  </si>
  <si>
    <t>2000-008159</t>
  </si>
  <si>
    <t>1614/323</t>
  </si>
  <si>
    <t>Interbank</t>
  </si>
  <si>
    <t>Barbaraj Bain,
Billy W. Bain,
Carl L. Bain,
Clarence C. Bain,
Doroty J. Bain,
Lenora M. Bain,
Hazel A. Hamilton,
Juanita Wolff</t>
  </si>
  <si>
    <t>SE/4 SE/4, SW/4 NE/4, W/2 SE/4 of 31-12N-24W, aol</t>
  </si>
  <si>
    <t>2000-008764</t>
  </si>
  <si>
    <t>1617/295</t>
  </si>
  <si>
    <t>Mahoney Children's Trust,
Jack Mahoney</t>
  </si>
  <si>
    <t>2000-010180</t>
  </si>
  <si>
    <t>1625/440</t>
  </si>
  <si>
    <t>Melinda McCaul Mulvihill, Trustee</t>
  </si>
  <si>
    <t>2000-010382</t>
  </si>
  <si>
    <t>1626/462</t>
  </si>
  <si>
    <t>2000-010908</t>
  </si>
  <si>
    <t>1629/523</t>
  </si>
  <si>
    <t>Joe, Devenas Jr.</t>
  </si>
  <si>
    <t>2000-010909</t>
  </si>
  <si>
    <t>1629/525</t>
  </si>
  <si>
    <t>2001-000103</t>
  </si>
  <si>
    <t>1631/416</t>
  </si>
  <si>
    <t>Donald R. Bain,
Melvin F. Bain,
Peggy J. Brawner,
Marilyn L. Broyles,
Leona I. Degrande,
Charlotte F. Willert</t>
  </si>
  <si>
    <t>2001-000618</t>
  </si>
  <si>
    <t>Order</t>
  </si>
  <si>
    <t>1634/353</t>
  </si>
  <si>
    <t>Estate of Patsy J. Crouse</t>
  </si>
  <si>
    <t>NE/4 NW/4 Partial Exceptions of 31-12N-24W, aol</t>
  </si>
  <si>
    <t>2001-000619</t>
  </si>
  <si>
    <t>1634/367</t>
  </si>
  <si>
    <t>Angale L. Best,
Michael Best,
Letha M. Crouse,
Aaron Smoot,
Lara L. Smoot</t>
  </si>
  <si>
    <t>Crouse Family Trust</t>
  </si>
  <si>
    <t>2001-000921</t>
  </si>
  <si>
    <t>1636/544</t>
  </si>
  <si>
    <t>Dow C. Bain, Trustee,
Edris O. Bain, Trustee</t>
  </si>
  <si>
    <t>2001-000926</t>
  </si>
  <si>
    <t>1636/554</t>
  </si>
  <si>
    <t>2001-000927</t>
  </si>
  <si>
    <t>1636/556</t>
  </si>
  <si>
    <t>2001-000957</t>
  </si>
  <si>
    <t>1637/26</t>
  </si>
  <si>
    <t>2001-001091</t>
  </si>
  <si>
    <t>1637/471</t>
  </si>
  <si>
    <t>Thomas B. Goodwin</t>
  </si>
  <si>
    <t>2001-001092</t>
  </si>
  <si>
    <t>1637/476</t>
  </si>
  <si>
    <t>Laurence L. Crouse, Trustee</t>
  </si>
  <si>
    <t>Crouse Family Limited Partnerhsip</t>
  </si>
  <si>
    <t>2001-001357</t>
  </si>
  <si>
    <t>1639/3</t>
  </si>
  <si>
    <t>2001-001358</t>
  </si>
  <si>
    <t>1639/5</t>
  </si>
  <si>
    <t>2001-001359</t>
  </si>
  <si>
    <t>1639/7</t>
  </si>
  <si>
    <t>2001-001360</t>
  </si>
  <si>
    <t>1639/9</t>
  </si>
  <si>
    <t>2001-001361</t>
  </si>
  <si>
    <t>1639/11</t>
  </si>
  <si>
    <t>2001-001362</t>
  </si>
  <si>
    <t>1639/13</t>
  </si>
  <si>
    <t>2001-001363</t>
  </si>
  <si>
    <t>1639/15</t>
  </si>
  <si>
    <t>2001-001364</t>
  </si>
  <si>
    <t>1639/17</t>
  </si>
  <si>
    <t>2001-001365</t>
  </si>
  <si>
    <t>1639/19</t>
  </si>
  <si>
    <t>2001-001366</t>
  </si>
  <si>
    <t>1639/21</t>
  </si>
  <si>
    <t>2001-001414</t>
  </si>
  <si>
    <t>1639/206</t>
  </si>
  <si>
    <t>Louise Ormand</t>
  </si>
  <si>
    <t>2001-001463</t>
  </si>
  <si>
    <t>1639/426</t>
  </si>
  <si>
    <t>Glenn D. Mitchel</t>
  </si>
  <si>
    <t>Mineral | OCR variant? 'Mitchel' cf. 'Mitchell'</t>
  </si>
  <si>
    <t>2001-001728</t>
  </si>
  <si>
    <t>1641/27</t>
  </si>
  <si>
    <t>Chesapeake Exploration Ltd. Ptn.</t>
  </si>
  <si>
    <t>2001-001729</t>
  </si>
  <si>
    <t>1641/28</t>
  </si>
  <si>
    <t>2001-001730</t>
  </si>
  <si>
    <t>1641/29</t>
  </si>
  <si>
    <t>2001-001731</t>
  </si>
  <si>
    <t>1641/30</t>
  </si>
  <si>
    <t>2001-001732</t>
  </si>
  <si>
    <t>1641/31</t>
  </si>
  <si>
    <t>2001-002014</t>
  </si>
  <si>
    <t>1642/97</t>
  </si>
  <si>
    <t>2001-002015</t>
  </si>
  <si>
    <t>1642/99</t>
  </si>
  <si>
    <t>2001-002016</t>
  </si>
  <si>
    <t>1642/102</t>
  </si>
  <si>
    <t>2001-002190</t>
  </si>
  <si>
    <t>1642/532</t>
  </si>
  <si>
    <t>Leonard Herzberg,
Mary Alice Herzberg</t>
  </si>
  <si>
    <t>Mary Alice Herzberg</t>
  </si>
  <si>
    <t>Lot 1 Partial of 31-12N-24W</t>
  </si>
  <si>
    <t>2001-002342</t>
  </si>
  <si>
    <t>1643/389</t>
  </si>
  <si>
    <t>Estate of Jack E. Barnett</t>
  </si>
  <si>
    <t>2001-002353</t>
  </si>
  <si>
    <t>1643/421</t>
  </si>
  <si>
    <t>2001-002354</t>
  </si>
  <si>
    <t>1643/422</t>
  </si>
  <si>
    <t>2001-002496</t>
  </si>
  <si>
    <t>Joint Tenancy Warranty Deed</t>
  </si>
  <si>
    <t>1644/460</t>
  </si>
  <si>
    <t>Carolyn Coots,
Wendell Coots</t>
  </si>
  <si>
    <t>2002-001685</t>
  </si>
  <si>
    <t>1676/140</t>
  </si>
  <si>
    <t>Walter Oil Duncan</t>
  </si>
  <si>
    <t>NE/4 of 31-12N-24W, aol</t>
  </si>
  <si>
    <t>V. Slobin Myron</t>
  </si>
  <si>
    <t>Chesapeake Exploration, Ltd. Ptn</t>
  </si>
  <si>
    <t>A. Albert Paul, Personal Representative</t>
  </si>
  <si>
    <t>2002-001764</t>
  </si>
  <si>
    <t>Primary term expired; HBP status uncertain*
Recorded 2002-04-26. Leasing era 2000-2006; presumed expired absent production/HBP.</t>
  </si>
  <si>
    <t>2002-001765</t>
  </si>
  <si>
    <t>S. Silverberg David</t>
  </si>
  <si>
    <t>T. Ibeling Lyle</t>
  </si>
  <si>
    <t>Chesapeake Exploration Co., Ltd. Ptn</t>
  </si>
  <si>
    <t>2002-001970</t>
  </si>
  <si>
    <t>Primary term expired; HBP status uncertain*
Recorded 2002-05-13. Leasing era 2000-2006; presumed expired absent production/HBP.</t>
  </si>
  <si>
    <t>2002-001963</t>
  </si>
  <si>
    <t>2002-001961</t>
  </si>
  <si>
    <t>2002-001962</t>
  </si>
  <si>
    <t>1677/515</t>
  </si>
  <si>
    <t>William A. Hadwiger</t>
  </si>
  <si>
    <t>2002-001971</t>
  </si>
  <si>
    <t>1677/535</t>
  </si>
  <si>
    <t>2002-002104</t>
  </si>
  <si>
    <t>1678/554</t>
  </si>
  <si>
    <t>2002-002227</t>
  </si>
  <si>
    <t>1680/318</t>
  </si>
  <si>
    <t>Bhch Mineral, Ltd.,
Bhch Properties, Ltd.,
Garg Oil</t>
  </si>
  <si>
    <t>LALL to SEC of 31-12N-24W, aol</t>
  </si>
  <si>
    <t>2002-002254</t>
  </si>
  <si>
    <t>1680/431</t>
  </si>
  <si>
    <t>Leasehold / WI | OCR variant? 'Menchan' cf. 'Menehan'</t>
  </si>
  <si>
    <t>2002-002538</t>
  </si>
  <si>
    <t>1682/64</t>
  </si>
  <si>
    <t>Paul R. Deutseh,
A. Deborah</t>
  </si>
  <si>
    <t>Eog Resources</t>
  </si>
  <si>
    <t>Creates oil &amp; gas leasehold burden | OCR variant? 'Deutseh' cf. 'Deutsch'</t>
  </si>
  <si>
    <t>2002-002676</t>
  </si>
  <si>
    <t>Primary term expired; HBP status uncertain*
Recorded 2002-06-26. Leasing era 2000-2006; presumed expired absent production/HBP. | OCR variant? 'Deutseh' cf. 'Deutsch'</t>
  </si>
  <si>
    <t>2002-002928</t>
  </si>
  <si>
    <t>1684/443</t>
  </si>
  <si>
    <t>Peggy Brawner Bain William C. Jr., Attorney for</t>
  </si>
  <si>
    <t>2002-003272</t>
  </si>
  <si>
    <t>Primary term expired; HBP status uncertain*
Recorded 2002-08-16. Leasing era 2000-2006; presumed expired absent production/HBP.</t>
  </si>
  <si>
    <t>2002-003522</t>
  </si>
  <si>
    <t>Primary term expired; HBP status uncertain*
Recorded 2002-09-04. Leasing era 2000-2006; presumed expired absent production/HBP.</t>
  </si>
  <si>
    <t>2002-003563</t>
  </si>
  <si>
    <t>1688/374</t>
  </si>
  <si>
    <t>Oleta Florene Flanagan</t>
  </si>
  <si>
    <t>J. Winneke Gregory</t>
  </si>
  <si>
    <t>2002-003773</t>
  </si>
  <si>
    <t>Primary term expired; HBP status uncertain*
Recorded 2002-09-26. Leasing era 2000-2006; presumed expired absent production/HBP.</t>
  </si>
  <si>
    <t>2002-003797</t>
  </si>
  <si>
    <t>1689/519</t>
  </si>
  <si>
    <t>2002-003798</t>
  </si>
  <si>
    <t>1689/520</t>
  </si>
  <si>
    <t>2002-003799</t>
  </si>
  <si>
    <t>1689/521</t>
  </si>
  <si>
    <t>William Cobal, Bain Jr.,
Peggy, Atty in Fact Brawner</t>
  </si>
  <si>
    <t>2002-003800</t>
  </si>
  <si>
    <t>1689/522</t>
  </si>
  <si>
    <t>2002-003801</t>
  </si>
  <si>
    <t>1689/523</t>
  </si>
  <si>
    <t>2002-003802</t>
  </si>
  <si>
    <t>1689/524</t>
  </si>
  <si>
    <t>2002-004378</t>
  </si>
  <si>
    <t>1694/156</t>
  </si>
  <si>
    <t>Billy Wayne Bain, Trustee,
William Cobal Bain, Trustee,
Hamilton, Hazel Inter Vivos Trust,
Hazel Hamilton, Trustee</t>
  </si>
  <si>
    <t>Deeanne Browning,
Darrell E. Hamilton,
Stacy L. Smith,
Travis L. Smith</t>
  </si>
  <si>
    <t>2002-004595</t>
  </si>
  <si>
    <t>1695/238</t>
  </si>
  <si>
    <t>Hayhurst, Peggy J. Revoc Trust,
Peggy J. Hayhurst, Trustee</t>
  </si>
  <si>
    <t>2002-004832</t>
  </si>
  <si>
    <t>Stipulation</t>
  </si>
  <si>
    <t>1696/550</t>
  </si>
  <si>
    <t>B. H. C. H. Mineral, Ltd.,
B. H. C. H. Properties, Ltd.,
Garg Oil</t>
  </si>
  <si>
    <t>2003-001558</t>
  </si>
  <si>
    <t>1706/384</t>
  </si>
  <si>
    <t>Dorothy G. Executrix Hamilton</t>
  </si>
  <si>
    <t>Dorothy G. Hamilton, Trustee,
Harold D. Rogers, Trustee</t>
  </si>
  <si>
    <t>2003-001559</t>
  </si>
  <si>
    <t>1706/386</t>
  </si>
  <si>
    <t>Dorothy G. Hamilton</t>
  </si>
  <si>
    <t>2003-001781</t>
  </si>
  <si>
    <t>Disclaimer</t>
  </si>
  <si>
    <t>1707/512</t>
  </si>
  <si>
    <t>Glenn Douglas Mitchel</t>
  </si>
  <si>
    <t>E/2 NW/4, N/2 NE/4 SE/4, NE/4 SE/4, SE/4 NE/4 of 31-12N-24W, aol</t>
  </si>
  <si>
    <t>See instrument | OCR variant? 'Mitchel' cf. 'Mitchell'</t>
  </si>
  <si>
    <t>2003-003131</t>
  </si>
  <si>
    <t>1714/504</t>
  </si>
  <si>
    <t>Clarence Bain, Trustee</t>
  </si>
  <si>
    <t>2003-004685</t>
  </si>
  <si>
    <t>1722/449</t>
  </si>
  <si>
    <t>Kathy Bryant,
William Bryant</t>
  </si>
  <si>
    <t>2003-004945</t>
  </si>
  <si>
    <t>1724/582</t>
  </si>
  <si>
    <t>White Birch, LP</t>
  </si>
  <si>
    <t>2003-005699</t>
  </si>
  <si>
    <t>1728/457</t>
  </si>
  <si>
    <t>Estate of Glenn Douglas Mitchell</t>
  </si>
  <si>
    <t>E/2 NW/4, SE/4 NE/4 of 31-12N-24W, aol</t>
  </si>
  <si>
    <t>2003-006068</t>
  </si>
  <si>
    <t>1730/442</t>
  </si>
  <si>
    <t>Walter Duncan Oil</t>
  </si>
  <si>
    <t>2003-006069</t>
  </si>
  <si>
    <t>1730/443</t>
  </si>
  <si>
    <t>Lessor of Record</t>
  </si>
  <si>
    <t>2003-006070</t>
  </si>
  <si>
    <t>1730/444</t>
  </si>
  <si>
    <t>2004-000099</t>
  </si>
  <si>
    <t>1734/14</t>
  </si>
  <si>
    <t>Estate of Evelyn Louise McLerran</t>
  </si>
  <si>
    <t>2004-000364</t>
  </si>
  <si>
    <t>1735/133</t>
  </si>
  <si>
    <t>John E. Mahoney, Trustee</t>
  </si>
  <si>
    <t>2004-000579</t>
  </si>
  <si>
    <t>1736/193</t>
  </si>
  <si>
    <t>2004-000580</t>
  </si>
  <si>
    <t>1736/195</t>
  </si>
  <si>
    <t>2004-000581</t>
  </si>
  <si>
    <t>1736/197</t>
  </si>
  <si>
    <t>2004-000582</t>
  </si>
  <si>
    <t>1736/199</t>
  </si>
  <si>
    <t>Allen Atha Charles</t>
  </si>
  <si>
    <t>2004-000679</t>
  </si>
  <si>
    <t>Primary term expired; HBP status uncertain*
Recorded 2004-02-10. Leasing era 2000-2006; presumed expired absent production/HBP.</t>
  </si>
  <si>
    <t>2004-000685</t>
  </si>
  <si>
    <t>1736/485</t>
  </si>
  <si>
    <t>2004-000690</t>
  </si>
  <si>
    <t>1736/496</t>
  </si>
  <si>
    <t>John W. Bain,
Joseph A. Bain,
Anna T. Gibson</t>
  </si>
  <si>
    <t>2004-000691</t>
  </si>
  <si>
    <t>1736/498</t>
  </si>
  <si>
    <t>John W. Bain</t>
  </si>
  <si>
    <t>Mitchell Williams Nancy</t>
  </si>
  <si>
    <t>C. Bain Clarence, Trustee</t>
  </si>
  <si>
    <t>2004-000722</t>
  </si>
  <si>
    <t>Primary term expired; HBP status uncertain*
Recorded 2004-02-12. Leasing era 2000-2006; presumed expired absent production/HBP.</t>
  </si>
  <si>
    <t>2004-000720</t>
  </si>
  <si>
    <t>2004-000721</t>
  </si>
  <si>
    <t>1736/590</t>
  </si>
  <si>
    <t>2004-000723</t>
  </si>
  <si>
    <t>1736/594</t>
  </si>
  <si>
    <t>2004-000724</t>
  </si>
  <si>
    <t>1736/596</t>
  </si>
  <si>
    <t>2004-000725</t>
  </si>
  <si>
    <t>1736/598</t>
  </si>
  <si>
    <t>2004-000726</t>
  </si>
  <si>
    <t>1736/600</t>
  </si>
  <si>
    <t>2004-000727</t>
  </si>
  <si>
    <t>1736/602</t>
  </si>
  <si>
    <t>2004-000880</t>
  </si>
  <si>
    <t>1737/580</t>
  </si>
  <si>
    <t>F. Richards Lola</t>
  </si>
  <si>
    <t>2004-001053</t>
  </si>
  <si>
    <t>Primary term expired; HBP status uncertain*
Recorded 2004-03-03. Leasing era 2000-2006; presumed expired absent production/HBP.</t>
  </si>
  <si>
    <t>2004-001426</t>
  </si>
  <si>
    <t>1740/424</t>
  </si>
  <si>
    <t>Axis Exploration, LLC</t>
  </si>
  <si>
    <t>Lot 3 Partial, NW/4 SE/4, S/2 NE/4 SW/4, S/2 SE/4, SE/4 SW/4 Lot 4, SW/4 NE/4 of 31-12N-24W</t>
  </si>
  <si>
    <t>2004-001493</t>
  </si>
  <si>
    <t>1741/70</t>
  </si>
  <si>
    <t>Cirrus Production Company</t>
  </si>
  <si>
    <t>2004-001735</t>
  </si>
  <si>
    <t>1742/271</t>
  </si>
  <si>
    <t>2004-002305</t>
  </si>
  <si>
    <t>1745/48</t>
  </si>
  <si>
    <t>B. &amp; W. Exploration, Inc.</t>
  </si>
  <si>
    <t>E/2 NW/4, LS2 3 &amp;4, N/2 NE/4, N/2 NE/4 SW/4, NE/4 SE/4, S/2 NE/4 SW/4, SE/4 NE/4, SE/4 SW/4 of 31-12N-24W</t>
  </si>
  <si>
    <t>2004-002491</t>
  </si>
  <si>
    <t>1746/158</t>
  </si>
  <si>
    <t>Peggy Brawner</t>
  </si>
  <si>
    <t>2004-002933</t>
  </si>
  <si>
    <t>1749/49</t>
  </si>
  <si>
    <t>E/2 NW/4, E/2 SW/4, N/2 NE/4 Lots 3,4, NE/4 SE/4, SE/4 NE/4 of 31-12N-24W</t>
  </si>
  <si>
    <t>2004-002934</t>
  </si>
  <si>
    <t>1749/51</t>
  </si>
  <si>
    <t>Newfield Exploration Mid Cont, Inc.</t>
  </si>
  <si>
    <t>2004-003392</t>
  </si>
  <si>
    <t>1751/168</t>
  </si>
  <si>
    <t>Yale Oil Association in</t>
  </si>
  <si>
    <t>Lots 1,2, Lot 3 Partial of 31-12N-24W</t>
  </si>
  <si>
    <t>2004-005686</t>
  </si>
  <si>
    <t>1764/122</t>
  </si>
  <si>
    <t>2004-005687</t>
  </si>
  <si>
    <t>1764/124</t>
  </si>
  <si>
    <t>2004-005689</t>
  </si>
  <si>
    <t>1764/128</t>
  </si>
  <si>
    <t>2004-005692</t>
  </si>
  <si>
    <t>1764/133</t>
  </si>
  <si>
    <t>2004-005738</t>
  </si>
  <si>
    <t>1764/344</t>
  </si>
  <si>
    <t>Sandra Lorraine York</t>
  </si>
  <si>
    <t>Koala Production Company</t>
  </si>
  <si>
    <t>2004-005739</t>
  </si>
  <si>
    <t>1764/345</t>
  </si>
  <si>
    <t>2004-005901</t>
  </si>
  <si>
    <t>1765/306</t>
  </si>
  <si>
    <t>Aspen Energy Group, Inc.</t>
  </si>
  <si>
    <t>Crusader Energy Corporation</t>
  </si>
  <si>
    <t>2004-006577</t>
  </si>
  <si>
    <t>1768/339</t>
  </si>
  <si>
    <t>Sandra York</t>
  </si>
  <si>
    <t>Lot 3 Partial, W/2 NW/4 Lots 1,2 of 31-12N-24W</t>
  </si>
  <si>
    <t>2005-000158</t>
  </si>
  <si>
    <t>1774/309</t>
  </si>
  <si>
    <t>Minion Investment Co,
Brian L. Rice</t>
  </si>
  <si>
    <t>Prism Energy, Inc.</t>
  </si>
  <si>
    <t>2005-000347</t>
  </si>
  <si>
    <t>1775/296</t>
  </si>
  <si>
    <t>Norbert J. Co-prsnl Repres Dickman,
Robert, Co-prsnl Repres Dickson,
Fasken, Barbara Estate of</t>
  </si>
  <si>
    <t>Fasken Land and Minerals, Ltd.</t>
  </si>
  <si>
    <t>Lot 1, 2, PT 3, NW/4 SE/4, S/2 SE/4, SW/4 NE/4 of 31-12N-24W, aol</t>
  </si>
  <si>
    <t>2005-001365</t>
  </si>
  <si>
    <t>1780/409</t>
  </si>
  <si>
    <t>2005-001515</t>
  </si>
  <si>
    <t>1781/204</t>
  </si>
  <si>
    <t>2005-001688</t>
  </si>
  <si>
    <t>1782/261</t>
  </si>
  <si>
    <t>2005-001690</t>
  </si>
  <si>
    <t>1782/267</t>
  </si>
  <si>
    <t>2005-001839</t>
  </si>
  <si>
    <t>1783/99</t>
  </si>
  <si>
    <t>2005-001909</t>
  </si>
  <si>
    <t>1783/306</t>
  </si>
  <si>
    <t>John William Bain</t>
  </si>
  <si>
    <t>G. &amp; T. Partnership</t>
  </si>
  <si>
    <t>2005-002196</t>
  </si>
  <si>
    <t>1784/591</t>
  </si>
  <si>
    <t>Estate of Virgil Mark Hambrook</t>
  </si>
  <si>
    <t>W/2 NW/4 Lots 1-3 of 31-12N-24W</t>
  </si>
  <si>
    <t>2005-002326</t>
  </si>
  <si>
    <t>1785/274</t>
  </si>
  <si>
    <t>Joe Devenas Jr.</t>
  </si>
  <si>
    <t>2005-002327</t>
  </si>
  <si>
    <t>1785/276</t>
  </si>
  <si>
    <t>2005-002328</t>
  </si>
  <si>
    <t>1785/278</t>
  </si>
  <si>
    <t>2005-002552</t>
  </si>
  <si>
    <t>1786/335</t>
  </si>
  <si>
    <t>Chesapeake Explor Ltd Ptnrshp</t>
  </si>
  <si>
    <t>2005-002646</t>
  </si>
  <si>
    <t>1787/47</t>
  </si>
  <si>
    <t>Marchelle Sorenson Daigle, Trustee,
Michelle Sorenson Johnson, Trustee,
Sorenson Oil &amp; Gas Trust</t>
  </si>
  <si>
    <t>2005-002831</t>
  </si>
  <si>
    <t>1788/24</t>
  </si>
  <si>
    <t>Arrowhead Explor &amp; Prod Co</t>
  </si>
  <si>
    <t>2005-003389</t>
  </si>
  <si>
    <t>1790/386</t>
  </si>
  <si>
    <t>Laura Snyder Robertson</t>
  </si>
  <si>
    <t>James M. Robertson,
Rose E. Robertson</t>
  </si>
  <si>
    <t>2005-003691</t>
  </si>
  <si>
    <t>Partial Assignment</t>
  </si>
  <si>
    <t>1791/515</t>
  </si>
  <si>
    <t>Sierra Resources, Inc.</t>
  </si>
  <si>
    <t>E/2 NW/4, N/2 NE/4 SW/4, NE/4 SE/4, NW/4 SE/4, S/2 SE/4, SE/4 NE/4, SW/4 NE/4 of 31-12N-24W, aol</t>
  </si>
  <si>
    <t>Ann Devenas Martha</t>
  </si>
  <si>
    <t>2005-003756</t>
  </si>
  <si>
    <t>Primary term expired; HBP status uncertain*
Recorded 2005-06-01. Leasing era 2000-2006; presumed expired absent production/HBP.</t>
  </si>
  <si>
    <t>2005-003939</t>
  </si>
  <si>
    <t>1793/501</t>
  </si>
  <si>
    <t>2005-003940</t>
  </si>
  <si>
    <t>1793/502</t>
  </si>
  <si>
    <t>Leasehold / WI | OCR variant? 'Deveanas' cf. 'Devenas'</t>
  </si>
  <si>
    <t>2005-004044</t>
  </si>
  <si>
    <t>1794/173</t>
  </si>
  <si>
    <t>Koala Pordution Company</t>
  </si>
  <si>
    <t>Chisholm Royalty Partners</t>
  </si>
  <si>
    <t>J. Brawner Peggy</t>
  </si>
  <si>
    <t>2005-004681</t>
  </si>
  <si>
    <t>Primary term expired; HBP status uncertain*
Recorded 2005-07-08. Leasing era 2000-2006; presumed expired absent production/HBP.</t>
  </si>
  <si>
    <t>2005-004793</t>
  </si>
  <si>
    <t>1797/463</t>
  </si>
  <si>
    <t>Map2004-ok</t>
  </si>
  <si>
    <t>N/2 Lot 3, W/2 NW/4 Lots 1-2 of 31-12N-24W</t>
  </si>
  <si>
    <t>E. Williams Rogene, Trustee</t>
  </si>
  <si>
    <t>2005-004816</t>
  </si>
  <si>
    <t>Primary term expired; HBP status uncertain*
Recorded 2005-07-18. Leasing era 2000-2006; presumed expired absent production/HBP.</t>
  </si>
  <si>
    <t>2005-004817</t>
  </si>
  <si>
    <t>1798/148</t>
  </si>
  <si>
    <t>2005-004818</t>
  </si>
  <si>
    <t>1798/150</t>
  </si>
  <si>
    <t>Stephen M. Criser, Trustee,
McCaul Rive Lind Trust</t>
  </si>
  <si>
    <t>2005-004863</t>
  </si>
  <si>
    <t>1798/292</t>
  </si>
  <si>
    <t>Chesapeake Explor Ltd Ptnrsh</t>
  </si>
  <si>
    <t>2005-004938</t>
  </si>
  <si>
    <t>1798/573</t>
  </si>
  <si>
    <t>2005-004939</t>
  </si>
  <si>
    <t>1798/576</t>
  </si>
  <si>
    <t>2005-004940</t>
  </si>
  <si>
    <t>1798/579</t>
  </si>
  <si>
    <t>2005-004941</t>
  </si>
  <si>
    <t>1798/582</t>
  </si>
  <si>
    <t>2005-004951</t>
  </si>
  <si>
    <t>1799/30</t>
  </si>
  <si>
    <t>2005-005251</t>
  </si>
  <si>
    <t>1800/453</t>
  </si>
  <si>
    <t>Map 2004 - OK</t>
  </si>
  <si>
    <t>2005-005406</t>
  </si>
  <si>
    <t>1802/107</t>
  </si>
  <si>
    <t>Norwich Petroleum Corporation</t>
  </si>
  <si>
    <t>2005-006992</t>
  </si>
  <si>
    <t>1809/264</t>
  </si>
  <si>
    <t>Hamilton, Dorothy G. Estate of,
Harold D. Co-executor Rogers,
Heather H. Co-executor Tedford</t>
  </si>
  <si>
    <t>Heather Hamilton Tedford</t>
  </si>
  <si>
    <t>2005-007116</t>
  </si>
  <si>
    <t>1810/15</t>
  </si>
  <si>
    <t>Mare Oil Company</t>
  </si>
  <si>
    <t>2005-007117</t>
  </si>
  <si>
    <t>1810/16</t>
  </si>
  <si>
    <t>2005-007119</t>
  </si>
  <si>
    <t>1810/18</t>
  </si>
  <si>
    <t>2005-007120</t>
  </si>
  <si>
    <t>1810/19</t>
  </si>
  <si>
    <t>2005-007202</t>
  </si>
  <si>
    <t>1810/310</t>
  </si>
  <si>
    <t>Hayhurst Peggy J. Revoc Trust,
Hayhurst Peggy J. Trustee</t>
  </si>
  <si>
    <t>2005-007540</t>
  </si>
  <si>
    <t>1812/120</t>
  </si>
  <si>
    <t>Omega Royalty Co, LLC</t>
  </si>
  <si>
    <t>2005-007541</t>
  </si>
  <si>
    <t>1812/121</t>
  </si>
  <si>
    <t>Geotech Production, Inc.,
Jack B. Searle,
Tamara D. Searle</t>
  </si>
  <si>
    <t>2005-007551</t>
  </si>
  <si>
    <t>1812/138</t>
  </si>
  <si>
    <t>2005-008247</t>
  </si>
  <si>
    <t>1815/247</t>
  </si>
  <si>
    <t>Bruce H. C. Hill,
Ellen S. Hill</t>
  </si>
  <si>
    <t>Fredericksburg Royalty, Ltd.</t>
  </si>
  <si>
    <t>2005-008386</t>
  </si>
  <si>
    <t>1816/41</t>
  </si>
  <si>
    <t>N/2 NE/4 of 31-12N-24W, aol</t>
  </si>
  <si>
    <t>S. Walters Shawn</t>
  </si>
  <si>
    <t>Harris III Jess</t>
  </si>
  <si>
    <t>Tom Lakey Eddie</t>
  </si>
  <si>
    <t>Slobin Myron</t>
  </si>
  <si>
    <t>Kirk Margaret</t>
  </si>
  <si>
    <t>2005-008515</t>
  </si>
  <si>
    <t>Primary term expired; HBP status uncertain*
Recorded 2005-12-15. Leasing era 2000-2006; presumed expired absent production/HBP.</t>
  </si>
  <si>
    <t>2005-008517</t>
  </si>
  <si>
    <t>2005-008528</t>
  </si>
  <si>
    <t>2005-008522</t>
  </si>
  <si>
    <t>2005-008523</t>
  </si>
  <si>
    <t>1816/376</t>
  </si>
  <si>
    <t>2005-008530</t>
  </si>
  <si>
    <t>1816/389</t>
  </si>
  <si>
    <t>H. Britton Joe</t>
  </si>
  <si>
    <t>2005-008721</t>
  </si>
  <si>
    <t>Primary term expired; HBP status uncertain*
Recorded 2005-12-23. Leasing era 2000-2006; presumed expired absent production/HBP.</t>
  </si>
  <si>
    <t>2005-008722</t>
  </si>
  <si>
    <t>1817/388</t>
  </si>
  <si>
    <t>2006-000151</t>
  </si>
  <si>
    <t>1819/154</t>
  </si>
  <si>
    <t>Greg Winneke</t>
  </si>
  <si>
    <t>Publc</t>
  </si>
  <si>
    <t>2006-000153</t>
  </si>
  <si>
    <t>1819/156</t>
  </si>
  <si>
    <t>W/2 NW/4 Lots 1,2 Partial of 31-12N-24W</t>
  </si>
  <si>
    <t>2006-000154</t>
  </si>
  <si>
    <t>1819/157</t>
  </si>
  <si>
    <t>Glenda A. Palmer, Trustee</t>
  </si>
  <si>
    <t>Devon Energy Production Co., LP</t>
  </si>
  <si>
    <t>2006-000321</t>
  </si>
  <si>
    <t>Primary term expired; HBP status uncertain*
Recorded 2006-01-16. Leasing era 2000-2006; presumed expired absent production/HBP.</t>
  </si>
  <si>
    <t>Tamise Gibson Anna</t>
  </si>
  <si>
    <t>2006-000583</t>
  </si>
  <si>
    <t>Primary term expired; HBP status uncertain*
Recorded 2006-01-25. Leasing era 2000-2006; presumed expired absent production/HBP.</t>
  </si>
  <si>
    <t>M. Robertson James</t>
  </si>
  <si>
    <t>2006-000702</t>
  </si>
  <si>
    <t>Primary term expired; HBP status uncertain*
Recorded 2006-01-30. Leasing era 2000-2006; presumed expired absent production/HBP.</t>
  </si>
  <si>
    <t>2006-000762</t>
  </si>
  <si>
    <t>1822/13</t>
  </si>
  <si>
    <t>Lots 1,2, LN/2 of LT 3 of 31-12N-24W</t>
  </si>
  <si>
    <t>2006-000766</t>
  </si>
  <si>
    <t>1822/17</t>
  </si>
  <si>
    <t>2006-000767</t>
  </si>
  <si>
    <t>1822/18</t>
  </si>
  <si>
    <t>2006-000770</t>
  </si>
  <si>
    <t>1822/21</t>
  </si>
  <si>
    <t>S/2 NE/4 SW/4, S/2 S/2 SW/4 Lots 3,4, SE/4 SW/4 of 31-12N-24W</t>
  </si>
  <si>
    <t>2006-000776</t>
  </si>
  <si>
    <t>1822/27</t>
  </si>
  <si>
    <t>Newfield Exploration Mid Con Tinc</t>
  </si>
  <si>
    <t>2006-000778</t>
  </si>
  <si>
    <t>1822/29</t>
  </si>
  <si>
    <t>2006-000870</t>
  </si>
  <si>
    <t>1822/291</t>
  </si>
  <si>
    <t>A. Pine Clyde</t>
  </si>
  <si>
    <t>2006-000936</t>
  </si>
  <si>
    <t>Primary term expired; HBP status uncertain*
Recorded 2006-02-06. Leasing era 2000-2006; presumed expired absent production/HBP.</t>
  </si>
  <si>
    <t>2006-000931</t>
  </si>
  <si>
    <t>2006-000937</t>
  </si>
  <si>
    <t>1822/574</t>
  </si>
  <si>
    <t>2006-000938</t>
  </si>
  <si>
    <t>1822/576</t>
  </si>
  <si>
    <t>2006-000939</t>
  </si>
  <si>
    <t>1822/578</t>
  </si>
  <si>
    <t>2006-001223</t>
  </si>
  <si>
    <t>1824/181</t>
  </si>
  <si>
    <t>2006-001349</t>
  </si>
  <si>
    <t>1825/37</t>
  </si>
  <si>
    <t>Samson Resources Company</t>
  </si>
  <si>
    <t>E/2 NW/4, N/2 NE/4, NE/4 SE/4, NW/4 SE/4, S/2 NE/4, SE/4 NE/4, SW/4 NE/4 of 31-12N-24W</t>
  </si>
  <si>
    <t>2006-001886</t>
  </si>
  <si>
    <t>1827/548</t>
  </si>
  <si>
    <t>B. H. C. H. Mineral, Ltd.,
B. H. C. H. Properties, Ltd.</t>
  </si>
  <si>
    <t>2006-001930</t>
  </si>
  <si>
    <t>1828/302</t>
  </si>
  <si>
    <t>Harris, Jess III, Inc.</t>
  </si>
  <si>
    <t>2006-002044</t>
  </si>
  <si>
    <t>Devon Energy Prod Co</t>
  </si>
  <si>
    <t>2006-002339</t>
  </si>
  <si>
    <t>1830/242</t>
  </si>
  <si>
    <t>2006-002436</t>
  </si>
  <si>
    <t>1830/516</t>
  </si>
  <si>
    <t>Newfield Ex Mid-cont</t>
  </si>
  <si>
    <t>NW/4 SE/4, SE/4 SE/4, SW/4 NE/4, W/2 SE/4 of 31-12N-24W</t>
  </si>
  <si>
    <t>2006-002437</t>
  </si>
  <si>
    <t>1830/517</t>
  </si>
  <si>
    <t>2006-002438</t>
  </si>
  <si>
    <t>1830/518</t>
  </si>
  <si>
    <t>2006-002508</t>
  </si>
  <si>
    <t>1831/55</t>
  </si>
  <si>
    <t>Lsee instrument of 31-12N-24W</t>
  </si>
  <si>
    <t>2006-002590</t>
  </si>
  <si>
    <t>1831/229</t>
  </si>
  <si>
    <t>2006-002685</t>
  </si>
  <si>
    <t>1831/481</t>
  </si>
  <si>
    <t>Trilogy Oil &amp;gas, LLC</t>
  </si>
  <si>
    <t>2006-002915</t>
  </si>
  <si>
    <t>1833/218</t>
  </si>
  <si>
    <t>2006-003765</t>
  </si>
  <si>
    <t>1838/136</t>
  </si>
  <si>
    <t>Datt Investment Company,
Four A. Investments</t>
  </si>
  <si>
    <t>2006-003963</t>
  </si>
  <si>
    <t>1839/9</t>
  </si>
  <si>
    <t>2006-003993</t>
  </si>
  <si>
    <t>1839/66</t>
  </si>
  <si>
    <t>Trilogy Oil &amp; Gas, LLC</t>
  </si>
  <si>
    <t>Butera John,
Stewart Geological, Inc.,
St George Coal Co</t>
  </si>
  <si>
    <t>2006-004747</t>
  </si>
  <si>
    <t>1842/453</t>
  </si>
  <si>
    <t>John Butera</t>
  </si>
  <si>
    <t>John Butera,
Double L., LLC,
Wolf Point Ex, LLC</t>
  </si>
  <si>
    <t>2006-005043</t>
  </si>
  <si>
    <t>1844/584</t>
  </si>
  <si>
    <t>St George Coal Co</t>
  </si>
  <si>
    <t>Duke George B.</t>
  </si>
  <si>
    <t>2006-005081</t>
  </si>
  <si>
    <t>1845/128</t>
  </si>
  <si>
    <t>Jourdan George</t>
  </si>
  <si>
    <t>Jh Famiy, LLC</t>
  </si>
  <si>
    <t>2006-005146</t>
  </si>
  <si>
    <t>Memorandum</t>
  </si>
  <si>
    <t>1845/333</t>
  </si>
  <si>
    <t>Ruth Olson</t>
  </si>
  <si>
    <t>2006-006122</t>
  </si>
  <si>
    <t>1852/8</t>
  </si>
  <si>
    <t>Rogene E. Williams</t>
  </si>
  <si>
    <t>Rogene E. Williams, Trustee</t>
  </si>
  <si>
    <t>2006-006475</t>
  </si>
  <si>
    <t>1853/546</t>
  </si>
  <si>
    <t>Leede Ex</t>
  </si>
  <si>
    <t>Asarco Oil &amp; Gas,
Colt Dev, LLC,
Robert H. Fraizier,
Jerry L. Hudgenons,
Clyde A. Ine,
Leede Ex,
Thomas A. Morgan,
Oil Energy, Inc.,
Charles D. Ray,
Roca Dev, LLC</t>
  </si>
  <si>
    <t>Leasehold / WI | OCR variant? 'Fraizier' cf. 'Frazier'</t>
  </si>
  <si>
    <t>2006-007198</t>
  </si>
  <si>
    <t>1858/52</t>
  </si>
  <si>
    <t>Butera John</t>
  </si>
  <si>
    <t>Double L., LLC,
Wolf Point Explor, LLC</t>
  </si>
  <si>
    <t>2007-000328</t>
  </si>
  <si>
    <t>1864/96</t>
  </si>
  <si>
    <t>B. Kole Killion</t>
  </si>
  <si>
    <t>Rhett L. Frazier</t>
  </si>
  <si>
    <t>2007-000723</t>
  </si>
  <si>
    <t>1866/238</t>
  </si>
  <si>
    <t>Estate of Paul Devenas</t>
  </si>
  <si>
    <t>SW/4 of 31-12N-24W, aol</t>
  </si>
  <si>
    <t>2007-001310</t>
  </si>
  <si>
    <t>1869/164</t>
  </si>
  <si>
    <t>Samson Resources Co</t>
  </si>
  <si>
    <t>Gary Reid</t>
  </si>
  <si>
    <t>E/2 NW/4, N/2 NE/4 SW/4, NE/4 SE/4, NW/4 SE/4, S/2 SE/4, SE/4 NE/4, SW/4 NE/4 of 31-12N-24W</t>
  </si>
  <si>
    <t>2007-001374</t>
  </si>
  <si>
    <t>1869/351</t>
  </si>
  <si>
    <t>Lola F. Ricards</t>
  </si>
  <si>
    <t>Mineral | OCR variant? 'Ricards' cf. 'Richards'</t>
  </si>
  <si>
    <t>2007-001848</t>
  </si>
  <si>
    <t>1872/277</t>
  </si>
  <si>
    <t>Floyd W. Atha,
Atha Nancy D.</t>
  </si>
  <si>
    <t>Atha Floyd Revoc Trust,
Floyd Atha, Trustee,
Atha Nancy Revoc Trust,
Atha Nancy Trustee</t>
  </si>
  <si>
    <t>E/2 W/2 E/2 Lots 1-4, N/2 NE/4, NE/4 SE/4, SE/4 NE/4 of 31-12N-24W</t>
  </si>
  <si>
    <t>2007-002804</t>
  </si>
  <si>
    <t>1878/109</t>
  </si>
  <si>
    <t>Trilogy Oil and Gas, LLC</t>
  </si>
  <si>
    <t>2007-002874</t>
  </si>
  <si>
    <t>1878/327</t>
  </si>
  <si>
    <t>S/2 NE/4 SW/4 Lots 3-4, SE/4 SW/4 of 31-12N-24W</t>
  </si>
  <si>
    <t>2007-003914</t>
  </si>
  <si>
    <t>1883/582</t>
  </si>
  <si>
    <t>Boulevard Associates, LLC</t>
  </si>
  <si>
    <t>N/2 NE/4, NE/4 SE/4, SE/4 NE/4 of 31-12N-24W, aol</t>
  </si>
  <si>
    <t>2007-004018</t>
  </si>
  <si>
    <t>Power of Attorney</t>
  </si>
  <si>
    <t>1884/508</t>
  </si>
  <si>
    <t>Kaiser Francis Oil Company</t>
  </si>
  <si>
    <t>2007-008043</t>
  </si>
  <si>
    <t>1567/6</t>
  </si>
  <si>
    <t>Ocean Energy, Inc.</t>
  </si>
  <si>
    <t>Ocean Energy Resources, Inc.</t>
  </si>
  <si>
    <t>1998-000843</t>
  </si>
  <si>
    <t>E/2 NW/4, NE/4 SE/4, SE/4 NE/4, W/2 NE/4 of 31-12N-24W, aol</t>
  </si>
  <si>
    <t>2007-005167</t>
  </si>
  <si>
    <t>1892/567</t>
  </si>
  <si>
    <t>2008-003157</t>
  </si>
  <si>
    <t>1914/155</t>
  </si>
  <si>
    <t>Floyd Co Atha, Trustee,
Nancy Co Atha, Trustee</t>
  </si>
  <si>
    <t>Danielle Delane Tucker,
Monte Earl Tucker</t>
  </si>
  <si>
    <t>N/2 NE/4, NE/4 SE/4, SE/4 NE/4 of 31-12N-24W</t>
  </si>
  <si>
    <t>2008-004060</t>
  </si>
  <si>
    <t>1919/359</t>
  </si>
  <si>
    <t>Shawn S. Walters,
Wayne A. Walters</t>
  </si>
  <si>
    <t>Shawn S. Walters, Trustee,
Wayne A. Walters, Trustee</t>
  </si>
  <si>
    <t>2008-006536</t>
  </si>
  <si>
    <t>1937/418</t>
  </si>
  <si>
    <t>Koala Production Co</t>
  </si>
  <si>
    <t>NW/4 NW/4 Lots 1-3 of 31-12N-24W</t>
  </si>
  <si>
    <t>2008-007080</t>
  </si>
  <si>
    <t>1940/420</t>
  </si>
  <si>
    <t>2008-007325</t>
  </si>
  <si>
    <t>1941/550</t>
  </si>
  <si>
    <t>Jan A. Indepedent Executor Schroff</t>
  </si>
  <si>
    <t>Williams, Rogene E. Revocable Living Trust</t>
  </si>
  <si>
    <t>2009-000222</t>
  </si>
  <si>
    <t>1945/410</t>
  </si>
  <si>
    <t>Encore Operating, LP</t>
  </si>
  <si>
    <t>Encore Energy Partners Operating, LLC</t>
  </si>
  <si>
    <t>2009-000272</t>
  </si>
  <si>
    <t>1945/594</t>
  </si>
  <si>
    <t>Jess Harris III, Inc.</t>
  </si>
  <si>
    <t>Newfield Exploration Mid-continent, Inc.</t>
  </si>
  <si>
    <t>2009-000273</t>
  </si>
  <si>
    <t>1945/595</t>
  </si>
  <si>
    <t>Lots 1-3 Partial of 31-12N-24W</t>
  </si>
  <si>
    <t>2009-000477</t>
  </si>
  <si>
    <t>1946/513</t>
  </si>
  <si>
    <t>Bank of America</t>
  </si>
  <si>
    <t>Encore Energy Partners Operating, LLC,
Encore Operating, LP</t>
  </si>
  <si>
    <t>2009-000702</t>
  </si>
  <si>
    <t>Affidavit of Heirship</t>
  </si>
  <si>
    <t>1948/262</t>
  </si>
  <si>
    <t>Willa Hambrook</t>
  </si>
  <si>
    <t>2009-000895</t>
  </si>
  <si>
    <t>1949/217</t>
  </si>
  <si>
    <t>Jesse W. Fuchs,
Jinkee Acuero Fuchs</t>
  </si>
  <si>
    <t>Jessica Corry Fuchs</t>
  </si>
  <si>
    <t>2009-002005</t>
  </si>
  <si>
    <t>1956/354</t>
  </si>
  <si>
    <t>Atha, Floyd and Nancy Rev Trust,
Floyd Co- Atha, Trustee,
Floyd W. Atha,
Nancy Co- Atha, Trustee,
Nancy D. Atha</t>
  </si>
  <si>
    <t>Donnaleta Rev Trust Fuchs,
Donnaleta Fuchs, Trustee,
Fuchs, Y. C. Jr. Rev Trust,
Y. C. Fuchs Jr., Trustee</t>
  </si>
  <si>
    <t>E/2 W/2, Lots 1-4 of 31-12N-24W</t>
  </si>
  <si>
    <t>2009-002096</t>
  </si>
  <si>
    <t>Quit Claim</t>
  </si>
  <si>
    <t>1958/60</t>
  </si>
  <si>
    <t>Floyd Atha,
Nancy Atha,
Atha Revocable Trust, Floyd and Nancy</t>
  </si>
  <si>
    <t>Kathy Bryant,
William E. Bryant</t>
  </si>
  <si>
    <t>Lot 1 Exceptions Containing 7 Acre(s) (more or less) of 31-12N-24W</t>
  </si>
  <si>
    <t>2009-002872</t>
  </si>
  <si>
    <t>1963/222</t>
  </si>
  <si>
    <t>Clara Mae Bryan,
George Kendall Bryan,
George M. Bryan</t>
  </si>
  <si>
    <t>Bryan Living Trust</t>
  </si>
  <si>
    <t>Lot 4 Partial, SE/4 SW/4 Partial of 31-12N-24W</t>
  </si>
  <si>
    <t>2009-002996</t>
  </si>
  <si>
    <t>1964/97</t>
  </si>
  <si>
    <t>Donnaletta Revoc Trust Fuchs,
Donnaletta Fuchs, Trustee,
Fuchs, Y. C. Jr. Revoc Trust,
Y. C. Fuchs Jr., Trustee</t>
  </si>
  <si>
    <t>Jesse Joe Newell,
Jill Ann Newell</t>
  </si>
  <si>
    <t>2009-004292</t>
  </si>
  <si>
    <t>1972/574</t>
  </si>
  <si>
    <t>Kaiser-francis Oil Company</t>
  </si>
  <si>
    <t>Craig Dolinsky</t>
  </si>
  <si>
    <t>LALEXANDER 1-31 of 31-12N-24W, aol</t>
  </si>
  <si>
    <t>2009-006282</t>
  </si>
  <si>
    <t>1984/236</t>
  </si>
  <si>
    <t>2010-002337</t>
  </si>
  <si>
    <t>2002/576</t>
  </si>
  <si>
    <t>Dwight J. Williams,
Elizabeth M. Williams</t>
  </si>
  <si>
    <t>Williams, Dwight J. Revocable Trust,
Dwight J. Williams, Trustee</t>
  </si>
  <si>
    <t>2010-005367</t>
  </si>
  <si>
    <t>Letter</t>
  </si>
  <si>
    <t>2019/500</t>
  </si>
  <si>
    <t>Clarence C. Dcd Bain,
Clarence Clifton Dcd Bain,
Clarence C. Bain, Trustee,
Michael L. Bain,
Michael L. Co- Bain, Trustee,
William C. Co- Bain, Trustee,
Cdb Trust</t>
  </si>
  <si>
    <t>2010-005993</t>
  </si>
  <si>
    <t>2022/493</t>
  </si>
  <si>
    <t>Wilda W. Jensen</t>
  </si>
  <si>
    <t>Hans W. Jensen,
Tim E. Jensen</t>
  </si>
  <si>
    <t>2010-006265</t>
  </si>
  <si>
    <t>2024/74</t>
  </si>
  <si>
    <t>Sydtran Management, LLC</t>
  </si>
  <si>
    <t>2010-006266</t>
  </si>
  <si>
    <t>2024/85</t>
  </si>
  <si>
    <t>Rialto Oil &amp; Gas Corporation</t>
  </si>
  <si>
    <t>Sydtran, LP,
Sydtran Management, LLC</t>
  </si>
  <si>
    <t>2010-006561</t>
  </si>
  <si>
    <t>2027/85</t>
  </si>
  <si>
    <t>Dwight James Successor Williams, Trustee,
Williams, Jon T. and Rogene E. Trust</t>
  </si>
  <si>
    <t>2010-007125</t>
  </si>
  <si>
    <t>2031/5</t>
  </si>
  <si>
    <t>2010-007953</t>
  </si>
  <si>
    <t>2036/3</t>
  </si>
  <si>
    <t>Elk City II Wind, LLC</t>
  </si>
  <si>
    <t>2010-008922</t>
  </si>
  <si>
    <t>2041/379</t>
  </si>
  <si>
    <t>Fausta J. Bish,
Terry Bish,
Tina Bish,
Datt Investment Company</t>
  </si>
  <si>
    <t>Bish Family Trust,
Fausta J. Bish, Trustee,
Terry V. Bish, Trustee</t>
  </si>
  <si>
    <t>2010-008934</t>
  </si>
  <si>
    <t>2041/406</t>
  </si>
  <si>
    <t>Petrohawk Energy Corporation</t>
  </si>
  <si>
    <t>Petrohawk Properties, LP</t>
  </si>
  <si>
    <t>2010-010052</t>
  </si>
  <si>
    <t>Notice</t>
  </si>
  <si>
    <t>2048/268</t>
  </si>
  <si>
    <t>2011-000110</t>
  </si>
  <si>
    <t>2057/347</t>
  </si>
  <si>
    <t>Hefner Company, Inc.</t>
  </si>
  <si>
    <t>Cheyenne Resources, LLC</t>
  </si>
  <si>
    <t>2011-001007</t>
  </si>
  <si>
    <t>Trustees Mineral Deed</t>
  </si>
  <si>
    <t>2063/491</t>
  </si>
  <si>
    <t>Glenda Palmer,
Richard Palmer</t>
  </si>
  <si>
    <t>Palmer Family Trust,
Glenda Ann Palmer, Trustee,
Richard Royce Palmer, Trustee</t>
  </si>
  <si>
    <t>2011-001008</t>
  </si>
  <si>
    <t>2063/494</t>
  </si>
  <si>
    <t>Mitchel, Glenn Douglas and Hazel Pearl Trust,
Glenda Ann Palmer, Trustee</t>
  </si>
  <si>
    <t>Mitchel, Jack D. and Shonna A. Family Trust,
Shanti Jonathan Mitchel,
Shonna Arlene Mitchel, Trustee,
Palmer Family Trust,
Glenda Ann Palmer, Trustee,
Richard Royce Palmer, Trustee</t>
  </si>
  <si>
    <t>2011-001009</t>
  </si>
  <si>
    <t>2063/497</t>
  </si>
  <si>
    <t>Shonna Mitchel,
Shonna A. Mitchel,
Shonna Arlene Mitchel</t>
  </si>
  <si>
    <t>Mitchel, Jack D. and Shonna A. Family Trust,
Shonna Arlene Mitchel,
Shonna A. Mitchel, Trustee</t>
  </si>
  <si>
    <t>2011-003023</t>
  </si>
  <si>
    <t>2074/536</t>
  </si>
  <si>
    <t>4 A. Investments,
Bryon A. Hetherington</t>
  </si>
  <si>
    <t>Bryon A. Hetherington, Trustee,
Byron A. Trust Hetherington</t>
  </si>
  <si>
    <t>2011-005695</t>
  </si>
  <si>
    <t>2092/134</t>
  </si>
  <si>
    <t>Sorenson Michelle Johnson,
Sorenson Oil and Gas Trust</t>
  </si>
  <si>
    <t>Kei Lee Trust Daigle,
Mark Ashley Trust Daigle,
Kevin Warner Trust Johnson</t>
  </si>
  <si>
    <t>LALEXANDER 1-31 of 31-12N-24W</t>
  </si>
  <si>
    <t>2011-005926</t>
  </si>
  <si>
    <t>2093/461</t>
  </si>
  <si>
    <t>Cheyenne Resources</t>
  </si>
  <si>
    <t>Hefner Company</t>
  </si>
  <si>
    <t>2011-007728</t>
  </si>
  <si>
    <t>2104/239</t>
  </si>
  <si>
    <t>Michael L. Bain, Trustee,
William C. Bain, Trustee</t>
  </si>
  <si>
    <t>Michael L. Bain, Trustee,
Paul M. Bain, Trustee,
William C. Bain, Trustee</t>
  </si>
  <si>
    <t>2011-007729</t>
  </si>
  <si>
    <t>2104/242</t>
  </si>
  <si>
    <t>2011-007727</t>
  </si>
  <si>
    <t>2104/234</t>
  </si>
  <si>
    <t>Michael Bain,
William C. Bain</t>
  </si>
  <si>
    <t>2011-007826</t>
  </si>
  <si>
    <t>2104/537</t>
  </si>
  <si>
    <t>Fleshman Agency</t>
  </si>
  <si>
    <t>Mekusukey Oil Company, LLC</t>
  </si>
  <si>
    <t>Lots 1-2, Lot 3 Partial of 31-12N-24W, aol</t>
  </si>
  <si>
    <t>2011-008134</t>
  </si>
  <si>
    <t>2106/387</t>
  </si>
  <si>
    <t>Brian Herman Kortright</t>
  </si>
  <si>
    <t>NW/4 SE/4, S/2 SE/4, SE/4 NE/4 of 31-12N-24W, aol</t>
  </si>
  <si>
    <t>2011-008366</t>
  </si>
  <si>
    <t>2108/102</t>
  </si>
  <si>
    <t>Michelle Sorenson Johnson</t>
  </si>
  <si>
    <t>Mark Ashley Trust Daigle,
Kevin Warner Johnson,
Tucker, Keri Lee Daigle Trust</t>
  </si>
  <si>
    <t>2012-000970</t>
  </si>
  <si>
    <t>2116/16</t>
  </si>
  <si>
    <t>Keri L. Tucker</t>
  </si>
  <si>
    <t>2012-001856</t>
  </si>
  <si>
    <t>Partial Release</t>
  </si>
  <si>
    <t>2121/77</t>
  </si>
  <si>
    <t>Wells Fargo Bank</t>
  </si>
  <si>
    <t>Chesapeake Exploration, LLC</t>
  </si>
  <si>
    <t>NW/4 SE/4, S/2 NE/4 SW/4 Lots 3-4, S/2 SE/4, SE/4 SW/4, SW/4 NE/4 of 31-12N-24W, aol</t>
  </si>
  <si>
    <t>2012-002191</t>
  </si>
  <si>
    <t>2124/117</t>
  </si>
  <si>
    <t>Fred A. Standiford</t>
  </si>
  <si>
    <t>2012-002539</t>
  </si>
  <si>
    <t>2129/1</t>
  </si>
  <si>
    <t>CHK Cleveland Tonkawa, LLC</t>
  </si>
  <si>
    <t>2012-002930</t>
  </si>
  <si>
    <t>2131/599</t>
  </si>
  <si>
    <t>Doris Bain,
Jospeh A. Bain</t>
  </si>
  <si>
    <t>Lighthouse Point, LLC</t>
  </si>
  <si>
    <t>2012-004060</t>
  </si>
  <si>
    <t>2141/3</t>
  </si>
  <si>
    <t>Joel R. Ibeling,
Lyle T. Ibeling,
Michelle L. Ibeling,
Janelle Ibeling Ness,
OK Oil Ventures,
Myron V. Slobin,
Gregory J. Winneke,
Cassandra M. Wynia</t>
  </si>
  <si>
    <t>Myron V. Slobin,
Gregory J. Winneke</t>
  </si>
  <si>
    <t>2012-004836</t>
  </si>
  <si>
    <t>2147/239</t>
  </si>
  <si>
    <t>Kaiser-francis Oil Co</t>
  </si>
  <si>
    <t>Craig Aif Dolinsky</t>
  </si>
  <si>
    <t>2012-005041</t>
  </si>
  <si>
    <t>2148/385</t>
  </si>
  <si>
    <t>Standiford, Fred A. Jr. Trust</t>
  </si>
  <si>
    <t>Kimberly D. Standiford,
Rosa C. Standiford</t>
  </si>
  <si>
    <t>2012-005854</t>
  </si>
  <si>
    <t>Amendment</t>
  </si>
  <si>
    <t>2154/229</t>
  </si>
  <si>
    <t>2012-006698</t>
  </si>
  <si>
    <t>2159/63</t>
  </si>
  <si>
    <t>Chesapeake Energy Corp.,
Chesapeake Midstream Development,
Latigo</t>
  </si>
  <si>
    <t>Legal not found in public snippet candidate from related web-index page of 31-12N-24W</t>
  </si>
  <si>
    <t>Provides record notice of lease</t>
  </si>
  <si>
    <t>2012-006477</t>
  </si>
  <si>
    <t>2159/361</t>
  </si>
  <si>
    <t>Yale Oil Assoc, Inc.</t>
  </si>
  <si>
    <t>Chelin H. Satherlie,
Gregg M. Satherlie</t>
  </si>
  <si>
    <t>2012-007511</t>
  </si>
  <si>
    <t>2166/194</t>
  </si>
  <si>
    <t>K. C. Production</t>
  </si>
  <si>
    <t>Lots 1,2, N/2 of 3 of 31-12N-24W</t>
  </si>
  <si>
    <t>2013-000518</t>
  </si>
  <si>
    <t>2177/33</t>
  </si>
  <si>
    <t>Gene G. Williams,
Nancy Mitchell Dcd Williams</t>
  </si>
  <si>
    <t>E/2 NW/4, N/2 NE/4, N/2 NE/4 SW/4, NE/4 SE/4, SE/4 NE/4, SE/4 NE/4 SW/4 LS/2 of 3, 4, SE/4 SW/4 of 31-12N-24W, aol</t>
  </si>
  <si>
    <t>2013-002047</t>
  </si>
  <si>
    <t>2179/1</t>
  </si>
  <si>
    <t>Chesapeake Midstream Development</t>
  </si>
  <si>
    <t>Compass Bank</t>
  </si>
  <si>
    <t>S29 T16N R22W A S22 T16N R25W A 322 more candidate from related target search page of 31-12N-24W, aol</t>
  </si>
  <si>
    <t>2013-001272</t>
  </si>
  <si>
    <t>2182/95</t>
  </si>
  <si>
    <t>LN1/2 3, NW/4 NW/4 Lots 1,2 of 31-12N-24W</t>
  </si>
  <si>
    <t>2013-001724</t>
  </si>
  <si>
    <t>2184/570</t>
  </si>
  <si>
    <t>NW/4 NW/4 Lots 1,2,3 of 31-12N-24W</t>
  </si>
  <si>
    <t>2013-002727</t>
  </si>
  <si>
    <t>2193/517</t>
  </si>
  <si>
    <t>Devon Energy Production Co</t>
  </si>
  <si>
    <t>Plains Marketing, LP</t>
  </si>
  <si>
    <t>2013-004038</t>
  </si>
  <si>
    <t>2202/378</t>
  </si>
  <si>
    <t>Gary C. Reid, Trustee,
Reid Rev Trust,
Shannon D. Reid, Trustee</t>
  </si>
  <si>
    <t>2013-004163</t>
  </si>
  <si>
    <t>2203/395</t>
  </si>
  <si>
    <t>Lots 1,2,3 of 31-12N-24W, aol</t>
  </si>
  <si>
    <t>2013-006083</t>
  </si>
  <si>
    <t>2219/516</t>
  </si>
  <si>
    <t>2013-006129</t>
  </si>
  <si>
    <t>2220/118</t>
  </si>
  <si>
    <t>Joseph A. Devenas Jr.</t>
  </si>
  <si>
    <t>2013-006188</t>
  </si>
  <si>
    <t>2220/400</t>
  </si>
  <si>
    <t>Linn Energy Holdings, LLC</t>
  </si>
  <si>
    <t>2013-006415</t>
  </si>
  <si>
    <t>2222/536</t>
  </si>
  <si>
    <t>Barry Ross Kelley,
Jill Ann Kelley</t>
  </si>
  <si>
    <t>Jesse Joe Newell,
Rachael Elzabeth Newell</t>
  </si>
  <si>
    <t>E/2 W/2 Lots 1,2,3,4 of 31-12N-24W</t>
  </si>
  <si>
    <t>2013-006501</t>
  </si>
  <si>
    <t>2223/305</t>
  </si>
  <si>
    <t>David Silverberg</t>
  </si>
  <si>
    <t>Cambria Energy, LLC</t>
  </si>
  <si>
    <t>2013-006502</t>
  </si>
  <si>
    <t>2223/307</t>
  </si>
  <si>
    <t>2013-006584</t>
  </si>
  <si>
    <t>Purchase Agreement</t>
  </si>
  <si>
    <t>2224/378</t>
  </si>
  <si>
    <t>Joseph A. Bain</t>
  </si>
  <si>
    <t>Anna T. Bain Gibson</t>
  </si>
  <si>
    <t>NW/4 SE/4, S/2 SE/4, SW/4 of 31-12N-24W, aol</t>
  </si>
  <si>
    <t>2013-006585</t>
  </si>
  <si>
    <t>2224/382</t>
  </si>
  <si>
    <t>2013-006644</t>
  </si>
  <si>
    <t>2224/529</t>
  </si>
  <si>
    <t>Edris Oleta Miller Dcd Bain,
Sheila Kay Salvo</t>
  </si>
  <si>
    <t>2013-006645</t>
  </si>
  <si>
    <t>2224/535</t>
  </si>
  <si>
    <t>Dow Conrad Dcd Bain,
Sheila Kay Salvo</t>
  </si>
  <si>
    <t>2014-002337</t>
  </si>
  <si>
    <t>2247/183</t>
  </si>
  <si>
    <t>Mekusukey Oil Company</t>
  </si>
  <si>
    <t>2014-002935</t>
  </si>
  <si>
    <t>2251/22</t>
  </si>
  <si>
    <t>Jesse William Fuchs</t>
  </si>
  <si>
    <t>2014-003089</t>
  </si>
  <si>
    <t>2251/529</t>
  </si>
  <si>
    <t>Luther Ervin Thurman,
Veronica Gentry Thurman</t>
  </si>
  <si>
    <t>Thurman, Luther and Veronica Liv Trust,
Luther Ervin Thurman, Trustee,
Veronica Gentry Thurman, Trustee</t>
  </si>
  <si>
    <t>2014-004286</t>
  </si>
  <si>
    <t>2259/397</t>
  </si>
  <si>
    <t>Estate of Lyle Terrence Ibeling</t>
  </si>
  <si>
    <t>2014-004525</t>
  </si>
  <si>
    <t>Divorce Decree</t>
  </si>
  <si>
    <t>2261/255</t>
  </si>
  <si>
    <t>William Edgar Bryant</t>
  </si>
  <si>
    <t>Kathy Lynn Bryant</t>
  </si>
  <si>
    <t>2014-005899</t>
  </si>
  <si>
    <t>2270/252</t>
  </si>
  <si>
    <t>Eddie Tom Lakey,
Marinita Lakey</t>
  </si>
  <si>
    <t>Lakey, Eddie Tom and Marinita Rev Trust,
Eddie Tom Lakey, Trustee,
Marinita Ann Lakey, Trustee</t>
  </si>
  <si>
    <t>NW/4 of 31-12N-24W, aol</t>
  </si>
  <si>
    <t>2014-005920</t>
  </si>
  <si>
    <t>2270/316</t>
  </si>
  <si>
    <t>Newfield Exploartion Company,
Newfield Exploration Mid Continent, Inc.</t>
  </si>
  <si>
    <t>Templar Energy, LLC</t>
  </si>
  <si>
    <t>2014-006293</t>
  </si>
  <si>
    <t>2273/223</t>
  </si>
  <si>
    <t>Etta Britton,
Joe H. Britton</t>
  </si>
  <si>
    <t>Linda C. Browning</t>
  </si>
  <si>
    <t>E/2 NW/4, N/2 NE/4, NE/4 SE/4, SE/4 NE/4 of 31-12N-24W, aol</t>
  </si>
  <si>
    <t>2014-006352</t>
  </si>
  <si>
    <t>2273/539</t>
  </si>
  <si>
    <t>Linda Aka Fields,
Linda Aka Klipfenstein,
Linda Mize,
Jon Wilkerson</t>
  </si>
  <si>
    <t>See instrument | OCR variant? 'Klipfenstein' cf. 'Klopfenstein'</t>
  </si>
  <si>
    <t>2015-000058</t>
  </si>
  <si>
    <t>2282/234</t>
  </si>
  <si>
    <t>Linn Energy Holdings, et al</t>
  </si>
  <si>
    <t>Enervest,
Fourpoint</t>
  </si>
  <si>
    <t>2015-000877</t>
  </si>
  <si>
    <t>2290/178</t>
  </si>
  <si>
    <t>Isa May Smith,
William A. Smith</t>
  </si>
  <si>
    <t>Smith, William A. and Isa May Family Rev Trust</t>
  </si>
  <si>
    <t>2015-001388</t>
  </si>
  <si>
    <t>2294/47</t>
  </si>
  <si>
    <t>2015-001661</t>
  </si>
  <si>
    <t>2295/372</t>
  </si>
  <si>
    <t>Robert H. Frazier</t>
  </si>
  <si>
    <t>Robert H. Frazier Royalty</t>
  </si>
  <si>
    <t>2015-001928</t>
  </si>
  <si>
    <t>2297/234</t>
  </si>
  <si>
    <t>Deutsche Bank Trust</t>
  </si>
  <si>
    <t>2015-002368</t>
  </si>
  <si>
    <t>2302/507</t>
  </si>
  <si>
    <t>Enervest Energy Institutional Fund XIII Wib, LP</t>
  </si>
  <si>
    <t>Enervest Energy Institutional Fund XIII B., LP</t>
  </si>
  <si>
    <t>2015-002369</t>
  </si>
  <si>
    <t>2302/512</t>
  </si>
  <si>
    <t>Enervest Energy Institutional Fund XIII Wic, LP</t>
  </si>
  <si>
    <t>Enervest Energy Institutional Fund XIII C., LP</t>
  </si>
  <si>
    <t>2015-002747</t>
  </si>
  <si>
    <t>2307/1</t>
  </si>
  <si>
    <t>Chesapeake Exploration</t>
  </si>
  <si>
    <t>Fourpoint Energy, LLC</t>
  </si>
  <si>
    <t>2015-002749</t>
  </si>
  <si>
    <t>2308/23</t>
  </si>
  <si>
    <t>CHK Cleveland Tonkawa</t>
  </si>
  <si>
    <t>2015-002791</t>
  </si>
  <si>
    <t>2309/236</t>
  </si>
  <si>
    <t>Jinkee D. Acuero Fuchs,
William Jesse Fuchs</t>
  </si>
  <si>
    <t>Jinkee D. Acuero Fuchs, Trustee,
Fuchs, William Jesse and Jinkee D. Acuero Trust,
William Jesse Fuchs, Trustee</t>
  </si>
  <si>
    <t>NW/4 SW/4, S/2 SE/4, SW/4 NE/4 of 31-12N-24W, aol</t>
  </si>
  <si>
    <t>2015-003022</t>
  </si>
  <si>
    <t>2311/333</t>
  </si>
  <si>
    <t>Enervest Energy Fund Xii-wib</t>
  </si>
  <si>
    <t>Enervest Energy Fund XIII-c</t>
  </si>
  <si>
    <t>2015-003023</t>
  </si>
  <si>
    <t>2311/337</t>
  </si>
  <si>
    <t>Enervest Energy Fund XIII-b</t>
  </si>
  <si>
    <t>2015-003284</t>
  </si>
  <si>
    <t>2315/42</t>
  </si>
  <si>
    <t>Greystone Energy</t>
  </si>
  <si>
    <t>2016-001244</t>
  </si>
  <si>
    <t>2332/223</t>
  </si>
  <si>
    <t>Jesse William Fuchs,
Jinkee D. Acuero Fuchs</t>
  </si>
  <si>
    <t>Jesse William Trust Fuchs,
Fuchs, Jinkee D. Acuero Trust</t>
  </si>
  <si>
    <t>2016-001589</t>
  </si>
  <si>
    <t>2337/427</t>
  </si>
  <si>
    <t>Bryan Living Trust,
Mariyln K. Bryan, Trustee,
Norman B. Bryan, Trustee</t>
  </si>
  <si>
    <t>Katie C. Lucas,
Matthew B. Lucas</t>
  </si>
  <si>
    <t>SE/4 SW/4 Lot 4 of 31-12N-24W</t>
  </si>
  <si>
    <t>2016-001882</t>
  </si>
  <si>
    <t>2342/219</t>
  </si>
  <si>
    <t>Tecolote Holdings</t>
  </si>
  <si>
    <t>Conveys/clarifies mineral interest</t>
  </si>
  <si>
    <t>2016-001883</t>
  </si>
  <si>
    <t>2343/1</t>
  </si>
  <si>
    <t>Tecolote Holdings, LLC</t>
  </si>
  <si>
    <t>2016-002265</t>
  </si>
  <si>
    <t>2348/288</t>
  </si>
  <si>
    <t>Bryan Living Trust,
Marilyn K. Bryan, Trustee,
Norman B. Bryan, Trustee</t>
  </si>
  <si>
    <t>SE/4 SW/4 Lot 4 of 31-12N-24W, aol</t>
  </si>
  <si>
    <t>2016-002668</t>
  </si>
  <si>
    <t>2351/1</t>
  </si>
  <si>
    <t>Oil Rio,
Gas II, LLC</t>
  </si>
  <si>
    <t>Samson Resources Co.</t>
  </si>
  <si>
    <t>S9 T15N R23W LFUCHS 168 more candidate from related target search page of 31-12N-24W, aol</t>
  </si>
  <si>
    <t>2016-002793</t>
  </si>
  <si>
    <t>2354/229</t>
  </si>
  <si>
    <t>2017-000083</t>
  </si>
  <si>
    <t>2356/399</t>
  </si>
  <si>
    <t>Geodyne Resources, Inc.,
Samson Lone Star, LLC,
Samson Resources Company</t>
  </si>
  <si>
    <t>Fairway Resources III, LLC</t>
  </si>
  <si>
    <t>LALEXANDER of 31-12N-24W, aol</t>
  </si>
  <si>
    <t>2365/338</t>
  </si>
  <si>
    <t>Pearl Kirk Ella</t>
  </si>
  <si>
    <t>Wayne Kirk Calvin</t>
  </si>
  <si>
    <t>Conveys mineral fee</t>
  </si>
  <si>
    <t>2017-000951</t>
  </si>
  <si>
    <t>Calvin Wayne Kirk</t>
  </si>
  <si>
    <t>2017-001403</t>
  </si>
  <si>
    <t>Change of Address</t>
  </si>
  <si>
    <t>2370/359</t>
  </si>
  <si>
    <t>King Exploration</t>
  </si>
  <si>
    <t>2017-001880</t>
  </si>
  <si>
    <t>2376/100</t>
  </si>
  <si>
    <t>Tamara K. Wilkerson</t>
  </si>
  <si>
    <t>2017-002694</t>
  </si>
  <si>
    <t>2383/169</t>
  </si>
  <si>
    <t>Tecolote Royalty, LP</t>
  </si>
  <si>
    <t>Transfers interest</t>
  </si>
  <si>
    <t>2385/72</t>
  </si>
  <si>
    <t>Lalexander 1-31 of 31-12N-24W</t>
  </si>
  <si>
    <t>2018-000119</t>
  </si>
  <si>
    <t>2018-001569</t>
  </si>
  <si>
    <t>2394/591</t>
  </si>
  <si>
    <t>Fortune Natural Resources Corp,
Robin D. Vp McGuire</t>
  </si>
  <si>
    <t>2018-002049</t>
  </si>
  <si>
    <t>2399/188</t>
  </si>
  <si>
    <t>Enervest Operating, et al</t>
  </si>
  <si>
    <t>2018-002306</t>
  </si>
  <si>
    <t>2401/527</t>
  </si>
  <si>
    <t>Elk City II Wind</t>
  </si>
  <si>
    <t>Elk City Renewables II</t>
  </si>
  <si>
    <t>2406/228</t>
  </si>
  <si>
    <t>Of the Luther Cindy Lou Vignal, Trustee,
Veronica Liv Thurman Trust</t>
  </si>
  <si>
    <t>Of the Gary Gary Wayne Vignal, Trustee,
Cindy Liv Vignal Trust, Cindy Lou Vignal, of the Gary, Trustee,
Cindy Liv Vignal Trust</t>
  </si>
  <si>
    <t>Conveys/clarifies mineral interest | Garbled party text (OCR) — verify against instrument</t>
  </si>
  <si>
    <t>2018-002650</t>
  </si>
  <si>
    <t>Thurman, Luther and Veronica Liv Trust,
Cindy Lou Vignal, Trustee</t>
  </si>
  <si>
    <t>Cindy Lou Vignal, Trustee,
Vignal, Gary and Cindy Liv Trust,
Gary Wayne Vignal, Trustee</t>
  </si>
  <si>
    <t>2018-002786</t>
  </si>
  <si>
    <t>2407/124</t>
  </si>
  <si>
    <t>BHP Billiton Petroleum,
BHP Billiton Petroleum Properties,
Kcs Resources</t>
  </si>
  <si>
    <t>BHP Billiton Petroleum</t>
  </si>
  <si>
    <t>2019-001747</t>
  </si>
  <si>
    <t>2425/225</t>
  </si>
  <si>
    <t>2019-001779</t>
  </si>
  <si>
    <t>2425/380</t>
  </si>
  <si>
    <t>Bhp Billiton Petroleum</t>
  </si>
  <si>
    <t>Cohete Rojo, LLC</t>
  </si>
  <si>
    <t>2426/154</t>
  </si>
  <si>
    <t>Roca Development Colt Development</t>
  </si>
  <si>
    <t>Dustin Deal, LLC</t>
  </si>
  <si>
    <t>2019-001855</t>
  </si>
  <si>
    <t>Colt Development,
Roca Development</t>
  </si>
  <si>
    <t>2020-001283</t>
  </si>
  <si>
    <t>2449/333</t>
  </si>
  <si>
    <t>Te Holdco Rp, LLC, et al</t>
  </si>
  <si>
    <t>Presidio Wab, LLC</t>
  </si>
  <si>
    <t>2020-001279</t>
  </si>
  <si>
    <t>2447/81</t>
  </si>
  <si>
    <t>Brett Vp Barnes,
Presidio Investment Holdings, LLC,
Presidio Wab, LLC</t>
  </si>
  <si>
    <t>2020-001282</t>
  </si>
  <si>
    <t>Termination</t>
  </si>
  <si>
    <t>2449/1</t>
  </si>
  <si>
    <t>Templar Energy</t>
  </si>
  <si>
    <t>2020-001374</t>
  </si>
  <si>
    <t>2450/598</t>
  </si>
  <si>
    <t>Janis Fern Campbell</t>
  </si>
  <si>
    <t>Campbell Family Trust, Audy and Janis</t>
  </si>
  <si>
    <t>S/2 NE/4 SW/4 LS2 3, 4, SE/4 SW/4 of 31-12N-24W, aol</t>
  </si>
  <si>
    <t>2020-001577</t>
  </si>
  <si>
    <t>2452/235</t>
  </si>
  <si>
    <t>Tecolote Holdings, LLC, et al</t>
  </si>
  <si>
    <t>Mustang Fuel Corporation</t>
  </si>
  <si>
    <t>A, E/2 NW/4, N/2 NE/4, NW/4 SE/4 of 31-12N-24W, aol</t>
  </si>
  <si>
    <t>2020-001650</t>
  </si>
  <si>
    <t>2453/219</t>
  </si>
  <si>
    <t>Jack B. Searle,
Tamara D. Searle</t>
  </si>
  <si>
    <t>GT Mineral Holdings, LLC</t>
  </si>
  <si>
    <t>2020-001708</t>
  </si>
  <si>
    <t>2453/452</t>
  </si>
  <si>
    <t>Payday Holdings, LLC</t>
  </si>
  <si>
    <t>Andrew Pennington</t>
  </si>
  <si>
    <t>2455/446</t>
  </si>
  <si>
    <t>Tabally Hani</t>
  </si>
  <si>
    <t>J. Dominguez Santos</t>
  </si>
  <si>
    <t>Lalexander of 31-12N-24W</t>
  </si>
  <si>
    <t>2020-001954</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</si>
  <si>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</si>
  <si>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</si>
  <si>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</si>
  <si>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</si>
  <si>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</si>
  <si>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</si>
  <si>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</si>
  <si>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2021-001068</t>
  </si>
  <si>
    <t>2467/476</t>
  </si>
  <si>
    <t>Grizzly Operating, LLC,
Vanguard Operating, LLC</t>
  </si>
  <si>
    <t>Psi Lke, LLC</t>
  </si>
  <si>
    <t>2021-001366</t>
  </si>
  <si>
    <t>2471/590</t>
  </si>
  <si>
    <t>Enable Gas Gathering</t>
  </si>
  <si>
    <t>Sohio Petroleum,
Standard Oil Production</t>
  </si>
  <si>
    <t>2021-001486</t>
  </si>
  <si>
    <t>2473/1</t>
  </si>
  <si>
    <t>Blackbeard Operating, LLC,
Tecolote Holdings, LLC,
Tecolote Royalty, LP</t>
  </si>
  <si>
    <t>2021-001557</t>
  </si>
  <si>
    <t>2476/1</t>
  </si>
  <si>
    <t>Presidio Investment Holdings</t>
  </si>
  <si>
    <t>Supports/curative record</t>
  </si>
  <si>
    <t>2021-001559</t>
  </si>
  <si>
    <t>Operating Agreement</t>
  </si>
  <si>
    <t>2478/1</t>
  </si>
  <si>
    <t>Presidio Petroleum, LLC</t>
  </si>
  <si>
    <t>Finance, et al Presidio</t>
  </si>
  <si>
    <t>Governs WI parties</t>
  </si>
  <si>
    <t>2021-001561</t>
  </si>
  <si>
    <t>2479/1</t>
  </si>
  <si>
    <t>Fairway Resources III, LLC, et al</t>
  </si>
  <si>
    <t>E/2 NW/4, NE/4 SE/4, NW/4 SE/4, S/2 SE/4 of 31-12N-24W, aol</t>
  </si>
  <si>
    <t>2021-001605</t>
  </si>
  <si>
    <t>2480/297</t>
  </si>
  <si>
    <t>Tlw Investments, LLC</t>
  </si>
  <si>
    <t>Cannon Field Minerals Fund, LP</t>
  </si>
  <si>
    <t>2021-001669</t>
  </si>
  <si>
    <t>TLW Investments, LLC</t>
  </si>
  <si>
    <t>Cannon Field Minerals Fund I., LP</t>
  </si>
  <si>
    <t>2481/287</t>
  </si>
  <si>
    <t>Greystone Energy,
Minerals</t>
  </si>
  <si>
    <t>Cardinal Land Company, LLC, Edr, LLC</t>
  </si>
  <si>
    <t>SW/4 NE/4 of 31-12N-24W, aol</t>
  </si>
  <si>
    <t>2021-001774</t>
  </si>
  <si>
    <t>Greystone Energy &amp; Minerals</t>
  </si>
  <si>
    <t>Cardinal Land Company, LLC,
EDR, LLC</t>
  </si>
  <si>
    <t>2021-002152</t>
  </si>
  <si>
    <t>2484/25</t>
  </si>
  <si>
    <t>Hillman Royalties</t>
  </si>
  <si>
    <t>2022-000185</t>
  </si>
  <si>
    <t>2486/262</t>
  </si>
  <si>
    <t>Cummins Minerals, Ltd.,
Eagle Owl, LP</t>
  </si>
  <si>
    <t>2022-000354</t>
  </si>
  <si>
    <t>2488/81</t>
  </si>
  <si>
    <t>TLW Investments</t>
  </si>
  <si>
    <t>Chanas Partners, LLC</t>
  </si>
  <si>
    <t>2022-001083</t>
  </si>
  <si>
    <t>2495/430</t>
  </si>
  <si>
    <t>Phx Minerals (de), Inc.,
Phx Minerals, Inc.</t>
  </si>
  <si>
    <t>2023-002269</t>
  </si>
  <si>
    <t>2529/217</t>
  </si>
  <si>
    <t>Hasbany Nsurance,
Eric Jansen</t>
  </si>
  <si>
    <t>Mineral | OCR variant? 'Jansen' cf. 'Jensen'</t>
  </si>
  <si>
    <t>2023-003590</t>
  </si>
  <si>
    <t>Wellbore Assignment</t>
  </si>
  <si>
    <t>2542/413</t>
  </si>
  <si>
    <t>Mnr Abs Issuer I., LLC</t>
  </si>
  <si>
    <t>Transfers wellbore-only rights</t>
  </si>
  <si>
    <t>2023-003594</t>
  </si>
  <si>
    <t>2545/1</t>
  </si>
  <si>
    <t>MNR ABS Agent Corp.,
MNR ABS Issuer I., LLC,
Unbridled Resources, LLC</t>
  </si>
  <si>
    <t>MNR ABS Agent Corp.,
Mns ABS Issuer I., LLC</t>
  </si>
  <si>
    <t>2023-003598</t>
  </si>
  <si>
    <t>2546/1</t>
  </si>
  <si>
    <t>JPMorgan Chase Bank</t>
  </si>
  <si>
    <t>2024-001313</t>
  </si>
  <si>
    <t>2561/142</t>
  </si>
  <si>
    <t>Paul R. Deutsch,
Deborah A. Deutsch</t>
  </si>
  <si>
    <t>Index row only reviewed. Mortgage/release scope requires full image and collateral exhibit review to confirm whether Section 31-12N-24W is released or still encumbered.</t>
  </si>
  <si>
    <t>2024-002310</t>
  </si>
  <si>
    <t>2567/102</t>
  </si>
  <si>
    <t>K. C. Production, LLC</t>
  </si>
  <si>
    <t>2024-003107</t>
  </si>
  <si>
    <t>2571/579</t>
  </si>
  <si>
    <t>Greg, et al Cdx</t>
  </si>
  <si>
    <t>2024-004916</t>
  </si>
  <si>
    <t>2584/149</t>
  </si>
  <si>
    <t>Nwr Mineral Partners, LLC</t>
  </si>
  <si>
    <t>2024-004961</t>
  </si>
  <si>
    <t>NWR Mineral Partners, LLC</t>
  </si>
  <si>
    <t>2024-007198</t>
  </si>
  <si>
    <t>2599/463</t>
  </si>
  <si>
    <t>Onigbe Consulting, LLC</t>
  </si>
  <si>
    <t>Oil Comanche,
Gas, Inc.</t>
  </si>
  <si>
    <t>2024-007203</t>
  </si>
  <si>
    <t>2599/505</t>
  </si>
  <si>
    <t>Citizen Energy Operating, LLC, et al</t>
  </si>
  <si>
    <t>Successor entity holds interest</t>
  </si>
  <si>
    <t>2600/472</t>
  </si>
  <si>
    <t>Leeann Mitchell Carrie</t>
  </si>
  <si>
    <t>James Gerard Buonaccorsi, of the Mitchell-buonaccorsi Living Trust, Carrie Leeann Mitchell, Trustee of the Mitchell-buonaccorsi Living Trust, Trustee</t>
  </si>
  <si>
    <t>2024-007338</t>
  </si>
  <si>
    <t>James Gerard Buonaccorsi,
Mitchell-buonaccorsi Living Trust,
Carrie Leeann Mitchell, Trustee</t>
  </si>
  <si>
    <t>All, SW/4 of 31-12N-24W, aol</t>
  </si>
  <si>
    <t>2604/111</t>
  </si>
  <si>
    <t>Of the Gregg M. Satherlie Christopher D. Greene, Trustee,
Chelin H. Satherlie 1989 Rev Trust</t>
  </si>
  <si>
    <t>Trison Holdings, LLC</t>
  </si>
  <si>
    <t>Transfers leasehold/WI in chain | Garbled party text (OCR) — verify against instrument</t>
  </si>
  <si>
    <t>2024-007734</t>
  </si>
  <si>
    <t>Leasehold assigned (chain)
Index row only reviewed. Assignment terms/interest not fully stated in index; full assignment image required to confirm leases, depths, burdens, and retained interests. | Garbled party text (OCR) — verify against instrument</t>
  </si>
  <si>
    <t>2025-000522</t>
  </si>
  <si>
    <t>2608/397</t>
  </si>
  <si>
    <t>Fairway Resources III, LLC,
Fairway Resources Partners III Minerals, LLC</t>
  </si>
  <si>
    <t>Duplicate source instrument (per source index)</t>
  </si>
  <si>
    <t>2025-000252</t>
  </si>
  <si>
    <t>2025-001343</t>
  </si>
  <si>
    <t>Joint Tenancy Quit Claim Mineral Deed</t>
  </si>
  <si>
    <t>2617/228</t>
  </si>
  <si>
    <t>Eleanor A/k/a Wheeler,
Eleanore Wheeler</t>
  </si>
  <si>
    <t>Eleanore Wheeler,
Shirley Wheeler</t>
  </si>
  <si>
    <t>Lot 3 Partial, S/2 NE/4 SW/4, SE/4 SW/4 of 31-12N-24W, aol</t>
  </si>
  <si>
    <t>2625/231</t>
  </si>
  <si>
    <t>Edr, LLC</t>
  </si>
  <si>
    <t>Okki Industries, LLC</t>
  </si>
  <si>
    <t>2625/233</t>
  </si>
  <si>
    <t>Del Monte Royalty Partners, LLC</t>
  </si>
  <si>
    <t>2025-002463</t>
  </si>
  <si>
    <t>EDR, LLC</t>
  </si>
  <si>
    <t>2025-002464</t>
  </si>
  <si>
    <t>2025-002923</t>
  </si>
  <si>
    <t>2628/429</t>
  </si>
  <si>
    <t>Diversified Energy Company</t>
  </si>
  <si>
    <t>Et Al Public</t>
  </si>
  <si>
    <t>2025-003963</t>
  </si>
  <si>
    <t>2638/58</t>
  </si>
  <si>
    <t>Jesse Joe Newell,
Rachael Elizabeth Newell</t>
  </si>
  <si>
    <t>Newell Farms Trust,
Jesse Joe Newell, Trustee,
Rachael Elizabeth Newell, Trustee</t>
  </si>
  <si>
    <t>E/2 W/2 Lots 1-4 of 31-12N-24W, aol</t>
  </si>
  <si>
    <t>2025-005448</t>
  </si>
  <si>
    <t>2649/286</t>
  </si>
  <si>
    <t>Berlain Limited Company</t>
  </si>
  <si>
    <t>2025-005451</t>
  </si>
  <si>
    <t>2649/298</t>
  </si>
  <si>
    <t>Longreach Energy 2, LLC,
Royfin Natural Gas, LLC</t>
  </si>
  <si>
    <t>2025-006541</t>
  </si>
  <si>
    <t>2660/341</t>
  </si>
  <si>
    <t>Windsor Ok, LLC, et al</t>
  </si>
  <si>
    <t>Windsor Ok Development Sub, LLC, et al</t>
  </si>
  <si>
    <t>2025-006987</t>
  </si>
  <si>
    <t>2664/169</t>
  </si>
  <si>
    <t>Presidio Finance, LLC</t>
  </si>
  <si>
    <t>Martins Empire, LLC</t>
  </si>
  <si>
    <t>2026-000506</t>
  </si>
  <si>
    <t>2679/1</t>
  </si>
  <si>
    <t>Midcon Buyerco, LLC,
Midcon Energy Development, LLC,
Midcon Energy Pdp, LLC,
Midcon Energy Prodction, LLC,
Windsor OK, LLC</t>
  </si>
  <si>
    <t>2026-000691</t>
  </si>
  <si>
    <t>2682/183</t>
  </si>
  <si>
    <t>Clint Roy Kirk</t>
  </si>
  <si>
    <t>J. and A. Minerals, LLC</t>
  </si>
  <si>
    <t>Lot 3 Partial, S/2 NE/4 SW/4 Lot 4, SE/4 SW/4 of 31-12N-24W, aol</t>
  </si>
  <si>
    <t>2026-001374</t>
  </si>
  <si>
    <t>2688/409</t>
  </si>
  <si>
    <t>J. and A. Minerals</t>
  </si>
  <si>
    <t>Pine Tree Energy Partners, LLC</t>
  </si>
  <si>
    <t>Lot 3 Partial, Lot 4, NE/4 SW/4, SE/4 SW/4 of 31-12N-24W, aol</t>
  </si>
  <si>
    <t>2026-001884</t>
  </si>
  <si>
    <t>2692/412</t>
  </si>
  <si>
    <t>Midcon Energy Production, LLC, et al</t>
  </si>
  <si>
    <t>2026-001865</t>
  </si>
  <si>
    <t>2692/431</t>
  </si>
  <si>
    <t>Midcon Energy Prod, LLC, et al</t>
  </si>
  <si>
    <t>2026-001844</t>
  </si>
  <si>
    <t>Vice President Long Matthew,
Midcon Energy Pdp, LLC</t>
  </si>
  <si>
    <t>2026-001845</t>
  </si>
  <si>
    <t>2693/337</t>
  </si>
  <si>
    <t>James Gerard Buonaccorsi, of the Mitchell Buonaccorsi Living Trust U/a, Carrie Leeann Mitchell, Trustee of the Mitchell Buonaccorsi Living Trust U/a, Trustee</t>
  </si>
  <si>
    <t>N/2 NE/4, SE/4 NE/4 of 31-12N-24W, aol</t>
  </si>
  <si>
    <t>2693/345</t>
  </si>
  <si>
    <t>Kevin Johnson Johnson, of the Kevin Warner Johnson Trust, Trustee</t>
  </si>
  <si>
    <t>SE/4 NE/4, NE/4 SE/4 of 31-12N-24W, aol</t>
  </si>
  <si>
    <t>2693/349</t>
  </si>
  <si>
    <t>Mark Ashley Daigle, of the Mark Ashley Daigle Trust, Trustee</t>
  </si>
  <si>
    <t>2026-001949</t>
  </si>
  <si>
    <t>Primary term expired; HBP status uncertain*
Recorded 2026-04-10. Leasing era 2000-2006; presumed expired absent production/HBP.</t>
  </si>
  <si>
    <t>2026-001951</t>
  </si>
  <si>
    <t>2026-001952</t>
  </si>
  <si>
    <t>2026-002512</t>
  </si>
  <si>
    <t>2697/517</t>
  </si>
  <si>
    <t>Estate of The Public, RE: Nancy Susan Mitchell</t>
  </si>
  <si>
    <t>E/2 NW/4, N/2, N/2 NE/4 SW/4, NE/4 SE/4, S/2 Lots 3-4, S/2 NE/4 SW/4, SE/4 NE/4, SE/4 SW/4 of 31-12N-24W</t>
  </si>
  <si>
    <t>Evidences heirship; curative</t>
  </si>
  <si>
    <t>2697/519</t>
  </si>
  <si>
    <t>The Keri Lee Daigle Trust, the Keri Lee Daigle Tucker Trust, Keri L. Tucker, S/k/a Daigle, Keri Lee</t>
  </si>
  <si>
    <t>2697/520</t>
  </si>
  <si>
    <t>Keri Lee Daigle Tucker, of the Keri Lee Daigle Tucker Trust, Trustee</t>
  </si>
  <si>
    <t>2697/524</t>
  </si>
  <si>
    <t>Paul Dold Ronald</t>
  </si>
  <si>
    <t>2026-002511</t>
  </si>
  <si>
    <t>Primary term expired; HBP status uncertain*
Recorded 2026-05-01. Leasing era 2000-2006; presumed expired absent production/HBP.</t>
  </si>
  <si>
    <t>2026-002509</t>
  </si>
  <si>
    <t>Carrie Leeann Mitchell,
Nancy Susan Dcd Mitchell</t>
  </si>
  <si>
    <t>2026-002510</t>
  </si>
  <si>
    <t>Keri Lee Trust Daigle,
Keri Lee S/k/a Daigle,
Keri L. Tucker,
Tucker, Keri Lee Daigle Trust</t>
  </si>
  <si>
    <t>2026-002547</t>
  </si>
  <si>
    <t>2698/69</t>
  </si>
  <si>
    <t>Martin'S Empire, LLC</t>
  </si>
  <si>
    <t>Stride Bank, of the Unbrella Trust, Trustee</t>
  </si>
  <si>
    <t>2700/268</t>
  </si>
  <si>
    <t>Royfin Natural Gas, LLC,
Tamworth Resources, LLC,
Scott Martin,
Longreach Energy Investments, Inc.</t>
  </si>
  <si>
    <t>All of 11-12N-21W aol</t>
  </si>
  <si>
    <t>2700/395</t>
  </si>
  <si>
    <t>Estate of Audy C. Campbell</t>
  </si>
  <si>
    <t>S/2 Lot 4, S/2 NE/4 SW/4 of 31-12N-24W, aol</t>
  </si>
  <si>
    <t>Vests title per probate</t>
  </si>
  <si>
    <t>2026-002877</t>
  </si>
  <si>
    <t>S/2 Lot 4, S/2 NE/4 SW/4, SE/4 SW/4 of 31-12N-24W, aol</t>
  </si>
  <si>
    <t>2702/500</t>
  </si>
  <si>
    <t>Estate of The Public, RE: Gene Gilbert Williams</t>
  </si>
  <si>
    <t>2702/503</t>
  </si>
  <si>
    <t>Estate of The Public, RE: Marvin Mitchell Williams</t>
  </si>
  <si>
    <t>2702/504</t>
  </si>
  <si>
    <t>Gena Williams Moore Gena Williams Gena W. Moore Gena Mitchell Williams</t>
  </si>
  <si>
    <t>2702/505</t>
  </si>
  <si>
    <t>Gena A/k/a Williams Gena Mitchell A/k/a Williams Gena W. Moore</t>
  </si>
  <si>
    <t>2026-003145</t>
  </si>
  <si>
    <t>Primary term expired; HBP status uncertain*
Recorded 2026-05-28. Leasing era 2000-2006; presumed expired absent production/HBP.</t>
  </si>
  <si>
    <t>2026-003142</t>
  </si>
  <si>
    <t>Carrie Leeann Mitchell,
Gene Gilbert Dcd Williams</t>
  </si>
  <si>
    <t>2026-003143</t>
  </si>
  <si>
    <t>Carrie Leeann Mitchell,
Marvin Mitchell Dcd Williams</t>
  </si>
  <si>
    <t>2026-003144</t>
  </si>
  <si>
    <t>Gena W. Moore,
Gena Williams Moore,
Gena Williams,
Gena Mitchell Williams</t>
  </si>
  <si>
    <t>E/2 NW/4, N/2 NE/4, N/2 NE/4 SW/4, NE/4 SE/4, S/2 Lots 3-4, S/2 NE/4 SW/4, SE/4 NE/4, SE/4 SW/4 of 31-12N-24W, aol</t>
  </si>
  <si>
    <t>Estate of Darrell Edward Hamilton</t>
  </si>
  <si>
    <t>SW/4 NE/4, NW/4 SE/4 of 31-12N-24W, aol</t>
  </si>
  <si>
    <t>2026-003315</t>
  </si>
  <si>
    <t>Partial Release of Lien</t>
  </si>
  <si>
    <t>2356/0001</t>
  </si>
  <si>
    <t>Deutsche Bank</t>
  </si>
  <si>
    <t>Samson Resources
Geodyne Resources</t>
  </si>
  <si>
    <t>Public OKCountyRecords snippet only reviewed. Partial Release Of Lien metadata visible; full image/exhibit required to confirm release effect on Section 31-12N-24W.</t>
  </si>
  <si>
    <t>Mortgage</t>
  </si>
  <si>
    <t>2357/0474</t>
  </si>
  <si>
    <t>Bank 7</t>
  </si>
  <si>
    <t>Public OKCountyRecords snippet only reviewed. Partial Release Of Lien metadata visible; full 199-page image/exhibit required to confirm release effect on Section 31-12N-24W.</t>
  </si>
  <si>
    <t>Modification of Mortgage</t>
  </si>
  <si>
    <t>2379/0142</t>
  </si>
  <si>
    <t>William Bryant
Kathy Bryant</t>
  </si>
  <si>
    <t>Security State Bank</t>
  </si>
  <si>
    <t>Index row only reviewed. Full financing statement/collateral exhibit not accessible; exact collateral and UCC status require verification.</t>
  </si>
  <si>
    <t>Amendment of Mortgage</t>
  </si>
  <si>
    <t>2402/0001</t>
  </si>
  <si>
    <t>Tecolote Royalty</t>
  </si>
  <si>
    <t>Release of Mortgage</t>
  </si>
  <si>
    <t>2414/0468</t>
  </si>
  <si>
    <t>Tucker, Monte E.
Danielle D. Tucker</t>
  </si>
  <si>
    <t>2430/0396</t>
  </si>
  <si>
    <t>Templar Energy, LLC
Templar Operating, LLC</t>
  </si>
  <si>
    <t>Financing Statement</t>
  </si>
  <si>
    <t>2431/0001</t>
  </si>
  <si>
    <t>Templar Energy, LLC
Templar Operating</t>
  </si>
  <si>
    <t>2435/0116</t>
  </si>
  <si>
    <t>Tecolote Holdings
Tecolote Royalty</t>
  </si>
  <si>
    <t>Jpmorgan Chase</t>
  </si>
  <si>
    <t>2435/0001</t>
  </si>
  <si>
    <t>Tecolote Holdings
Tecolote, Royalty</t>
  </si>
  <si>
    <t>Jpmorgan Chase Bank</t>
  </si>
  <si>
    <t>2434/0001</t>
  </si>
  <si>
    <t>Wells Fargo</t>
  </si>
  <si>
    <t>2448/0001</t>
  </si>
  <si>
    <t>Templar Energy
Templar Operating</t>
  </si>
  <si>
    <t>2450/0001</t>
  </si>
  <si>
    <t>BMO Harris Bank</t>
  </si>
  <si>
    <t>2450/0121</t>
  </si>
  <si>
    <t>Release of Lien</t>
  </si>
  <si>
    <t>2453/0001</t>
  </si>
  <si>
    <t>JP Morgan Chase Bank</t>
  </si>
  <si>
    <t>2462/0068</t>
  </si>
  <si>
    <t>2460/0001</t>
  </si>
  <si>
    <t>Geodyne Resources
Samson Resources Company, LLC</t>
  </si>
  <si>
    <t>2477/0001</t>
  </si>
  <si>
    <t>UMB Bank</t>
  </si>
  <si>
    <t>2475/0001</t>
  </si>
  <si>
    <t>2473/0318</t>
  </si>
  <si>
    <t>2488/0277</t>
  </si>
  <si>
    <t>Index row only reviewed. Assignment/mortgage-related instrument terms not fully stated in index; full image required to confirm exact affected interests.</t>
  </si>
  <si>
    <t>2488/0370</t>
  </si>
  <si>
    <t>Matthew Lucas
Katie Lucas</t>
  </si>
  <si>
    <t>First National Bank</t>
  </si>
  <si>
    <t>2494/0001</t>
  </si>
  <si>
    <t>Unbridled Resources, LLC
Unbridled Agent, Corp.</t>
  </si>
  <si>
    <t>JP Morgan Chase</t>
  </si>
  <si>
    <t>2493/0001</t>
  </si>
  <si>
    <t>Termination of Ucc</t>
  </si>
  <si>
    <t>2496/0460</t>
  </si>
  <si>
    <t>Tecolote Holdings, LLC
Tecolote Royalty, LP</t>
  </si>
  <si>
    <t>2511/0016</t>
  </si>
  <si>
    <t>Lot 1 Tract of 31-12N-24W</t>
  </si>
  <si>
    <t>2511/0018</t>
  </si>
  <si>
    <t>2535/0001</t>
  </si>
  <si>
    <t>2543/0025</t>
  </si>
  <si>
    <t>MNR Abs Issuer I., LLC</t>
  </si>
  <si>
    <t>UMB Bank N.a</t>
  </si>
  <si>
    <t>2544/0001</t>
  </si>
  <si>
    <t>MNR Abs Issuer I, LLC</t>
  </si>
  <si>
    <t>2548/0001</t>
  </si>
  <si>
    <t>2541/0100</t>
  </si>
  <si>
    <t>First National Bank &amp; Trust of Elk City</t>
  </si>
  <si>
    <t>SE/4 SW/4 Lot 4 Partial of 31-12N-24W</t>
  </si>
  <si>
    <t>2556/0269</t>
  </si>
  <si>
    <t>JP Morgan Chase Bank N.a</t>
  </si>
  <si>
    <t>2556/0010</t>
  </si>
  <si>
    <t>Unbridled Agent, Corp.</t>
  </si>
  <si>
    <t>Ucc Continuation</t>
  </si>
  <si>
    <t>2579/0357</t>
  </si>
  <si>
    <t>2634/0001</t>
  </si>
  <si>
    <t>Breitburn Operating, LP
Breitburn Oklahoma, LLC
Unbridled Resources, LLC
Unbridled Agent, Corp.</t>
  </si>
  <si>
    <t>2650/0484</t>
  </si>
  <si>
    <t>Southstate Bank NA
Independent Bank, Administrative Agent</t>
  </si>
  <si>
    <t>PHX Minerals, Inc.</t>
  </si>
  <si>
    <t>2660/0233</t>
  </si>
  <si>
    <t>Midcon Energy Production, LLC</t>
  </si>
  <si>
    <t>US Bank Trust Company</t>
  </si>
  <si>
    <t>2664/0001</t>
  </si>
  <si>
    <t>UMB Bank, N.a</t>
  </si>
  <si>
    <t>2514/0196</t>
  </si>
  <si>
    <t>A. of 1-11N-24W aol</t>
  </si>
  <si>
    <t>2542/0149</t>
  </si>
  <si>
    <t>JP Morgan Chase Bank NA</t>
  </si>
  <si>
    <t>Unbridled Resources, LLC
MNR Abs Issuer I., LLC</t>
  </si>
  <si>
    <t>All of 1-11N-23W aol</t>
  </si>
  <si>
    <t>2653/0035</t>
  </si>
  <si>
    <t>US Bank Trust Company, NA</t>
  </si>
  <si>
    <t>All of 5-11N-23W aol</t>
  </si>
  <si>
    <t>1</t>
  </si>
  <si>
    <t>TRACT</t>
  </si>
  <si>
    <t>N/2 NE/4, containing 80 acres</t>
  </si>
  <si>
    <t>Image Number</t>
  </si>
  <si>
    <t>DESCRIPTION</t>
  </si>
  <si>
    <t xml:space="preserve">Book / Page </t>
  </si>
  <si>
    <t>PAT010/234</t>
  </si>
  <si>
    <t>0981/0002</t>
  </si>
  <si>
    <t>1422/0009</t>
  </si>
  <si>
    <t>1457/0173</t>
  </si>
  <si>
    <t>1510/0491</t>
  </si>
  <si>
    <t>1611/0503</t>
  </si>
  <si>
    <t>1637/0026</t>
  </si>
  <si>
    <t>1637/0476</t>
  </si>
  <si>
    <t>1639/0206</t>
  </si>
  <si>
    <t>1639/0426</t>
  </si>
  <si>
    <t>1643/0389</t>
  </si>
  <si>
    <t>1695/0238</t>
  </si>
  <si>
    <t>1724/0582</t>
  </si>
  <si>
    <t>1734/0014</t>
  </si>
  <si>
    <t>1765/0306</t>
  </si>
  <si>
    <t>1774/0309</t>
  </si>
  <si>
    <t>1812/0138</t>
  </si>
  <si>
    <t>1816/0041</t>
  </si>
  <si>
    <t>1872/0277</t>
  </si>
  <si>
    <t>1914/0155</t>
  </si>
  <si>
    <t>2063/0491</t>
  </si>
  <si>
    <t>2063/0494</t>
  </si>
  <si>
    <t>2063/0497</t>
  </si>
  <si>
    <t>2177/0033</t>
  </si>
  <si>
    <t>2251/0529</t>
  </si>
  <si>
    <t>2273/0223</t>
  </si>
  <si>
    <t>2342/0219</t>
  </si>
  <si>
    <t>2376/0100</t>
  </si>
  <si>
    <t>2467/0476</t>
  </si>
  <si>
    <t xml:space="preserve">Date </t>
  </si>
  <si>
    <t>TRACT ACRES</t>
  </si>
  <si>
    <t xml:space="preserve">Conveyance </t>
  </si>
  <si>
    <t>BASE OGL</t>
  </si>
  <si>
    <t>SURFACE</t>
  </si>
  <si>
    <t>NOTES</t>
  </si>
  <si>
    <t>NET ACRES</t>
  </si>
  <si>
    <t>OWNERS</t>
  </si>
  <si>
    <t xml:space="preserve">TOTAL </t>
  </si>
  <si>
    <t>Eta-flag Royalty Trust</t>
  </si>
  <si>
    <t>Floyd W. Atha</t>
  </si>
  <si>
    <t>Nancy D. Atha</t>
  </si>
  <si>
    <t>Jack E. Barnett, Deceased</t>
  </si>
  <si>
    <t>Hayhurst, Peggy J. Revoc Trust</t>
  </si>
  <si>
    <t>Peggy J.</t>
  </si>
  <si>
    <t>Evelyn Louise McLerran, Deceased</t>
  </si>
  <si>
    <t>Minion Investment Co</t>
  </si>
  <si>
    <t>Brian L. Rice</t>
  </si>
  <si>
    <t>Louis E. Jaques, Deceased</t>
  </si>
  <si>
    <t>Atha Nancy D.</t>
  </si>
  <si>
    <t>Atha Floyd Revoc Trust</t>
  </si>
  <si>
    <t>Floyd Co Atha, Trustee</t>
  </si>
  <si>
    <t>Danielle Delane Tucker</t>
  </si>
  <si>
    <t>Glenda Palmer</t>
  </si>
  <si>
    <t>Richard Palmer</t>
  </si>
  <si>
    <t>Palmer Family Trust</t>
  </si>
  <si>
    <t>Glenda Ann Palmer</t>
  </si>
  <si>
    <t>Shonna Mitchel</t>
  </si>
  <si>
    <t>Shonna A. Mitchel</t>
  </si>
  <si>
    <t>Shonn</t>
  </si>
  <si>
    <t>Luther Ervin Thurman</t>
  </si>
  <si>
    <t>Veronica Gentry Th</t>
  </si>
  <si>
    <t>Thurman, Luther and Veronica Liv Trust</t>
  </si>
  <si>
    <t>Etta Britton</t>
  </si>
  <si>
    <t>Cindy Lou Vignal, Trustee</t>
  </si>
  <si>
    <t>Vignal, Gary</t>
  </si>
  <si>
    <t>Grizzly Operating, LLC</t>
  </si>
  <si>
    <t>2</t>
  </si>
  <si>
    <t>SW/4 SE/4, containing 40 acres</t>
  </si>
  <si>
    <t>PAT006/74</t>
  </si>
  <si>
    <t>1462/0131</t>
  </si>
  <si>
    <t>1470/0059</t>
  </si>
  <si>
    <t>1479/0191</t>
  </si>
  <si>
    <t>1564/0310</t>
  </si>
  <si>
    <t>1567/0245</t>
  </si>
  <si>
    <t>1576/0219</t>
  </si>
  <si>
    <t>1576/0222</t>
  </si>
  <si>
    <t>1579/0358</t>
  </si>
  <si>
    <t>1583/0391</t>
  </si>
  <si>
    <t>1583/0426</t>
  </si>
  <si>
    <t>1583/0398</t>
  </si>
  <si>
    <t>1583/0405</t>
  </si>
  <si>
    <t>1583/0412</t>
  </si>
  <si>
    <t>1583/0419</t>
  </si>
  <si>
    <t>1625/0440</t>
  </si>
  <si>
    <t>1631/0416</t>
  </si>
  <si>
    <t>1636/0544</t>
  </si>
  <si>
    <t>1636/0554</t>
  </si>
  <si>
    <t>1636/0556</t>
  </si>
  <si>
    <t>1694/0156</t>
  </si>
  <si>
    <t>1714/0504</t>
  </si>
  <si>
    <t>1775/0296</t>
  </si>
  <si>
    <t>1783/0306</t>
  </si>
  <si>
    <t>1790/0386</t>
  </si>
  <si>
    <t>1810/0016</t>
  </si>
  <si>
    <t>1810/0015</t>
  </si>
  <si>
    <t>1810/0018</t>
  </si>
  <si>
    <t>1810/0019</t>
  </si>
  <si>
    <t>1812/0120</t>
  </si>
  <si>
    <t>1812/0121</t>
  </si>
  <si>
    <t>1838/0136</t>
  </si>
  <si>
    <t>1869/0351</t>
  </si>
  <si>
    <t>1892/0567</t>
  </si>
  <si>
    <t>1941/0550</t>
  </si>
  <si>
    <t>1949/0217</t>
  </si>
  <si>
    <t>2002/0576</t>
  </si>
  <si>
    <t>2022/0493</t>
  </si>
  <si>
    <t>2031/0005</t>
  </si>
  <si>
    <t>2041/0379</t>
  </si>
  <si>
    <t>2074/0536</t>
  </si>
  <si>
    <t>2104/0239</t>
  </si>
  <si>
    <t>2104/0242</t>
  </si>
  <si>
    <t>2131/0599</t>
  </si>
  <si>
    <t>2219/0516</t>
  </si>
  <si>
    <t>2251/0022</t>
  </si>
  <si>
    <t>2259/0397</t>
  </si>
  <si>
    <t>2290/0178</t>
  </si>
  <si>
    <t>2309/0236</t>
  </si>
  <si>
    <t>2315/0042</t>
  </si>
  <si>
    <t>2425/0225</t>
  </si>
  <si>
    <t>2453/0219</t>
  </si>
  <si>
    <t>2529/0217</t>
  </si>
  <si>
    <t>2649/0286</t>
  </si>
  <si>
    <t>2649/0298</t>
  </si>
  <si>
    <t>2704/0142</t>
  </si>
  <si>
    <t>Charles T. Kennett</t>
  </si>
  <si>
    <t>Barbara Bain</t>
  </si>
  <si>
    <t>Clarence C. Bain, Trustee</t>
  </si>
  <si>
    <t>Dorothy J. Ba</t>
  </si>
  <si>
    <t>Jon T. Williams</t>
  </si>
  <si>
    <t>Eunice Evelyn Cook</t>
  </si>
  <si>
    <t>Albert E. Fuchs</t>
  </si>
  <si>
    <t>Aqu</t>
  </si>
  <si>
    <t>Albert E. Fuchs, Trustee</t>
  </si>
  <si>
    <t>Ocie H. Fuchs</t>
  </si>
  <si>
    <t>Dow C. Bain, Trustee</t>
  </si>
  <si>
    <t>Edris O. Bain</t>
  </si>
  <si>
    <t>Billy Wayne Bain, Trustee</t>
  </si>
  <si>
    <t>William Cobal</t>
  </si>
  <si>
    <t>Darrell E. Hamilton</t>
  </si>
  <si>
    <t>Norbert J. Co-prsnl Repres Dickman</t>
  </si>
  <si>
    <t>Robe</t>
  </si>
  <si>
    <t>Rose E. Robertson</t>
  </si>
  <si>
    <t>Geotech Production, Inc.</t>
  </si>
  <si>
    <t>Jack B. Searle</t>
  </si>
  <si>
    <t>Datt Investment Company</t>
  </si>
  <si>
    <t>Williams , Rogene E. Revocable Living Tr</t>
  </si>
  <si>
    <t>Jinkee Acuero Fuchs</t>
  </si>
  <si>
    <t>Williams, Dwight J. Revocable Trust</t>
  </si>
  <si>
    <t>Dwi</t>
  </si>
  <si>
    <t>Fausta J. Bish</t>
  </si>
  <si>
    <t>Terry Bish</t>
  </si>
  <si>
    <t>Tina Bish</t>
  </si>
  <si>
    <t>D</t>
  </si>
  <si>
    <t>Bish Family Trust</t>
  </si>
  <si>
    <t>4 A. Investments</t>
  </si>
  <si>
    <t>Bryon A. Hetherington</t>
  </si>
  <si>
    <t>Bryon A. Hetherington, Trustee</t>
  </si>
  <si>
    <t>Hetherin</t>
  </si>
  <si>
    <t>Michael L. Bain, Trustee</t>
  </si>
  <si>
    <t>William C. Bai</t>
  </si>
  <si>
    <t>Paul M. Bain</t>
  </si>
  <si>
    <t>Doris Bain</t>
  </si>
  <si>
    <t>Jospeh A. Bain</t>
  </si>
  <si>
    <t>William A. Smith</t>
  </si>
  <si>
    <t>Smith, William A. and Isa May Family Rev</t>
  </si>
  <si>
    <t>Jinkee D. Acuero Fuchs</t>
  </si>
  <si>
    <t>William Jesse Fu</t>
  </si>
  <si>
    <t>Jinkee D. Acuero Fuchs, Trustee</t>
  </si>
  <si>
    <t>Fuchs</t>
  </si>
  <si>
    <t>Tamara D. Searle</t>
  </si>
  <si>
    <t>Cardinal Land Company, LLC</t>
  </si>
  <si>
    <t>Hasbany Nsurance</t>
  </si>
  <si>
    <t>Eric Jansen</t>
  </si>
  <si>
    <t>Longreach Energy 2, LLC</t>
  </si>
  <si>
    <t>Royfin Natural</t>
  </si>
  <si>
    <t>3</t>
  </si>
  <si>
    <t>SE/4 NE/4, containing 40 acres</t>
  </si>
  <si>
    <t>PAT006/7</t>
  </si>
  <si>
    <t>1728/0457</t>
  </si>
  <si>
    <t>2106/0387</t>
  </si>
  <si>
    <t>2141/0003</t>
  </si>
  <si>
    <t>Glenn Douglas Mitchell, Deceased</t>
  </si>
  <si>
    <t>Joel R. Ibeling</t>
  </si>
  <si>
    <t>Michel</t>
  </si>
  <si>
    <t xml:space="preserve">Patent </t>
  </si>
  <si>
    <t xml:space="preserve">Deed </t>
  </si>
  <si>
    <t xml:space="preserve">Mineral Deed </t>
  </si>
  <si>
    <t>4</t>
  </si>
  <si>
    <t>E/2 NW/4, containing 80 acres</t>
  </si>
  <si>
    <t>PAT003/495</t>
  </si>
  <si>
    <t>D00006/0206</t>
  </si>
  <si>
    <t>D00038/0162</t>
  </si>
  <si>
    <t>0277/0064</t>
  </si>
  <si>
    <t>2041/0406</t>
  </si>
  <si>
    <t>Charle</t>
  </si>
  <si>
    <t>Angale L. Best</t>
  </si>
  <si>
    <t>Michael Best</t>
  </si>
  <si>
    <t>Colt Development</t>
  </si>
  <si>
    <t>Roca Development</t>
  </si>
  <si>
    <t>5</t>
  </si>
  <si>
    <t>1324/0022</t>
  </si>
  <si>
    <t>1459/0583</t>
  </si>
  <si>
    <t>1471/0574</t>
  </si>
  <si>
    <t>1514/0525</t>
  </si>
  <si>
    <t>1600/0001</t>
  </si>
  <si>
    <t>1642/0532</t>
  </si>
  <si>
    <t>1644/0460</t>
  </si>
  <si>
    <t>1688/0374</t>
  </si>
  <si>
    <t>1722/0449</t>
  </si>
  <si>
    <t>1735/0133</t>
  </si>
  <si>
    <t>1764/0344</t>
  </si>
  <si>
    <t>1764/0345</t>
  </si>
  <si>
    <t>1768/0339</t>
  </si>
  <si>
    <t>1784/0591</t>
  </si>
  <si>
    <t>1794/0173</t>
  </si>
  <si>
    <t>1797/0463</t>
  </si>
  <si>
    <t>1800/0453</t>
  </si>
  <si>
    <t>1919/0359</t>
  </si>
  <si>
    <t>1937/0418</t>
  </si>
  <si>
    <t>1956/0354</t>
  </si>
  <si>
    <t>1958/0060</t>
  </si>
  <si>
    <t>1963/0222</t>
  </si>
  <si>
    <t>1964/0097</t>
  </si>
  <si>
    <t>2104/0537</t>
  </si>
  <si>
    <t>2124/0117</t>
  </si>
  <si>
    <t>2184/0570</t>
  </si>
  <si>
    <t>2203/0395</t>
  </si>
  <si>
    <t>2220/0118</t>
  </si>
  <si>
    <t>2222/0536</t>
  </si>
  <si>
    <t>2261/0255</t>
  </si>
  <si>
    <t>2337/0427</t>
  </si>
  <si>
    <t>2450/0598</t>
  </si>
  <si>
    <t>2617/0228</t>
  </si>
  <si>
    <t>2638/0058</t>
  </si>
  <si>
    <t>2682/0183</t>
  </si>
  <si>
    <t>2688/0409</t>
  </si>
  <si>
    <t>2700/0395</t>
  </si>
  <si>
    <t>Elanore Wheeler</t>
  </si>
  <si>
    <t>Charles R. Atha</t>
  </si>
  <si>
    <t>Charles E. Atha</t>
  </si>
  <si>
    <t>Leonard Herzperg</t>
  </si>
  <si>
    <t>Mary Alice Herzperg</t>
  </si>
  <si>
    <t>Leonard Herzberg</t>
  </si>
  <si>
    <t>Carolyn Coots</t>
  </si>
  <si>
    <t>Wendell Coots</t>
  </si>
  <si>
    <t>Kathy Bryant</t>
  </si>
  <si>
    <t>William Bryant</t>
  </si>
  <si>
    <t>Virgil Mark Hambrook, Deceased</t>
  </si>
  <si>
    <t>Wayne A. Walters</t>
  </si>
  <si>
    <t>Shawn S. Walters, Trustee</t>
  </si>
  <si>
    <t>Wayne A. Walt</t>
  </si>
  <si>
    <t>Atha, Floyd and Nancy Rev Trust</t>
  </si>
  <si>
    <t>Floyd C</t>
  </si>
  <si>
    <t>Fuchs, Donnaleta Rev Trust</t>
  </si>
  <si>
    <t>Floyd Atha</t>
  </si>
  <si>
    <t>Nancy Atha</t>
  </si>
  <si>
    <t>William E. Bryant</t>
  </si>
  <si>
    <t>Clara Mae Bryan</t>
  </si>
  <si>
    <t>George Kendall Bryan</t>
  </si>
  <si>
    <t>G</t>
  </si>
  <si>
    <t>Fuchs, Donnaletta Revoc Trust</t>
  </si>
  <si>
    <t>Donnalett</t>
  </si>
  <si>
    <t>Jesse Joe Newell</t>
  </si>
  <si>
    <t>Jill Ann Newell</t>
  </si>
  <si>
    <t>Barry Ross Kelley</t>
  </si>
  <si>
    <t>Jill Ann Kelley</t>
  </si>
  <si>
    <t>Katie C. Lucas</t>
  </si>
  <si>
    <t>Matthew B. Lucas</t>
  </si>
  <si>
    <t>Eleanor A/k/a Wheeler</t>
  </si>
  <si>
    <t>Shirley Wheeler</t>
  </si>
  <si>
    <t>Rachael Elizabeth Newe</t>
  </si>
  <si>
    <t>Newell Farms Trust</t>
  </si>
  <si>
    <t>6</t>
  </si>
  <si>
    <t xml:space="preserve">W/2 SW/4, containing 80 acres, more or less </t>
  </si>
  <si>
    <t>D00009/0303</t>
  </si>
  <si>
    <t>D00011/0448</t>
  </si>
  <si>
    <t>D00029/0382</t>
  </si>
  <si>
    <t>237/0370</t>
  </si>
  <si>
    <t>Charles T. &amp; Sadie N. Kennett</t>
  </si>
  <si>
    <t>Jesse W. Fuchs / Jinkee D. Acuero Fuchs</t>
  </si>
  <si>
    <t>Jesse William (a/k/a William Jesse) Fuchs</t>
  </si>
  <si>
    <t>Fuchs Trust — Jinkee D. Acuero Fuchs, Trustee</t>
  </si>
  <si>
    <t>TOTAL NET ACRES (= tract acres)</t>
  </si>
  <si>
    <t>7</t>
  </si>
  <si>
    <t xml:space="preserve">NE/4 SE/4, containing 40 acres, more or less </t>
  </si>
  <si>
    <t>8</t>
  </si>
  <si>
    <t xml:space="preserve">W/2 SE/4, SE/4 SE/4, containing 120 acres, more or less </t>
  </si>
  <si>
    <t>2224/0382</t>
  </si>
  <si>
    <t>Dorothy J. Bain</t>
  </si>
  <si>
    <t>Aqulla Fuchs</t>
  </si>
  <si>
    <t>Edris O. Bain, Trustee</t>
  </si>
  <si>
    <t>Four A. Investments</t>
  </si>
  <si>
    <t>Elizabeth M. Williams</t>
  </si>
  <si>
    <t>Lalexander 1-31 wellbore &amp; Sec 31-12N-24W leasehold WI chain — exact WI/NRI TBD</t>
  </si>
  <si>
    <t>1608/0038</t>
  </si>
  <si>
    <t>1567/0006</t>
  </si>
  <si>
    <t>2343/0001</t>
  </si>
  <si>
    <t>2354/0229</t>
  </si>
  <si>
    <t>2425/0380</t>
  </si>
  <si>
    <t>2449/0333</t>
  </si>
  <si>
    <t>2452/0235</t>
  </si>
  <si>
    <t>2479/0001</t>
  </si>
  <si>
    <t>2480/0297</t>
  </si>
  <si>
    <t>2542/0413</t>
  </si>
  <si>
    <t>2567/0102</t>
  </si>
  <si>
    <t>2571/0579</t>
  </si>
  <si>
    <t>2584/0149</t>
  </si>
  <si>
    <t>2604/0111</t>
  </si>
  <si>
    <t>2664/0169</t>
  </si>
  <si>
    <t>Wellbore</t>
  </si>
  <si>
    <t>Working Interest 1</t>
  </si>
  <si>
    <t>Geodyne / Samson</t>
  </si>
  <si>
    <t>TE Holdco RP, LLC et al</t>
  </si>
  <si>
    <t>Hani Tabally</t>
  </si>
  <si>
    <t>Santos J. Dominguez</t>
  </si>
  <si>
    <t>MNR ABS Issuer I, LLC</t>
  </si>
  <si>
    <t>K.C. Production, LLC</t>
  </si>
  <si>
    <t>Greg et al CDX</t>
  </si>
  <si>
    <t>Satherlie 1989 Rev. Trust</t>
  </si>
  <si>
    <t>If additional Rows are needed,</t>
  </si>
  <si>
    <t>Insert them prior to the last row listed.</t>
  </si>
  <si>
    <t>Do NOT COPY the formulas below this line.</t>
  </si>
  <si>
    <t>WORKING INTEREST 2 — LEASEHOLD SUMMARY (Sec. 31-12N-24W)</t>
  </si>
  <si>
    <t>All lease data linked live from the OGLs tab by OGL #. Status compares primary-term expiration to today; HBP/production can override — see notes at bottom.</t>
  </si>
  <si>
    <t>CURRENT TOP LEASES — Silver Oak Natural Resources, LLC (paid-up, 3/16, springing top leases)</t>
  </si>
  <si>
    <t>Book/Page</t>
  </si>
  <si>
    <t>Lessor (Mineral Owner)</t>
  </si>
  <si>
    <t>Lessee</t>
  </si>
  <si>
    <t>Exec Date</t>
  </si>
  <si>
    <t>Recorded</t>
  </si>
  <si>
    <t>Term (mo)</t>
  </si>
  <si>
    <t>Primary Exp</t>
  </si>
  <si>
    <t>Gross Ac</t>
  </si>
  <si>
    <t>Status</t>
  </si>
  <si>
    <t>Paid-up top lease (3/16); springing — effective only on prior-lease termination.</t>
  </si>
  <si>
    <t>HISTORIC LEASEHOLD — OGLs 1–27 (2002–2006; Chesapeake / EOG / Lortz / Jess Harris / Devon / TODCO)</t>
  </si>
  <si>
    <t>Primary term expired; HBP / release status unresolved — VERIFY production &amp; releases.</t>
  </si>
  <si>
    <t>WELLBORE WORKING-INTEREST CHAIN</t>
  </si>
  <si>
    <t>Detailed grantor→grantee assignment flow is on the WI 1 tab (OGLs 2385/0072; 2455/0446; 2698/0069). 2698/0069 is a 2% ORRI burden, not WI. OCC RBDMS 6/12/2026: Alexander #1-31, API 35-129-22925, ACTIVE (oil), operator Martin's Resources LLC, surface C NW SE. Active status supports HBP for wellbore-tied leasehold; OTC gross-production confirmation still required. VERIFY.</t>
  </si>
  <si>
    <t>MORTGAGE / LIEN BURDENS</t>
  </si>
  <si>
    <t>[Burden, not WI] OGLs 2356/0001; 2356/0200; 2357/0001; 2357/0474. Open until matched to releases; full images/exhibits needed for release scope and collateral. VERIFY.</t>
  </si>
  <si>
    <t>TITLE NOTES &amp; STATUS CAVEATS</t>
  </si>
  <si>
    <t>Historic leasehold (OGLs 1–27): primary terms all expired 2005–2009. EXPIRED vs HBP is NOT concluded — primary terms alone are insufficient; check production, pooling, shut-in, extensions and releases. VERIFY.</t>
  </si>
  <si>
    <t>Top leases (Silver Oak, OGLs 289–294): six 2026 paid-up leases at 3/16, subordinate to 2004-era prior leases and effective only on their termination (springing). Terms verified from images 6/12/2026.</t>
  </si>
  <si>
    <t>Status column compares each lease's primary-term expiration to today's date only; it does NOT account for HBP, production, pooling, or releases.</t>
  </si>
  <si>
    <t>Wells</t>
  </si>
  <si>
    <t>Well Name</t>
  </si>
  <si>
    <t>API #</t>
  </si>
  <si>
    <t>Operator</t>
  </si>
  <si>
    <t>Location</t>
  </si>
  <si>
    <t>Formation</t>
  </si>
  <si>
    <t>Completion</t>
  </si>
  <si>
    <t>Last Production</t>
  </si>
  <si>
    <t>Alexander #1-31 (of record as LALEXANDER 1-31)</t>
  </si>
  <si>
    <t>35-129-22925</t>
  </si>
  <si>
    <t>Martin's Resources LLC</t>
  </si>
  <si>
    <t>Active (OCC status AC, oil)</t>
  </si>
  <si>
    <t>Sec 31-12N-24W, C NW/4 SE/4, 660' FWL x 1980' FSL</t>
  </si>
  <si>
    <t>Verify w/ OCC 1002A (pre-electronic completion)</t>
  </si>
  <si>
    <t>Verify w/ OCC</t>
  </si>
  <si>
    <t>Verify w/ OTC gross production</t>
  </si>
  <si>
    <t>Source: OCC RBDMS GIS (gis.occ.ok.gov), retrieved 6/12/2026. Sole well of record in the section. Wellbore ORRI 2% of 8/8ths assigned Martin's Empire LLC to Stride Bank TTEE (2698/0069). Active status supports HBP; production volumes pending OTC. ShaleXP (OTC-sourced) corroborates ACTIVE status under Martin's Resources LLC with operator-level production reported through Mar 2026; NOTE: no Alexander property block visible in ShaleXP's free production table, so well-level volumes remain unconfirmed pending OTC PUN pull.</t>
  </si>
  <si>
    <t>Unnamed: 0</t>
  </si>
  <si>
    <t>Source_File</t>
  </si>
  <si>
    <t>Source_Sheet</t>
  </si>
  <si>
    <t>Review Status / Source</t>
  </si>
  <si>
    <t>Document Link.1</t>
  </si>
  <si>
    <t>Open Requirement</t>
  </si>
  <si>
    <t>Priority</t>
  </si>
  <si>
    <t>Action Group</t>
  </si>
  <si>
    <t>Document Date (Best)</t>
  </si>
  <si>
    <t>Document Date Source</t>
  </si>
  <si>
    <t>Recorded / Indexed Date</t>
  </si>
  <si>
    <t>Target STR Match</t>
  </si>
  <si>
    <t>Quarter Calls / Legal Calls</t>
  </si>
  <si>
    <t>Quarter Call Confidence</t>
  </si>
  <si>
    <t>Certified Legal Review Needed</t>
  </si>
  <si>
    <t>Extraction Note</t>
  </si>
  <si>
    <t>Not found in reviewed materials</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</si>
  <si>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</si>
  <si>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</si>
  <si>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</si>
  <si>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</si>
  <si>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</si>
  <si>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</si>
  <si>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</si>
  <si>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</si>
  <si>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</si>
  <si>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</si>
  <si>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</si>
  <si>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</si>
  <si>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</si>
  <si>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2002-04-08</t>
  </si>
  <si>
    <t>Paul A Albert, Personal Representative</t>
  </si>
  <si>
    <t>2002-09-04</t>
  </si>
  <si>
    <t>L A Persicke</t>
  </si>
  <si>
    <t>2002-04-15</t>
  </si>
  <si>
    <t>2002-05-13</t>
  </si>
  <si>
    <t>David S Silverberg</t>
  </si>
  <si>
    <t>2002-04-18</t>
  </si>
  <si>
    <t>Lyle T Ibeling</t>
  </si>
  <si>
    <t>Chesapeake Exploration Co., LTD PTN</t>
  </si>
  <si>
    <t>2002-05-05</t>
  </si>
  <si>
    <t>2002-06-26</t>
  </si>
  <si>
    <t>Deutseh, Paul R &amp; Deborah A</t>
  </si>
  <si>
    <t>2002-05-08</t>
  </si>
  <si>
    <t>2002-06-18</t>
  </si>
  <si>
    <t>2002-08-16</t>
  </si>
  <si>
    <t>Brawner, Peggy, Attorney for Bain, William C Jr</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</si>
  <si>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</si>
  <si>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</si>
  <si>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</si>
  <si>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</si>
  <si>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</si>
  <si>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</si>
  <si>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</si>
  <si>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</si>
  <si>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</si>
  <si>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</si>
  <si>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</si>
  <si>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</si>
  <si>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</si>
  <si>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</si>
  <si>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</si>
  <si>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</si>
  <si>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</si>
  <si>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</si>
  <si>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</si>
  <si>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</si>
  <si>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</si>
  <si>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</si>
  <si>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</si>
  <si>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</si>
  <si>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</si>
  <si>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</si>
  <si>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</si>
  <si>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2005-10-12</t>
  </si>
  <si>
    <t>2005-11-02</t>
  </si>
  <si>
    <t>2006-02-06</t>
  </si>
  <si>
    <t>2005-11-15</t>
  </si>
  <si>
    <t>2005-12-08</t>
  </si>
  <si>
    <t>Clyde A Pine</t>
  </si>
  <si>
    <t>2006-01-16</t>
  </si>
  <si>
    <t>2006-01-09</t>
  </si>
  <si>
    <t>2006-01-25</t>
  </si>
  <si>
    <t>2006-01-30</t>
  </si>
  <si>
    <t>James M Robertson</t>
  </si>
  <si>
    <t>2006-02-13</t>
  </si>
  <si>
    <t>2006-03-16</t>
  </si>
  <si>
    <t>2026-06-05 00:00:00</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</si>
  <si>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</si>
  <si>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</si>
  <si>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</si>
  <si>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</si>
  <si>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</si>
  <si>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</si>
  <si>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</si>
  <si>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</si>
  <si>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</si>
  <si>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</si>
  <si>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</si>
  <si>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</si>
  <si>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</si>
  <si>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</si>
  <si>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</si>
  <si>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</si>
  <si>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</si>
  <si>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</si>
  <si>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</si>
  <si>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</si>
  <si>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</si>
  <si>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</si>
  <si>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</si>
  <si>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</si>
  <si>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</si>
  <si>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</si>
  <si>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</si>
  <si>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</si>
  <si>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</si>
  <si>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2026-05-18 00:00:00</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</si>
  <si>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</si>
  <si>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</si>
  <si>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</si>
  <si>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</si>
  <si>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</si>
  <si>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</si>
  <si>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</si>
  <si>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Martin's Empire, LLC</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</si>
  <si>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</si>
  <si>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</si>
  <si>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</si>
  <si>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</si>
  <si>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</si>
  <si>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</si>
  <si>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</si>
  <si>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</si>
  <si>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</si>
  <si>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</si>
  <si>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</si>
  <si>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</si>
  <si>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</si>
  <si>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</si>
  <si>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</si>
  <si>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</si>
  <si>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</si>
  <si>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</si>
  <si>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</si>
  <si>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</si>
  <si>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</si>
  <si>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</si>
  <si>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</si>
  <si>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</si>
  <si>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</si>
  <si>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</si>
  <si>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</si>
  <si>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2026-04-10 00:00:00</t>
  </si>
  <si>
    <t>Index row only reviewed. Full 2026 Silver Oak OGL image not accessible; exact lease royalty/term/effective date/special clauses must be confirmed.</t>
  </si>
  <si>
    <t>https://okcountyrecords.com/detail/roger+mills/2026-001952/35274563</t>
  </si>
  <si>
    <t>James Gerard Buonaccorsi, Trustee of The Mitchell Buonaccorsi Living Trust U/A, Carrie Leeann Mitchell, Trustee of The Mitchell Buonaccorsi Living Trust U/A</t>
  </si>
  <si>
    <t>https://okcountyrecords.com/detail/roger+mills/2026-001949/35274564</t>
  </si>
  <si>
    <t>https://okcountyrecords.com/detail/roger+mills/2026-001951/35274565</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</si>
  <si>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</si>
  <si>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</si>
  <si>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</si>
  <si>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</si>
  <si>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</si>
  <si>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</si>
  <si>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</si>
  <si>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</si>
  <si>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</si>
  <si>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</si>
  <si>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</si>
  <si>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</si>
  <si>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</si>
  <si>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</si>
  <si>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</si>
  <si>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2024-03-14 00:00:00</t>
  </si>
  <si>
    <t>Paul R. Deutsch, Deborah A. Deutsch</t>
  </si>
  <si>
    <t>https://okcountyrecords.com/detail/roger+mills/2024-001313/31623586</t>
  </si>
  <si>
    <t>2023-11-06 00:00:00</t>
  </si>
  <si>
    <t>Matthew Lucas, Katie Lucas</t>
  </si>
  <si>
    <t>https://okcountyrecords.com/detail/roger+mills/2023-003436/29336584</t>
  </si>
  <si>
    <t>Obtain lien/release image/exhibits; match liens to releases and confirm target-section effect.</t>
  </si>
  <si>
    <t>Lien / Release</t>
  </si>
  <si>
    <t>LOT 4; SE/4 SW/4</t>
  </si>
  <si>
    <t>2022-12-19 00:00:00</t>
  </si>
  <si>
    <t>William Bryant, Kathy Bryant</t>
  </si>
  <si>
    <t>https://okcountyrecords.com/detail/roger+mills/2022-002667/28312455</t>
  </si>
  <si>
    <t>LOT 1</t>
  </si>
  <si>
    <t>https://okcountyrecords.com/detail/roger+mills/2022-002668/28312456</t>
  </si>
  <si>
    <t>2022-03-01 00:00:00</t>
  </si>
  <si>
    <t>https://okcountyrecords.com/detail/roger+mills/2022-000416/27279297</t>
  </si>
  <si>
    <t>2022-02-28 00:00:00</t>
  </si>
  <si>
    <t>A. of 31-12N-24W aol</t>
  </si>
  <si>
    <t>https://okcountyrecords.com/detail/roger+mills/2022-000389/27275589</t>
  </si>
  <si>
    <t>2021-10-22 00:00:00</t>
  </si>
  <si>
    <t>Cardinal Land Company, LLC, EDR, LLC</t>
  </si>
  <si>
    <t>https://okcountyrecords.com/detail/roger+mills/2021-001774/26955795</t>
  </si>
  <si>
    <t>2021-09-16 00:00:00</t>
  </si>
  <si>
    <t>https://okcountyrecords.com/detail/roger+mills/2021-001518/26899109</t>
  </si>
  <si>
    <t>2020-12-10 00:00:00</t>
  </si>
  <si>
    <t>https://okcountyrecords.com/detail/roger+mills/2020-001954/26392975</t>
  </si>
  <si>
    <t>2019-09-03 00:00:00</t>
  </si>
  <si>
    <t>Colt Development, Roca Development</t>
  </si>
  <si>
    <t>https://okcountyrecords.com/detail/roger+mills/2019-001855/22296278</t>
  </si>
  <si>
    <t>2019-02-25 00:00:00</t>
  </si>
  <si>
    <t>Monte E. Tucker, Danielle D. Tucker</t>
  </si>
  <si>
    <t>N/2 NE/4 of 31-12N-24W aol</t>
  </si>
  <si>
    <t>https://okcountyrecords.com/detail/roger+mills/2019-000432/21691645</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</si>
  <si>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</si>
  <si>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</si>
  <si>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</si>
  <si>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</si>
  <si>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</si>
  <si>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</si>
  <si>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https://okcountyrecords.com/detail/roger+mills/2018-000119/20639253</t>
  </si>
  <si>
    <t>2017-10-26 00:00:00</t>
  </si>
  <si>
    <t>https://okcountyrecords.com/detail/roger+mills/2017-002214/20329818</t>
  </si>
  <si>
    <t>2017-05-03 00:00:00</t>
  </si>
  <si>
    <t>NW/4 Partial of 31-12N-24W aol</t>
  </si>
  <si>
    <t>https://okcountyrecords.com/detail/roger+mills/2017-000951/19673811</t>
  </si>
  <si>
    <t>NW/4</t>
  </si>
  <si>
    <t>2017-01-26 00:00:00</t>
  </si>
  <si>
    <t>https://okcountyrecords.com/detail/roger+mills/2017-000146/19482475</t>
  </si>
  <si>
    <t>Partial Release Of Lien</t>
  </si>
  <si>
    <t>2017-01-17 00:00:00</t>
  </si>
  <si>
    <t>Samson Resources, Geodyne Resources</t>
  </si>
  <si>
    <t>Lalexander of 31-12N-24W aol</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</si>
  <si>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</si>
  <si>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</si>
  <si>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</si>
  <si>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</si>
  <si>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</si>
  <si>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</si>
  <si>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</si>
  <si>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</si>
  <si>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</si>
  <si>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</si>
  <si>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</si>
  <si>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</si>
  <si>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</si>
  <si>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</si>
  <si>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</si>
  <si>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</si>
  <si>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</si>
  <si>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</si>
  <si>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</si>
  <si>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</si>
  <si>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</si>
  <si>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</si>
  <si>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</si>
  <si>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</si>
  <si>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</si>
  <si>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</si>
  <si>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</si>
  <si>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</si>
  <si>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</si>
  <si>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</si>
  <si>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</si>
  <si>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</si>
  <si>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</si>
  <si>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</si>
  <si>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</si>
  <si>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</si>
  <si>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</si>
  <si>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</si>
  <si>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</si>
  <si>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</si>
  <si>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</si>
  <si>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</si>
  <si>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</si>
  <si>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</si>
  <si>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</si>
  <si>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</si>
  <si>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</si>
  <si>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</si>
  <si>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</si>
  <si>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</si>
  <si>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</si>
  <si>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</si>
  <si>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</si>
  <si>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</si>
  <si>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</si>
  <si>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</si>
  <si>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</si>
  <si>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</si>
  <si>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</si>
  <si>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</si>
  <si>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</si>
  <si>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</si>
  <si>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</si>
  <si>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</si>
  <si>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</si>
  <si>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</si>
  <si>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</si>
  <si>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</si>
  <si>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</si>
  <si>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</si>
  <si>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</si>
  <si>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</si>
  <si>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</si>
  <si>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</si>
  <si>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</si>
  <si>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</si>
  <si>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</si>
  <si>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</si>
  <si>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</si>
  <si>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</si>
  <si>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</si>
  <si>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</si>
  <si>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</si>
  <si>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</si>
  <si>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</si>
  <si>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</si>
  <si>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</si>
  <si>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</si>
  <si>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</si>
  <si>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</si>
  <si>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</si>
  <si>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</si>
  <si>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</si>
  <si>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</si>
  <si>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</si>
  <si>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</si>
  <si>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</si>
  <si>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</si>
  <si>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</si>
  <si>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</si>
  <si>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</si>
  <si>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</si>
  <si>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</si>
  <si>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</si>
  <si>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</si>
  <si>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</si>
  <si>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</si>
  <si>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</si>
  <si>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</si>
  <si>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</si>
  <si>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</si>
  <si>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</si>
  <si>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</si>
  <si>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</si>
  <si>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</si>
  <si>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</si>
  <si>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</si>
  <si>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</si>
  <si>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</si>
  <si>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</si>
  <si>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</si>
  <si>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</si>
  <si>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</si>
  <si>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</si>
  <si>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</si>
  <si>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</si>
  <si>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</si>
  <si>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</si>
  <si>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</si>
  <si>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</si>
  <si>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</si>
  <si>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</si>
  <si>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</si>
  <si>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</si>
  <si>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</si>
  <si>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</si>
  <si>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</si>
  <si>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</si>
  <si>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</si>
  <si>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</si>
  <si>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</si>
  <si>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</si>
  <si>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</si>
  <si>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</si>
  <si>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</si>
  <si>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</si>
  <si>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</si>
  <si>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</si>
  <si>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</si>
  <si>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</si>
  <si>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</si>
  <si>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</si>
  <si>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</si>
  <si>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</si>
  <si>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</si>
  <si>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</si>
  <si>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</si>
  <si>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</si>
  <si>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</si>
  <si>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</si>
  <si>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</si>
  <si>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</si>
  <si>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</si>
  <si>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</si>
  <si>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</si>
  <si>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</si>
  <si>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</si>
  <si>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</si>
  <si>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</si>
  <si>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</si>
  <si>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</si>
  <si>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</si>
  <si>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</si>
  <si>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</si>
  <si>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</si>
  <si>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</si>
  <si>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</si>
  <si>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</si>
  <si>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</si>
  <si>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</si>
  <si>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</si>
  <si>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</si>
  <si>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</si>
  <si>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</si>
  <si>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</si>
  <si>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</si>
  <si>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</si>
  <si>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</si>
  <si>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</si>
  <si>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</si>
  <si>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</si>
  <si>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</si>
  <si>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</si>
  <si>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</si>
  <si>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</si>
  <si>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</si>
  <si>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</si>
  <si>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</si>
  <si>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</si>
  <si>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</si>
  <si>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</si>
  <si>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</si>
  <si>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</si>
  <si>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</si>
  <si>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</si>
  <si>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</si>
  <si>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</si>
  <si>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</si>
  <si>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</si>
  <si>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</si>
  <si>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</si>
  <si>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</si>
  <si>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</si>
  <si>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</si>
  <si>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</si>
  <si>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</si>
  <si>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</si>
  <si>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</si>
  <si>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</si>
  <si>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</si>
  <si>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</si>
  <si>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</si>
  <si>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</si>
  <si>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</si>
  <si>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</si>
  <si>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</si>
  <si>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</si>
  <si>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</si>
  <si>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</si>
  <si>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</si>
  <si>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</si>
  <si>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</si>
  <si>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</si>
  <si>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</si>
  <si>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</si>
  <si>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</si>
  <si>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</si>
  <si>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</si>
  <si>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</si>
  <si>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</si>
  <si>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</si>
  <si>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</si>
  <si>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</si>
  <si>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</si>
  <si>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</si>
  <si>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</si>
  <si>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</si>
  <si>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</si>
  <si>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</si>
  <si>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</si>
  <si>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</si>
  <si>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</si>
  <si>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</si>
  <si>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</si>
  <si>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</si>
  <si>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</si>
  <si>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</si>
  <si>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</si>
  <si>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</si>
  <si>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</si>
  <si>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</si>
  <si>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</si>
  <si>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</si>
  <si>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</si>
  <si>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</si>
  <si>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</si>
  <si>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</si>
  <si>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</si>
  <si>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</si>
  <si>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</si>
  <si>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</si>
  <si>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</si>
  <si>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</si>
  <si>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</si>
  <si>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</si>
  <si>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</si>
  <si>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</si>
  <si>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</si>
  <si>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</si>
  <si>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</si>
  <si>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</si>
  <si>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</si>
  <si>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</si>
  <si>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</si>
  <si>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</si>
  <si>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</si>
  <si>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</si>
  <si>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</si>
  <si>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</si>
  <si>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</si>
  <si>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</si>
  <si>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</si>
  <si>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</si>
  <si>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</si>
  <si>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</si>
  <si>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</si>
  <si>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</si>
  <si>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</si>
  <si>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</si>
  <si>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</si>
  <si>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</si>
  <si>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</si>
  <si>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</si>
  <si>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</si>
  <si>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</si>
  <si>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</si>
  <si>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</si>
  <si>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</si>
  <si>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</si>
  <si>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</si>
  <si>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</si>
  <si>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</si>
  <si>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</si>
  <si>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</si>
  <si>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</si>
  <si>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</si>
  <si>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</si>
  <si>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</si>
  <si>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</si>
  <si>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</si>
  <si>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</si>
  <si>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</si>
  <si>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</si>
  <si>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</si>
  <si>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</si>
  <si>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</si>
  <si>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</si>
  <si>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</si>
  <si>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</si>
  <si>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</si>
  <si>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</si>
  <si>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</si>
  <si>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</si>
  <si>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</si>
  <si>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</si>
  <si>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</si>
  <si>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</si>
  <si>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</si>
  <si>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</si>
  <si>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</si>
  <si>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</si>
  <si>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</si>
  <si>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</si>
  <si>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</si>
  <si>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</si>
  <si>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</si>
  <si>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</si>
  <si>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</si>
  <si>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</si>
  <si>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</si>
  <si>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</si>
  <si>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</si>
  <si>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</si>
  <si>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</si>
  <si>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</si>
  <si>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</si>
  <si>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</si>
  <si>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</si>
  <si>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</si>
  <si>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</si>
  <si>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</si>
  <si>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</si>
  <si>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SE/4</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</si>
  <si>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</si>
  <si>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</si>
  <si>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</si>
  <si>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</si>
  <si>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</si>
  <si>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</si>
  <si>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</si>
  <si>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</si>
  <si>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</si>
  <si>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</si>
  <si>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</si>
  <si>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</si>
  <si>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</si>
  <si>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</si>
  <si>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</si>
  <si>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</si>
  <si>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</si>
  <si>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</si>
  <si>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</si>
  <si>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</si>
  <si>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</si>
  <si>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</si>
  <si>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</si>
  <si>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</si>
  <si>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</si>
  <si>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</si>
  <si>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</si>
  <si>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</si>
  <si>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</si>
  <si>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</si>
  <si>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</si>
  <si>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</si>
  <si>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</si>
  <si>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</si>
  <si>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</si>
  <si>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</si>
  <si>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</si>
  <si>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</si>
  <si>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</si>
  <si>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</si>
  <si>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</si>
  <si>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</si>
  <si>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</si>
  <si>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</si>
  <si>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</si>
  <si>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</si>
  <si>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</si>
  <si>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</si>
  <si>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</si>
  <si>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</si>
  <si>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</si>
  <si>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</si>
  <si>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</si>
  <si>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</si>
  <si>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</si>
  <si>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</si>
  <si>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</si>
  <si>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</si>
  <si>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</si>
  <si>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</si>
  <si>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</si>
  <si>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</si>
  <si>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</si>
  <si>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</si>
  <si>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</si>
  <si>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</si>
  <si>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</si>
  <si>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</si>
  <si>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Alexander 1-31</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</si>
  <si>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</si>
  <si>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</si>
  <si>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</si>
  <si>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</si>
  <si>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</si>
  <si>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</si>
  <si>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</si>
  <si>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</si>
  <si>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</si>
  <si>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</si>
  <si>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</si>
  <si>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</si>
  <si>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</si>
  <si>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</si>
  <si>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</si>
  <si>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</si>
  <si>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</si>
  <si>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</si>
  <si>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</si>
  <si>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</si>
  <si>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</si>
  <si>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</si>
  <si>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</si>
  <si>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</si>
  <si>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All</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</si>
  <si>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</si>
  <si>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</si>
  <si>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</si>
  <si>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</si>
  <si>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</si>
  <si>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</si>
  <si>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</si>
  <si>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</si>
  <si>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</si>
  <si>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</si>
  <si>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</si>
  <si>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</si>
  <si>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</si>
  <si>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</si>
  <si>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</si>
  <si>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</si>
  <si>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</si>
  <si>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</si>
  <si>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</si>
  <si>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</si>
  <si>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</si>
  <si>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</si>
  <si>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</si>
  <si>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</si>
  <si>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</si>
  <si>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</si>
  <si>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</si>
  <si>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</si>
  <si>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</si>
  <si>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</si>
  <si>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</si>
  <si>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</si>
  <si>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</si>
  <si>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</si>
  <si>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</si>
  <si>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</si>
  <si>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</si>
  <si>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</si>
  <si>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</si>
  <si>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</si>
  <si>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</si>
  <si>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</si>
  <si>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</si>
  <si>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</si>
  <si>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</si>
  <si>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MD</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</si>
  <si>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</si>
  <si>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</si>
  <si>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</si>
  <si>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</si>
  <si>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</si>
  <si>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</si>
  <si>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</si>
  <si>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</si>
  <si>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</si>
  <si>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</si>
  <si>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</si>
  <si>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</si>
  <si>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</si>
  <si>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</si>
  <si>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</si>
  <si>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</si>
  <si>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</si>
  <si>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</si>
  <si>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</si>
  <si>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</si>
  <si>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</si>
  <si>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</si>
  <si>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AFF</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</si>
  <si>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</si>
  <si>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</si>
  <si>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</si>
  <si>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</si>
  <si>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</si>
  <si>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</si>
  <si>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</si>
  <si>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</si>
  <si>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</si>
  <si>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</si>
  <si>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</si>
  <si>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</si>
  <si>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</si>
  <si>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</si>
  <si>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</si>
  <si>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</si>
  <si>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</si>
  <si>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</si>
  <si>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</si>
  <si>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</si>
  <si>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</si>
  <si>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</si>
  <si>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</si>
  <si>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</si>
  <si>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</si>
  <si>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</si>
  <si>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</si>
  <si>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</si>
  <si>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</si>
  <si>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</si>
  <si>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</si>
  <si>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</si>
  <si>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</si>
  <si>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</si>
  <si>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</si>
  <si>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</si>
  <si>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</si>
  <si>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</si>
  <si>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</si>
  <si>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</si>
  <si>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</si>
  <si>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</si>
  <si>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</si>
  <si>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</si>
  <si>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</si>
  <si>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</si>
  <si>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</si>
  <si>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</si>
  <si>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</si>
  <si>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</si>
  <si>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</si>
  <si>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</si>
  <si>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</si>
  <si>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</si>
  <si>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</si>
  <si>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</si>
  <si>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</si>
  <si>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</si>
  <si>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</si>
  <si>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</si>
  <si>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</si>
  <si>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</si>
  <si>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</si>
  <si>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</si>
  <si>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</si>
  <si>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</si>
  <si>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</si>
  <si>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</si>
  <si>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</si>
  <si>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</si>
  <si>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</si>
  <si>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</si>
  <si>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</si>
  <si>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</si>
  <si>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</si>
  <si>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</si>
  <si>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</si>
  <si>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</si>
  <si>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</si>
  <si>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</si>
  <si>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</si>
  <si>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</si>
  <si>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</si>
  <si>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</si>
  <si>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</si>
  <si>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</si>
  <si>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</si>
  <si>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</si>
  <si>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</si>
  <si>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</si>
  <si>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</si>
  <si>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</si>
  <si>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</si>
  <si>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</si>
  <si>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</si>
  <si>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</si>
  <si>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</si>
  <si>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</si>
  <si>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</si>
  <si>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</si>
  <si>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</si>
  <si>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</si>
  <si>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</si>
  <si>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</si>
  <si>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</si>
  <si>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</si>
  <si>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</si>
  <si>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</si>
  <si>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</si>
  <si>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</si>
  <si>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</si>
  <si>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</si>
  <si>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</si>
  <si>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</si>
  <si>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</si>
  <si>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</si>
  <si>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</si>
  <si>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</si>
  <si>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</si>
  <si>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SW/4</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</si>
  <si>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</si>
  <si>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</si>
  <si>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</si>
  <si>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</si>
  <si>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</si>
  <si>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</si>
  <si>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</si>
  <si>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</si>
  <si>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</si>
  <si>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</si>
  <si>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</si>
  <si>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</si>
  <si>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</si>
  <si>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</si>
  <si>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</si>
  <si>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</si>
  <si>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</si>
  <si>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</si>
  <si>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</si>
  <si>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</si>
  <si>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</si>
  <si>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</si>
  <si>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</si>
  <si>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</si>
  <si>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</si>
  <si>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</si>
  <si>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</si>
  <si>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</si>
  <si>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</si>
  <si>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</si>
  <si>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</si>
  <si>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</si>
  <si>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</si>
  <si>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</si>
  <si>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</si>
  <si>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</si>
  <si>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</si>
  <si>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</si>
  <si>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</si>
  <si>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</si>
  <si>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</si>
  <si>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</si>
  <si>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</si>
  <si>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</si>
  <si>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</si>
  <si>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</si>
  <si>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</si>
  <si>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</si>
  <si>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</si>
  <si>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</si>
  <si>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</si>
  <si>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</si>
  <si>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</si>
  <si>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</si>
  <si>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</si>
  <si>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</si>
  <si>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</si>
  <si>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</si>
  <si>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</si>
  <si>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</si>
  <si>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</si>
  <si>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</si>
  <si>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</si>
  <si>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</si>
  <si>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</si>
  <si>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</si>
  <si>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</si>
  <si>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</si>
  <si>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</si>
  <si>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</si>
  <si>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</si>
  <si>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</si>
  <si>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</si>
  <si>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</si>
  <si>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</si>
  <si>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</si>
  <si>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</si>
  <si>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</si>
  <si>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</si>
  <si>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</si>
  <si>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</si>
  <si>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</si>
  <si>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</si>
  <si>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</si>
  <si>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</si>
  <si>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</si>
  <si>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</si>
  <si>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</si>
  <si>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</si>
  <si>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</si>
  <si>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</si>
  <si>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</si>
  <si>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</si>
  <si>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</si>
  <si>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</si>
  <si>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</si>
  <si>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</si>
  <si>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</si>
  <si>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SE/4 SE/4 of 31-12N-24W</t>
  </si>
  <si>
    <t>Primary term expired; HBP status uncertain*
Recorded 2000-02-08. Leasing era 2000-2006; presumed expired absent production/HBP.
Merged duplicate rows: 710</t>
  </si>
  <si>
    <t>county record
63e8b9a8d056433a9994fe46ca85076b.pdf</t>
  </si>
  <si>
    <t>SW/4 NE/4 of 31-12N-24W</t>
  </si>
  <si>
    <t>Primary term expired; HBP status uncertain*
Recorded 2000-02-08. Leasing era 2000-2006; presumed expired absent production/HBP.
Merged duplicate rows: 711</t>
  </si>
  <si>
    <t>Primary term expired; HBP status uncertain*
Recorded 2000-02-08. Leasing era 2000-2006; presumed expired absent production/HBP.
Merged duplicate rows: 712</t>
  </si>
  <si>
    <t>NE/4 SW/4 Lots 3-4 containing south half of 31-12N-24W; NE/4 SW/4, Lots 3-4 of 31-12N-24W</t>
  </si>
  <si>
    <t>Primary term expired; HBP status uncertain*
Recorded 2000-02-09. Leasing era 2000-2006; presumed expired absent production/HBP.
Merged duplicate rows: 713</t>
  </si>
  <si>
    <t>Primary term expired; HBP status uncertain*
Recorded 2000-02-09. Leasing era 2000-2006; presumed expired absent production/HBP.
Merged duplicate rows: 714</t>
  </si>
  <si>
    <t>S/2 NE/4 Lots 3-4 containing south half of 31-12N-24W; S/2 NE/4, Lots 3-4 of 31-12N-24W, aol</t>
  </si>
  <si>
    <t>Primary term expired; HBP status uncertain*
Recorded 2000-02-09. Leasing era 2000-2006; presumed expired absent production/HBP.
Merged duplicate rows: 715</t>
  </si>
  <si>
    <t>Primary term expired; HBP status uncertain*
Recorded 2000-02-09. Leasing era 2000-2006; presumed expired absent production/HBP.
Merged duplicate rows: 716</t>
  </si>
  <si>
    <t>Primary term expired; HBP status uncertain*
Recorded 2000-02-09. Leasing era 2000-2006; presumed expired absent production/HBP.
Merged duplicate rows: 717</t>
  </si>
  <si>
    <t>Primary term expired; HBP status uncertain*
Recorded 2000-02-09. Leasing era 2000-2006; presumed expired absent production/HBP.
Merged duplicate rows: 718</t>
  </si>
  <si>
    <t>Primary term expired; HBP status uncertain*
Recorded 2000-02-09. Leasing era 2000-2006; presumed expired absent production/HBP.
Merged duplicate rows: 719</t>
  </si>
  <si>
    <t>county record</t>
  </si>
  <si>
    <t>NE/4 SW/4 of 31-12N-24W; E/2 NW/4 of 31-12N-24W</t>
  </si>
  <si>
    <t>Primary term expired; HBP status uncertain*
Recorded 2000-02-16. Leasing era 2000-2006; presumed expired absent production/HBP.
Merged duplicate rows: 721</t>
  </si>
  <si>
    <t>Leasehold assignment; confirm leases, depths &amp; retained burdens from recorded image.</t>
  </si>
  <si>
    <t>Lot 4, S/2 Lot 3, S/2 NE/4 SW/4, SE/4 SW/4 of 31-12N-24W; Lot 4 S/2, Lot 3 S/2 NE/4 SW/4 SE/4 SW/4 of 31-12N-24W, aol</t>
  </si>
  <si>
    <t>county record
31-12N-24W_Roger_Mills_Cursory_Title_Report_(6-10-2026)_BEST_UPDATED</t>
  </si>
  <si>
    <t>E/2 NW/4, E/2 SW/4 Lots 3-4, N/2 NE/4, NE/4 SE/4, SE/4 NE/4 of 31-12N-24W</t>
  </si>
  <si>
    <t>NE/4 SE/4 of 31-12N-24W</t>
  </si>
  <si>
    <t>Memorandum of Lease</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</si>
  <si>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</si>
  <si>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</si>
  <si>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</si>
  <si>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</si>
  <si>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</si>
  <si>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N/2 NE/4 of 31-12N-24W; N/2 NE/4, W/2 NW/4 of 31-12N-24W aol</t>
  </si>
  <si>
    <t>Mineral conveyance; confirm net acres/fraction &amp; reservations from recorded image.
Merged row 569 Effective Date: 42370
Merged duplicate rows: 569</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</si>
  <si>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</si>
  <si>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</si>
  <si>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</si>
  <si>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</si>
  <si>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</si>
  <si>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</si>
  <si>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</si>
  <si>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</si>
  <si>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</si>
  <si>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</si>
  <si>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</si>
  <si>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</si>
  <si>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</si>
  <si>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</si>
  <si>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</si>
  <si>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</si>
  <si>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</si>
  <si>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</si>
  <si>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</si>
  <si>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</si>
  <si>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</si>
  <si>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</si>
  <si>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</si>
  <si>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</si>
  <si>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</si>
  <si>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</si>
  <si>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</si>
  <si>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</si>
  <si>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</si>
  <si>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</si>
  <si>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</si>
  <si>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</si>
  <si>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</si>
  <si>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</si>
  <si>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Unbridled Resources, LLC, et al.</t>
  </si>
  <si>
    <t>MNS ABS Issuer I., LLC, et al.</t>
  </si>
  <si>
    <t>All of 31-12N-24W; All of 6-11N-26W aol</t>
  </si>
  <si>
    <t>Merged duplicate rows: 174</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</si>
  <si>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</si>
  <si>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</si>
  <si>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</si>
  <si>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</si>
  <si>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</si>
  <si>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</si>
  <si>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</si>
  <si>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</si>
  <si>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</si>
  <si>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</si>
  <si>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</si>
  <si>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</si>
  <si>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</si>
  <si>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</si>
  <si>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</si>
  <si>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</si>
  <si>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</si>
  <si>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</si>
  <si>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</si>
  <si>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</si>
  <si>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</si>
  <si>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</si>
  <si>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</si>
  <si>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</si>
  <si>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</si>
  <si>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</si>
  <si>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</si>
  <si>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</si>
  <si>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</si>
  <si>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</si>
  <si>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</si>
  <si>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</si>
  <si>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</si>
  <si>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</si>
  <si>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</si>
  <si>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</si>
  <si>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</si>
  <si>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</si>
  <si>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</si>
  <si>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</si>
  <si>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</si>
  <si>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 of 30-15N-22W aol</t>
  </si>
  <si>
    <t>2424/0447</t>
  </si>
  <si>
    <t>Citibank</t>
  </si>
  <si>
    <t>A. of 14-12N-21W aol</t>
  </si>
  <si>
    <t>2428/0328</t>
  </si>
  <si>
    <t>Enervest Energy Fund Xiii Wib
Enervest Energy Fund Xiii Wic
Enervest Energy Fund Xiii A.</t>
  </si>
  <si>
    <t>Bce Mach Ii, LLC</t>
  </si>
  <si>
    <t>A. of 1-11N-23W aol</t>
  </si>
  <si>
    <t>A. of 1-17N-25W aol</t>
  </si>
  <si>
    <t>A. of 32-12N-23W aol</t>
  </si>
  <si>
    <t>Lagnes 1-12 of 12-17N-25W aol</t>
  </si>
  <si>
    <t>A. of 26-12N-26W aol</t>
  </si>
  <si>
    <t>A. of 8-11N-23W aol</t>
  </si>
  <si>
    <t>All of 2-11N-23W aol</t>
  </si>
  <si>
    <t>A. of 3-11N-23W aol</t>
  </si>
  <si>
    <t>2480/0426</t>
  </si>
  <si>
    <t>PHX Minerals</t>
  </si>
  <si>
    <t>Independent Bank</t>
  </si>
  <si>
    <t>All of 3-11N-23W aol</t>
  </si>
  <si>
    <t>All of 6-11N-26W aol</t>
  </si>
  <si>
    <t>All of 25-18N-25W aol</t>
  </si>
  <si>
    <t>A. of 20-16N-21W aol</t>
  </si>
  <si>
    <t>A. of 36-16N-23W aol</t>
  </si>
  <si>
    <t>All of 4-12N-26W aol</t>
  </si>
  <si>
    <t>All of 5-12N-21W aol</t>
  </si>
  <si>
    <t>2700/0268</t>
  </si>
  <si>
    <t>Royfin Natural Gas, LLC
Tamworth Resources, LLC
Scott Martin
Longreach Energy Investments, Inc.</t>
  </si>
  <si>
    <t>FR0001/0470</t>
  </si>
  <si>
    <t>FR0002/0199</t>
  </si>
  <si>
    <t>PAT003/0495</t>
  </si>
  <si>
    <t>FR0002/0292</t>
  </si>
  <si>
    <t>FR0002/0293</t>
  </si>
  <si>
    <t>FR0002/0448</t>
  </si>
  <si>
    <t>PAT006/0007</t>
  </si>
  <si>
    <t>PAT010/0234</t>
  </si>
  <si>
    <t>PAT007/0374</t>
  </si>
  <si>
    <t>162/0162</t>
  </si>
  <si>
    <t>163/0565</t>
  </si>
  <si>
    <t>164/0066</t>
  </si>
  <si>
    <t>165/0087</t>
  </si>
  <si>
    <t>The Mann Childrens Trust</t>
  </si>
  <si>
    <t>176/0144</t>
  </si>
  <si>
    <t>197/0116</t>
  </si>
  <si>
    <t>227/0089</t>
  </si>
  <si>
    <t>237/0371</t>
  </si>
  <si>
    <t>237/0372</t>
  </si>
  <si>
    <t>237/0367</t>
  </si>
  <si>
    <t>Hazel a. Hamilton</t>
  </si>
  <si>
    <t>237/0373</t>
  </si>
  <si>
    <t>237/0374</t>
  </si>
  <si>
    <t>William C. Bain, Jr.</t>
  </si>
  <si>
    <t>237/0376</t>
  </si>
  <si>
    <t>237/0381</t>
  </si>
  <si>
    <t>237/0375</t>
  </si>
  <si>
    <t>262/0460</t>
  </si>
  <si>
    <t>264/0428</t>
  </si>
  <si>
    <t>272/0042</t>
  </si>
  <si>
    <t>272/0051</t>
  </si>
  <si>
    <t>273/0010</t>
  </si>
  <si>
    <t>274/0566</t>
  </si>
  <si>
    <t>277/0064</t>
  </si>
  <si>
    <t>Panhandle Cooperative Royalty Co.</t>
  </si>
  <si>
    <t>Panhandle Royalty Co.</t>
  </si>
  <si>
    <t>303/0363</t>
  </si>
  <si>
    <t>303/0364</t>
  </si>
  <si>
    <t>332/0238</t>
  </si>
  <si>
    <t>Moore-Stansberry Inc.</t>
  </si>
  <si>
    <t>341/0154</t>
  </si>
  <si>
    <t>Nolan E Britton Inc.</t>
  </si>
  <si>
    <t>341/0155</t>
  </si>
  <si>
    <t>Chinook Resources Inc.</t>
  </si>
  <si>
    <t>355/0341</t>
  </si>
  <si>
    <t>368/0272</t>
  </si>
  <si>
    <t>423/0078</t>
  </si>
  <si>
    <t>432/0110</t>
  </si>
  <si>
    <t>Michelle Sorenson Johnson, Marchelle Sorenson Uaigle, Trustee of The Sorenson Oil &amp; Gas Trust</t>
  </si>
  <si>
    <t>438/0128</t>
  </si>
  <si>
    <t>440/0099</t>
  </si>
  <si>
    <t>451/0176</t>
  </si>
  <si>
    <t>480/0070</t>
  </si>
  <si>
    <t>480/0071</t>
  </si>
  <si>
    <t>480/0072</t>
  </si>
  <si>
    <t>512/0067</t>
  </si>
  <si>
    <t>512/0065</t>
  </si>
  <si>
    <t>O K Oil Venture</t>
  </si>
  <si>
    <t>517/0134</t>
  </si>
  <si>
    <t>517/0135</t>
  </si>
  <si>
    <t>517/0136</t>
  </si>
  <si>
    <t>517/0137</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</si>
  <si>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</si>
  <si>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</si>
  <si>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</si>
  <si>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</si>
  <si>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</si>
  <si>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</si>
  <si>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</si>
  <si>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</si>
  <si>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</si>
  <si>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</si>
  <si>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</si>
  <si>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</si>
  <si>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</si>
  <si>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</si>
  <si>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</si>
  <si>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756/0079</t>
  </si>
  <si>
    <t>583/0234</t>
  </si>
  <si>
    <t>583/0236</t>
  </si>
  <si>
    <t>781/0183</t>
  </si>
  <si>
    <t>786/0270</t>
  </si>
  <si>
    <t>815/0191</t>
  </si>
  <si>
    <t>829/0007</t>
  </si>
  <si>
    <t>837/0199</t>
  </si>
  <si>
    <t>839/0100</t>
  </si>
  <si>
    <t>Proven Properties Inc.</t>
  </si>
  <si>
    <t>883/0168</t>
  </si>
  <si>
    <t>913/0261</t>
  </si>
  <si>
    <t>924/0136</t>
  </si>
  <si>
    <t>924/0138</t>
  </si>
  <si>
    <t>924/0139</t>
  </si>
  <si>
    <t>933/0226</t>
  </si>
  <si>
    <t>946/0223</t>
  </si>
  <si>
    <t>Kaiser Francis Oil Co.</t>
  </si>
  <si>
    <t>981/0002</t>
  </si>
  <si>
    <t>Flag-Redfern Oil Company</t>
  </si>
  <si>
    <t>First City National Bank of Midland, Trustee of The Eta-Flag Royalty Trust</t>
  </si>
  <si>
    <t>N/2 NE/4, W/2 NW/4 of 31-12N-24W aol</t>
  </si>
  <si>
    <t>966/0090</t>
  </si>
  <si>
    <t>984/0185</t>
  </si>
  <si>
    <t>984/0187</t>
  </si>
  <si>
    <t>984/0181</t>
  </si>
  <si>
    <t>984/0183</t>
  </si>
  <si>
    <t>986/0185</t>
  </si>
  <si>
    <t>The Public,
Fred a. Standiford, Jr.</t>
  </si>
  <si>
    <t>998/0204</t>
  </si>
  <si>
    <t>Inter-American Corporation</t>
  </si>
  <si>
    <t>63e8b9a8d056433a9994fe46ca85076b.pdf | https://okcountyrecords.com/detail/roger+mills/2000-006657</t>
  </si>
  <si>
    <t>63e8b9a8d056433a9994fe46ca85076b.pdf | https://okcountyrecords.com/detail/roger+mills/2000-006668</t>
  </si>
  <si>
    <t>Eog Resources Inc.</t>
  </si>
  <si>
    <t>63e8b9a8d056433a9994fe46ca85076b.pdf | https://okcountyrecords.com/detail/roger+mills/2000-006716</t>
  </si>
  <si>
    <t>63e8b9a8d056433a9994fe46ca85076b.pdf | https://okcountyrecords.com/detail/roger+mills/2000-006763</t>
  </si>
  <si>
    <t>31-12N-24W_Roger_Mills_Best_Full_Cursory_Title_Report_2026-06-10</t>
  </si>
  <si>
    <t>Harris Jess Iii, Inc.</t>
  </si>
  <si>
    <t>Ocean Energy Inc.</t>
  </si>
  <si>
    <t>Ocean Energy Resources Inc.</t>
  </si>
  <si>
    <t>63e8b9a8d056433a9994fe46ca85076b.pdf | https://okcountyrecords.com/detail/roger+mills/2007-008043</t>
  </si>
  <si>
    <t>2159/0063</t>
  </si>
  <si>
    <t>OKCountyRecords public search result via web index | https://okcountyrecords.com/detail/roger+mills/2012-006698</t>
  </si>
  <si>
    <t>2179/0001</t>
  </si>
  <si>
    <t>OKCountyRecords public search result via web index | https://okcountyrecords.com/detail/roger+mills/2013-002047</t>
  </si>
  <si>
    <t>S12 R26W S/2 SE/4 W/2 NW/4 20 more of 31-12N-24W, aol</t>
  </si>
  <si>
    <t>OKCountyRecords public search result via web index | https://okcountyrecords.com/detail/roger+mills/2016-001882</t>
  </si>
  <si>
    <t>Hefner Company Inc.</t>
  </si>
  <si>
    <t>63e8b9a8d056433a9994fe46ca85076b.pdf | https://okcountyrecords.com/detail/roger+mills/2016-002793</t>
  </si>
  <si>
    <t>2351/0001</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</si>
  <si>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</si>
  <si>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</si>
  <si>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</si>
  <si>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</si>
  <si>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31-12N-24W_Roger_Mills_Cursory_Title_Report_FINAL</t>
  </si>
  <si>
    <t>2383/0169</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</si>
  <si>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</si>
  <si>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</si>
  <si>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</si>
  <si>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</si>
  <si>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</si>
  <si>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</si>
  <si>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63e8b9a8d056433a9994fe46ca85076b.pdf | https://okcountyrecords.com/detail/roger+mills/2019-001779</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</si>
  <si>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</si>
  <si>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</si>
  <si>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</si>
  <si>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</si>
  <si>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</si>
  <si>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</si>
  <si>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</si>
  <si>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</si>
  <si>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</si>
  <si>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</si>
  <si>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</si>
  <si>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</si>
  <si>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</si>
  <si>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Cardinal Land Company, Llc, Edr, LLC</t>
  </si>
  <si>
    <t>63e8b9a8d056433a9994fe46ca85076b.pdf | https://okcountyrecords.com/detail/roger+mills/2023-003590</t>
  </si>
  <si>
    <t>63e8b9a8d056433a9994fe46ca85076b.pdf | https://okcountyrecords.com/detail/roger+mills/2024-002310</t>
  </si>
  <si>
    <t>Greg Et Al Cdx</t>
  </si>
  <si>
    <t>63e8b9a8d056433a9994fe46ca85076b.pdf | https://okcountyrecords.com/detail/roger+mills/2024-003107</t>
  </si>
  <si>
    <t>63e8b9a8d056433a9994fe46ca85076b.pdf | https://okcountyrecords.com/detail/roger+mills/2024-004916</t>
  </si>
  <si>
    <t>2599/0463</t>
  </si>
  <si>
    <t>Oil Comanche,
Gas Inc.</t>
  </si>
  <si>
    <t>63e8b9a8d056433a9994fe46ca85076b.pdf | https://okcountyrecords.com/detail/roger+mills/2024-007198</t>
  </si>
  <si>
    <t>2628/0429</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</si>
  <si>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</si>
  <si>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</si>
  <si>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</si>
  <si>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</si>
  <si>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</si>
  <si>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</si>
  <si>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</si>
  <si>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</si>
  <si>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</si>
  <si>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Lariat Petroleum Inc.</t>
  </si>
  <si>
    <t>31-12N-24W_Roger_Mills_Cursory_Title_Report_(6-10-2026)_BEST_UPDATED | 12N 24W 31 - Index.pdf, PDF page 24 / printed report page 1</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</si>
  <si>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</si>
  <si>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</si>
  <si>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</si>
  <si>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</si>
  <si>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08/24/1905</t>
  </si>
  <si>
    <t>OKCountyRecords official index, Roger Mills County (instrument 1905-000429); searched 06/11/2026</t>
  </si>
  <si>
    <t>02/13/1907</t>
  </si>
  <si>
    <t>OKCountyRecords official index, Roger Mills County (instrument 1907-000709); searched 06/11/2026</t>
  </si>
  <si>
    <t>07/14/1907</t>
  </si>
  <si>
    <t>OKCountyRecords official index, Roger Mills County (instrument 1907-005379); searched 06/11/2026</t>
  </si>
  <si>
    <t>D00011/0209</t>
  </si>
  <si>
    <t>07/17/1907</t>
  </si>
  <si>
    <t>OKCountyRecords official index, Roger Mills County (instrument 1907-001545); searched 06/11/2026</t>
  </si>
  <si>
    <t>MIS005/0500</t>
  </si>
  <si>
    <t>07/23/1907</t>
  </si>
  <si>
    <t>OKCountyRecords official index, Roger Mills County (instrument 1907-002970); searched 06/11/2026</t>
  </si>
  <si>
    <t>ASN001/0103</t>
  </si>
  <si>
    <t>12/02/1907</t>
  </si>
  <si>
    <t>OKCountyRecords official index, Roger Mills County (instrument 1907-000157); searched 06/11/2026</t>
  </si>
  <si>
    <t>09/23/1908</t>
  </si>
  <si>
    <t>31-12N-24W (AOL)</t>
  </si>
  <si>
    <t>OKCountyRecords official index, Roger Mills County (instrument 1908-000607); searched 06/11/2026</t>
  </si>
  <si>
    <t>REL001/0308</t>
  </si>
  <si>
    <t>09/25/1908</t>
  </si>
  <si>
    <t>OKCountyRecords official index, Roger Mills County (instrument 1908-003103); searched 06/11/2026</t>
  </si>
  <si>
    <t>REL001/0309</t>
  </si>
  <si>
    <t>OKCountyRecords official index, Roger Mills County (instrument 1908-003105); searched 06/11/2026</t>
  </si>
  <si>
    <t>ASN001/0137</t>
  </si>
  <si>
    <t>01/25/1909</t>
  </si>
  <si>
    <t>OKCountyRecords official index, Roger Mills County (instrument 1909-000004); searched 06/11/2026</t>
  </si>
  <si>
    <t>12/30/1909</t>
  </si>
  <si>
    <t>OKCountyRecords official index, Roger Mills County (instrument 1909-002932); searched 06/11/2026</t>
  </si>
  <si>
    <t>ASN002/0009</t>
  </si>
  <si>
    <t>03/25/1910</t>
  </si>
  <si>
    <t>OKCountyRecords official index, Roger Mills County (instrument 1910-000114); searched 06/11/2026</t>
  </si>
  <si>
    <t>ASN002/0028</t>
  </si>
  <si>
    <t>05/25/1911</t>
  </si>
  <si>
    <t>OKCountyRecords official index, Roger Mills County (instrument 1911-000098); searched 06/11/2026</t>
  </si>
  <si>
    <t>D00019/0268</t>
  </si>
  <si>
    <t>01/10/1913</t>
  </si>
  <si>
    <t>OKCountyRecords official index, Roger Mills County (instrument 1913-000413); searched 06/11/2026</t>
  </si>
  <si>
    <t>ASN002/0045</t>
  </si>
  <si>
    <t>03/12/1913</t>
  </si>
  <si>
    <t>OKCountyRecords official index, Roger Mills County (instrument 1913-000024); searched 06/11/2026</t>
  </si>
  <si>
    <t>ASN003/0182</t>
  </si>
  <si>
    <t>03/31/1913</t>
  </si>
  <si>
    <t>OKCountyRecords official index, Roger Mills County (instrument 1913-000133); searched 06/11/2026</t>
  </si>
  <si>
    <t>ASN004/0012</t>
  </si>
  <si>
    <t>04/13/1913</t>
  </si>
  <si>
    <t>OKCountyRecords official index, Roger Mills County (instrument 1913-000192); searched 06/11/2026</t>
  </si>
  <si>
    <t>REL005/0489</t>
  </si>
  <si>
    <t>06/22/1914</t>
  </si>
  <si>
    <t>OKCountyRecords official index, Roger Mills County (instrument 1914-002273); searched 06/11/2026</t>
  </si>
  <si>
    <t>REL004/0361</t>
  </si>
  <si>
    <t>08/02/1914</t>
  </si>
  <si>
    <t>OKCountyRecords official index, Roger Mills County (instrument 1914-002098); searched 06/11/2026</t>
  </si>
  <si>
    <t>REL006/0104</t>
  </si>
  <si>
    <t>08/14/1914</t>
  </si>
  <si>
    <t>OKCountyRecords official index, Roger Mills County (instrument 1914-002382); searched 06/11/2026</t>
  </si>
  <si>
    <t>ASN003/0285</t>
  </si>
  <si>
    <t>11/21/1914</t>
  </si>
  <si>
    <t>OKCountyRecords official index, Roger Mills County (instrument 1914-000130); searched 06/11/2026</t>
  </si>
  <si>
    <t>REL004/0383</t>
  </si>
  <si>
    <t>OKCountyRecords official index, Roger Mills County (instrument 1914-002143); searched 06/11/2026</t>
  </si>
  <si>
    <t>03/09/1916</t>
  </si>
  <si>
    <t>OKCountyRecords official index, Roger Mills County (instrument 1916-001105); searched 06/11/2026</t>
  </si>
  <si>
    <t>D00022/0248</t>
  </si>
  <si>
    <t>03/21/1916</t>
  </si>
  <si>
    <t>OKCountyRecords official index, Roger Mills County (instrument 1916-000332); searched 06/11/2026</t>
  </si>
  <si>
    <t>REL004/0563</t>
  </si>
  <si>
    <t>03/02/1917</t>
  </si>
  <si>
    <t>OKCountyRecords official index, Roger Mills County (instrument 1917-004125); searched 06/11/2026</t>
  </si>
  <si>
    <t>OGL004/0061</t>
  </si>
  <si>
    <t>05/03/1917</t>
  </si>
  <si>
    <t>OKCountyRecords official index, Roger Mills County (instrument 1917-003351); searched 06/11/2026</t>
  </si>
  <si>
    <t>OGL004/0064</t>
  </si>
  <si>
    <t>OKCountyRecords official index, Roger Mills County (instrument 1917-003354); searched 06/11/2026</t>
  </si>
  <si>
    <t>OGL005/0320</t>
  </si>
  <si>
    <t>07/08/1917</t>
  </si>
  <si>
    <t>OKCountyRecords official index, Roger Mills County (instrument 1917-003731); searched 06/11/2026</t>
  </si>
  <si>
    <t>OGL005/0332</t>
  </si>
  <si>
    <t>OKCountyRecords official index, Roger Mills County (instrument 1917-003743); searched 06/11/2026</t>
  </si>
  <si>
    <t>REL009/0089</t>
  </si>
  <si>
    <t>12/22/1917</t>
  </si>
  <si>
    <t>OKCountyRecords official index, Roger Mills County (instrument 1917-004775); searched 06/11/2026</t>
  </si>
  <si>
    <t>REL009/0108</t>
  </si>
  <si>
    <t>01/14/1918</t>
  </si>
  <si>
    <t>OKCountyRecords official index, Roger Mills County (instrument 1918-002463); searched 06/11/2026</t>
  </si>
  <si>
    <t>REL005/0251</t>
  </si>
  <si>
    <t>01/21/1918</t>
  </si>
  <si>
    <t>OKCountyRecords official index, Roger Mills County (instrument 1918-002091); searched 06/11/2026</t>
  </si>
  <si>
    <t>D00027/0477</t>
  </si>
  <si>
    <t>11/08/1918</t>
  </si>
  <si>
    <t>OKCountyRecords official index, Roger Mills County (instrument 1918-000943); searched 06/11/2026</t>
  </si>
  <si>
    <t>REL009/0340</t>
  </si>
  <si>
    <t>11/09/1918</t>
  </si>
  <si>
    <t>OKCountyRecords official index, Roger Mills County (instrument 1918-002849); searched 06/11/2026</t>
  </si>
  <si>
    <t>MIS010/0485</t>
  </si>
  <si>
    <t>11/23/1918</t>
  </si>
  <si>
    <t>OKCountyRecords official index, Roger Mills County (instrument 1918-001215); searched 06/11/2026</t>
  </si>
  <si>
    <t>OGL004/0401</t>
  </si>
  <si>
    <t>05/30/1919</t>
  </si>
  <si>
    <t>OKCountyRecords official index, Roger Mills County (instrument 1919-002106); searched 06/11/2026</t>
  </si>
  <si>
    <t>OGL004/0445</t>
  </si>
  <si>
    <t>06/25/1919</t>
  </si>
  <si>
    <t>OKCountyRecords official index, Roger Mills County (instrument 1919-002150); searched 06/11/2026</t>
  </si>
  <si>
    <t>ASN005/0562</t>
  </si>
  <si>
    <t>12/17/1919</t>
  </si>
  <si>
    <t>OKCountyRecords official index, Roger Mills County (instrument 1919-000296); searched 06/11/2026</t>
  </si>
  <si>
    <t>OKCountyRecords official index, Roger Mills County (instrument 1919-000971); searched 06/11/2026</t>
  </si>
  <si>
    <t>MIS011/0154</t>
  </si>
  <si>
    <t>OKCountyRecords official index, Roger Mills County (instrument 1919-001437); searched 06/11/2026</t>
  </si>
  <si>
    <t>REL011/0026</t>
  </si>
  <si>
    <t>OKCountyRecords official index, Roger Mills County (instrument 1919-003329); searched 06/11/2026</t>
  </si>
  <si>
    <t>ASN004/0082</t>
  </si>
  <si>
    <t>01/12/1920</t>
  </si>
  <si>
    <t>OKCountyRecords official index, Roger Mills County (instrument 1920-000012); searched 06/11/2026</t>
  </si>
  <si>
    <t>OGL004/0556</t>
  </si>
  <si>
    <t>02/05/1920</t>
  </si>
  <si>
    <t>OKCountyRecords official index, Roger Mills County (instrument 1920-002046); searched 06/11/2026</t>
  </si>
  <si>
    <t>REL011/0327</t>
  </si>
  <si>
    <t>12/23/1920</t>
  </si>
  <si>
    <t>OKCountyRecords official index, Roger Mills County (instrument 1920-003327); searched 06/11/2026</t>
  </si>
  <si>
    <t>REL011/0342</t>
  </si>
  <si>
    <t>01/11/1921</t>
  </si>
  <si>
    <t>OKCountyRecords official index, Roger Mills County (instrument 1921-001533); searched 06/11/2026</t>
  </si>
  <si>
    <t>REL013/0049</t>
  </si>
  <si>
    <t>03/20/1921</t>
  </si>
  <si>
    <t>OKCountyRecords official index, Roger Mills County (instrument 1921-001998); searched 06/11/2026</t>
  </si>
  <si>
    <t>D00031/0387</t>
  </si>
  <si>
    <t>05/14/1921</t>
  </si>
  <si>
    <t>OKCountyRecords official index, Roger Mills County (instrument 1921-000501); searched 06/11/2026</t>
  </si>
  <si>
    <t>D00031/0388</t>
  </si>
  <si>
    <t>OKCountyRecords official index, Roger Mills County (instrument 1921-000502); searched 06/11/2026</t>
  </si>
  <si>
    <t>REL011/0476</t>
  </si>
  <si>
    <t>05/16/1921</t>
  </si>
  <si>
    <t>OKCountyRecords official index, Roger Mills County (instrument 1921-001778); searched 06/11/2026</t>
  </si>
  <si>
    <t>REL011/0509</t>
  </si>
  <si>
    <t>07/08/1921</t>
  </si>
  <si>
    <t>OKCountyRecords official index, Roger Mills County (instrument 1921-001835); searched 06/11/2026</t>
  </si>
  <si>
    <t>D00031/0637</t>
  </si>
  <si>
    <t>03/26/1922</t>
  </si>
  <si>
    <t>OKCountyRecords official index, Roger Mills County (instrument 1922-000463); searched 06/11/2026</t>
  </si>
  <si>
    <t>REL013/0120</t>
  </si>
  <si>
    <t>OKCountyRecords official index, Roger Mills County (instrument 1922-001969); searched 06/11/2026</t>
  </si>
  <si>
    <t>REL013/0125</t>
  </si>
  <si>
    <t>04/17/1922</t>
  </si>
  <si>
    <t>OKCountyRecords official index, Roger Mills County (instrument 1922-001979); searched 06/11/2026</t>
  </si>
  <si>
    <t>MIS012/0107</t>
  </si>
  <si>
    <t>04/17/1923</t>
  </si>
  <si>
    <t>OKCountyRecords official index, Roger Mills County (instrument 1923-001298); searched 06/11/2026</t>
  </si>
  <si>
    <t>OGL006/0484</t>
  </si>
  <si>
    <t>04/22/1923</t>
  </si>
  <si>
    <t>OKCountyRecords official index, Roger Mills County (instrument 1923-002282); searched 06/11/2026</t>
  </si>
  <si>
    <t>MIS012/0119</t>
  </si>
  <si>
    <t>04/27/1923</t>
  </si>
  <si>
    <t>OKCountyRecords official index, Roger Mills County (instrument 1923-001306); searched 06/11/2026</t>
  </si>
  <si>
    <t>D00034/0104</t>
  </si>
  <si>
    <t>01/05/1925</t>
  </si>
  <si>
    <t>OKCountyRecords official index, Roger Mills County (instrument 1925-000406); searched 06/11/2026</t>
  </si>
  <si>
    <t>REL007/0496</t>
  </si>
  <si>
    <t>10/31/1926</t>
  </si>
  <si>
    <t>OKCountyRecords official index, Roger Mills County (instrument 1926-001354); searched 06/11/2026</t>
  </si>
  <si>
    <t>08/03/1927</t>
  </si>
  <si>
    <t>OKCountyRecords official index, Roger Mills County (instrument 1927-000706); searched 06/11/2026</t>
  </si>
  <si>
    <t>D00038/0173</t>
  </si>
  <si>
    <t>OKCountyRecords official index, Roger Mills County (instrument 1927-000712); searched 06/11/2026</t>
  </si>
  <si>
    <t>REL015/0588</t>
  </si>
  <si>
    <t>01/11/1928</t>
  </si>
  <si>
    <t>OKCountyRecords official index, Roger Mills County (instrument 1928-002014); searched 06/11/2026</t>
  </si>
  <si>
    <t>REL007/0548</t>
  </si>
  <si>
    <t>11/23/1929</t>
  </si>
  <si>
    <t>OKCountyRecords official index, Roger Mills County (instrument 1929-002475); searched 06/11/2026</t>
  </si>
  <si>
    <t>REL016/0331</t>
  </si>
  <si>
    <t>01/06/1930</t>
  </si>
  <si>
    <t>OKCountyRecords official index, Roger Mills County (instrument 1930-003190); searched 06/11/2026</t>
  </si>
  <si>
    <t>03/04/1930</t>
  </si>
  <si>
    <t>OKCountyRecords official index, Roger Mills County (instrument 1930-002914); searched 06/11/2026</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</si>
  <si>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</si>
  <si>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</si>
  <si>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</si>
  <si>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</si>
  <si>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</si>
  <si>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</si>
  <si>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</si>
  <si>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</si>
  <si>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</si>
  <si>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OGL008/0649</t>
  </si>
  <si>
    <t>OKCountyRecords official index, Roger Mills County (instrument 1930-002708); searched 06/11/2026</t>
  </si>
  <si>
    <t>OGL009/0032</t>
  </si>
  <si>
    <t>08/04/1930</t>
  </si>
  <si>
    <t>OKCountyRecords official index, Roger Mills County (instrument 1930-002773); searched 06/11/2026</t>
  </si>
  <si>
    <t>OGL009/0030</t>
  </si>
  <si>
    <t>08/07/1930</t>
  </si>
  <si>
    <t>OKCountyRecords official index, Roger Mills County (instrument 1930-002771); searched 06/11/2026</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</si>
  <si>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</si>
  <si>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</si>
  <si>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</si>
  <si>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</si>
  <si>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</si>
  <si>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</si>
  <si>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</si>
  <si>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</si>
  <si>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OGL009/0100</t>
  </si>
  <si>
    <t>10/29/1930</t>
  </si>
  <si>
    <t>OKCountyRecords official index, Roger Mills County (instrument 1930-002841); searched 06/11/2026</t>
  </si>
  <si>
    <t>OGL009/0113</t>
  </si>
  <si>
    <t>11/10/1930</t>
  </si>
  <si>
    <t>OKCountyRecords official index, Roger Mills County (instrument 1930-002854); searched 06/11/2026</t>
  </si>
  <si>
    <t>OGL009/0116</t>
  </si>
  <si>
    <t>11/17/1930</t>
  </si>
  <si>
    <t>OKCountyRecords official index, Roger Mills County (instrument 1930-002857); searched 06/11/2026</t>
  </si>
  <si>
    <t>ASN009/0394</t>
  </si>
  <si>
    <t>12/12/1930</t>
  </si>
  <si>
    <t>OKCountyRecords official index, Roger Mills County (instrument 1930-000125); searched 06/11/2026</t>
  </si>
  <si>
    <t>OGL009/0176</t>
  </si>
  <si>
    <t>02/10/1931</t>
  </si>
  <si>
    <t>OKCountyRecords official index, Roger Mills County (instrument 1931-001768); searched 06/11/2026</t>
  </si>
  <si>
    <t>REL016/0531</t>
  </si>
  <si>
    <t>OKCountyRecords official index, Roger Mills County (instrument 1931-001962); searched 06/11/2026</t>
  </si>
  <si>
    <t>D00041/0447</t>
  </si>
  <si>
    <t>03/12/1931</t>
  </si>
  <si>
    <t>OKCountyRecords official index, Roger Mills County (instrument 1931-000573); searched 06/11/2026</t>
  </si>
  <si>
    <t>REL013/0608</t>
  </si>
  <si>
    <t>03/18/1931</t>
  </si>
  <si>
    <t>OKCountyRecords official index, Roger Mills County (instrument 1931-001910); searched 06/11/2026</t>
  </si>
  <si>
    <t>PAT007/374</t>
  </si>
  <si>
    <t>05/07/1931</t>
  </si>
  <si>
    <t>OKCountyRecords official index, Roger Mills County (instrument 1931-001789); searched 06/11/2026</t>
  </si>
  <si>
    <t>D00043/0608</t>
  </si>
  <si>
    <t>09/12/1931</t>
  </si>
  <si>
    <t>OKCountyRecords official index, Roger Mills County (instrument 1931-000994); searched 06/11/2026</t>
  </si>
  <si>
    <t>REL017/0490</t>
  </si>
  <si>
    <t>06/02/1932</t>
  </si>
  <si>
    <t>OKCountyRecords official index, Roger Mills County (instrument 1932-001278); searched 06/11/2026</t>
  </si>
  <si>
    <t>D00046/0089</t>
  </si>
  <si>
    <t>12/12/1932</t>
  </si>
  <si>
    <t>OKCountyRecords official index, Roger Mills County (instrument 1932-000511); searched 06/11/2026</t>
  </si>
  <si>
    <t>ASN012/0165</t>
  </si>
  <si>
    <t>08/05/1933</t>
  </si>
  <si>
    <t>OKCountyRecords official index, Roger Mills County (instrument 1933-000028); searched 06/11/2026</t>
  </si>
  <si>
    <t>REL018/0049</t>
  </si>
  <si>
    <t>06/26/1934</t>
  </si>
  <si>
    <t>OKCountyRecords official index, Roger Mills County (instrument 1934-001693); searched 06/11/2026</t>
  </si>
  <si>
    <t>D00045/0395</t>
  </si>
  <si>
    <t>03/01/1935</t>
  </si>
  <si>
    <t>OKCountyRecords official index, Roger Mills County (instrument 1935-000201); searched 06/11/2026</t>
  </si>
  <si>
    <t>D00046/0540</t>
  </si>
  <si>
    <t>12/03/1935</t>
  </si>
  <si>
    <t>OKCountyRecords official index, Roger Mills County (instrument 1935-000554); searched 06/11/2026</t>
  </si>
  <si>
    <t>REL019/0547</t>
  </si>
  <si>
    <t>OKCountyRecords official index, Roger Mills County (instrument 1935-001793); searched 06/11/2026</t>
  </si>
  <si>
    <t>REL019/0548</t>
  </si>
  <si>
    <t>OKCountyRecords official index, Roger Mills County (instrument 1935-001795); searched 06/11/2026</t>
  </si>
  <si>
    <t>D00048/0072</t>
  </si>
  <si>
    <t>01/30/1937</t>
  </si>
  <si>
    <t>OKCountyRecords official index, Roger Mills County (instrument 1937-000416); searched 06/11/2026</t>
  </si>
  <si>
    <t>MIS019/0466</t>
  </si>
  <si>
    <t>02/13/1938</t>
  </si>
  <si>
    <t>OKCountyRecords official index, Roger Mills County (instrument 1938-000632); searched 06/11/2026</t>
  </si>
  <si>
    <t>REL018/0166</t>
  </si>
  <si>
    <t>10/30/1938</t>
  </si>
  <si>
    <t>OKCountyRecords official index, Roger Mills County (instrument 1938-000969); searched 06/11/2026</t>
  </si>
  <si>
    <t>QCD003/0491</t>
  </si>
  <si>
    <t>02/13/1939</t>
  </si>
  <si>
    <t>OKCountyRecords official index, Roger Mills County (instrument 1939-001120); searched 06/11/2026</t>
  </si>
  <si>
    <t>REL018/0174</t>
  </si>
  <si>
    <t>02/24/1939</t>
  </si>
  <si>
    <t>OKCountyRecords official index, Roger Mills County (instrument 1939-001197); searched 06/11/2026</t>
  </si>
  <si>
    <t>REL018/0177</t>
  </si>
  <si>
    <t>03/30/1939</t>
  </si>
  <si>
    <t>OKCountyRecords official index, Roger Mills County (instrument 1939-001202); searched 06/11/2026</t>
  </si>
  <si>
    <t>ASN013/0186</t>
  </si>
  <si>
    <t>10/04/1939</t>
  </si>
  <si>
    <t>OKCountyRecords official index, Roger Mills County (instrument 1939-000083); searched 06/11/2026</t>
  </si>
  <si>
    <t>ASN013/0188</t>
  </si>
  <si>
    <t>OKCountyRecords official index, Roger Mills County (instrument 1939-000085); searched 06/11/2026</t>
  </si>
  <si>
    <t>REL021/0004</t>
  </si>
  <si>
    <t>02/04/1942</t>
  </si>
  <si>
    <t>OKCountyRecords official index, Roger Mills County (instrument 1942-000982); searched 06/11/2026</t>
  </si>
  <si>
    <t>MIS021/0471</t>
  </si>
  <si>
    <t>05/29/1942</t>
  </si>
  <si>
    <t>OKCountyRecords official index, Roger Mills County (instrument 1942-000630); searched 06/11/2026</t>
  </si>
  <si>
    <t>REL021/0313</t>
  </si>
  <si>
    <t>09/28/1944</t>
  </si>
  <si>
    <t>OKCountyRecords official index, Roger Mills County (instrument 1944-001314); searched 06/11/2026</t>
  </si>
  <si>
    <t>MIS022/0628</t>
  </si>
  <si>
    <t>01/02/1945</t>
  </si>
  <si>
    <t>OKCountyRecords official index, Roger Mills County (instrument 1945-000816); searched 06/11/2026</t>
  </si>
  <si>
    <t>REL018/0328</t>
  </si>
  <si>
    <t>02/09/1945</t>
  </si>
  <si>
    <t>OKCountyRecords official index, Roger Mills County (instrument 1945-001445); searched 06/11/2026</t>
  </si>
  <si>
    <t>REL021/0347</t>
  </si>
  <si>
    <t>OKCountyRecords official index, Roger Mills County (instrument 1945-001524); searched 06/11/2026</t>
  </si>
  <si>
    <t>D00055/0254</t>
  </si>
  <si>
    <t>03/12/1945</t>
  </si>
  <si>
    <t>OKCountyRecords official index, Roger Mills County (instrument 1945-000171); searched 06/11/2026</t>
  </si>
  <si>
    <t>OGL011/0083</t>
  </si>
  <si>
    <t>02/27/1946</t>
  </si>
  <si>
    <t>OKCountyRecords official index, Roger Mills County (instrument 1946-001487); searched 06/11/2026</t>
  </si>
  <si>
    <t>OGL011/0088</t>
  </si>
  <si>
    <t>OKCountyRecords official index, Roger Mills County (instrument 1946-001492); searched 06/11/2026</t>
  </si>
  <si>
    <t>OGL010/0262</t>
  </si>
  <si>
    <t>06/24/1946</t>
  </si>
  <si>
    <t>OKCountyRecords official index, Roger Mills County (instrument 1946-001409); searched 06/11/2026</t>
  </si>
  <si>
    <t>REL021/0563</t>
  </si>
  <si>
    <t>01/31/1947</t>
  </si>
  <si>
    <t>OKCountyRecords official index, Roger Mills County (instrument 1947-001785); searched 06/11/2026</t>
  </si>
  <si>
    <t>OGL010/0457</t>
  </si>
  <si>
    <t>12/03/1947</t>
  </si>
  <si>
    <t>OKCountyRecords official index, Roger Mills County (instrument 1947-001286); searched 06/11/2026</t>
  </si>
  <si>
    <t>OGL011/0337</t>
  </si>
  <si>
    <t>01/17/1948</t>
  </si>
  <si>
    <t>OKCountyRecords official index, Roger Mills County (instrument 1948-002010); searched 06/11/2026</t>
  </si>
  <si>
    <t>ASN014/0269</t>
  </si>
  <si>
    <t>01/22/1948</t>
  </si>
  <si>
    <t>OKCountyRecords official index, Roger Mills County (instrument 1948-000087); searched 06/11/2026</t>
  </si>
  <si>
    <t>OGL011/0498</t>
  </si>
  <si>
    <t>02/03/1948</t>
  </si>
  <si>
    <t>OKCountyRecords official index, Roger Mills County (instrument 1948-002054); searched 06/11/2026</t>
  </si>
  <si>
    <t>ASN014/0298</t>
  </si>
  <si>
    <t>02/17/1948</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</si>
  <si>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</si>
  <si>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</si>
  <si>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</si>
  <si>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</si>
  <si>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</si>
  <si>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</si>
  <si>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</si>
  <si>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REL024/0128</t>
  </si>
  <si>
    <t>04/07/1949</t>
  </si>
  <si>
    <t>OKCountyRecords official index, Roger Mills County (instrument 1949-003597); searched 06/11/2026</t>
  </si>
  <si>
    <t>OGL012/0452</t>
  </si>
  <si>
    <t>04/27/1949</t>
  </si>
  <si>
    <t>OKCountyRecords official index, Roger Mills County (instrument 1949-002521); searched 06/11/2026</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</si>
  <si>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</si>
  <si>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</si>
  <si>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</si>
  <si>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</si>
  <si>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</si>
  <si>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</si>
  <si>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</si>
  <si>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</si>
  <si>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</si>
  <si>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</si>
  <si>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OKCountyRecords official index, Roger Mills County (instrument 1949-000814); searched 06/11/2026</t>
  </si>
  <si>
    <t>ASN016/0312</t>
  </si>
  <si>
    <t>09/14/1949</t>
  </si>
  <si>
    <t>OKCountyRecords official index, Roger Mills County (instrument 1949-000505); searched 06/11/2026</t>
  </si>
  <si>
    <t>ASN016/0313</t>
  </si>
  <si>
    <t>OKCountyRecords official index, Roger Mills County (instrument 1949-000506); searched 06/11/2026</t>
  </si>
  <si>
    <t>ASN015/0149</t>
  </si>
  <si>
    <t>09/19/1949</t>
  </si>
  <si>
    <t>OKCountyRecords official index, Roger Mills County (instrument 1949-000111); searched 06/11/2026</t>
  </si>
  <si>
    <t>ASN016/0324</t>
  </si>
  <si>
    <t>OKCountyRecords official index, Roger Mills County (instrument 1949-000517); searched 06/11/2026</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</si>
  <si>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</si>
  <si>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</si>
  <si>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</si>
  <si>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</si>
  <si>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</si>
  <si>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</si>
  <si>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</si>
  <si>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</si>
  <si>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</si>
  <si>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</si>
  <si>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</si>
  <si>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</si>
  <si>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D00065/0063</t>
  </si>
  <si>
    <t>02/21/1951</t>
  </si>
  <si>
    <t>OKCountyRecords official index, Roger Mills County (instrument 1951-001020); searched 06/11/2026</t>
  </si>
  <si>
    <t>REL025/0007</t>
  </si>
  <si>
    <t>04/15/1952</t>
  </si>
  <si>
    <t>OKCountyRecords official index, Roger Mills County (instrument 1952-001426); searched 06/11/2026</t>
  </si>
  <si>
    <t>REL025/0008</t>
  </si>
  <si>
    <t>OKCountyRecords official index, Roger Mills County (instrument 1952-001427); searched 06/11/2026</t>
  </si>
  <si>
    <t>D00067/0154</t>
  </si>
  <si>
    <t>02/06/1953</t>
  </si>
  <si>
    <t>OKCountyRecords official index, Roger Mills County (instrument 1953-000493); searched 06/11/2026</t>
  </si>
  <si>
    <t>REL024/0339</t>
  </si>
  <si>
    <t>02/13/1953</t>
  </si>
  <si>
    <t>OKCountyRecords official index, Roger Mills County (instrument 1953-001402); searched 06/11/2026</t>
  </si>
  <si>
    <t>D00067/0159</t>
  </si>
  <si>
    <t>02/27/1953</t>
  </si>
  <si>
    <t>OKCountyRecords official index, Roger Mills County (instrument 1953-000498); searched 06/11/2026</t>
  </si>
  <si>
    <t>D00065/0208</t>
  </si>
  <si>
    <t>OKCountyRecords official index, Roger Mills County (instrument 1953-000389); searched 06/11/2026</t>
  </si>
  <si>
    <t>REL024/0469</t>
  </si>
  <si>
    <t>07/30/1954</t>
  </si>
  <si>
    <t>OKCountyRecords official index, Roger Mills County (instrument 1954-001418); searched 06/11/2026</t>
  </si>
  <si>
    <t>REL025/0052</t>
  </si>
  <si>
    <t>06/11/1956</t>
  </si>
  <si>
    <t>OKCountyRecords official index, Roger Mills County (instrument 1956-001415); searched 06/11/2026</t>
  </si>
  <si>
    <t>REL024/0628</t>
  </si>
  <si>
    <t>07/18/1956</t>
  </si>
  <si>
    <t>OKCountyRecords official index, Roger Mills County (instrument 1956-001377); searched 06/11/2026</t>
  </si>
  <si>
    <t>MIS027/0380</t>
  </si>
  <si>
    <t>02/25/1957</t>
  </si>
  <si>
    <t>OKCountyRecords official index, Roger Mills County (instrument 1957-001086); searched 06/11/2026</t>
  </si>
  <si>
    <t>REL025/0397</t>
  </si>
  <si>
    <t>12/23/1957</t>
  </si>
  <si>
    <t>All of 31-12N-24W (AOL)</t>
  </si>
  <si>
    <t>OKCountyRecords official index, Roger Mills County (instrument 1957-002580); searched 06/11/2026</t>
  </si>
  <si>
    <t>REL025/0454</t>
  </si>
  <si>
    <t>04/11/1958</t>
  </si>
  <si>
    <t>OKCountyRecords official index, Roger Mills County (instrument 1958-002778); searched 06/11/2026</t>
  </si>
  <si>
    <t>REL025/0472</t>
  </si>
  <si>
    <t>05/02/1958</t>
  </si>
  <si>
    <t>OKCountyRecords official index, Roger Mills County (instrument 1958-002810); searched 06/11/2026</t>
  </si>
  <si>
    <t>OGL022/0198</t>
  </si>
  <si>
    <t>11/06/1958</t>
  </si>
  <si>
    <t>OKCountyRecords official index, Roger Mills County (instrument 1958-002487); searched 06/11/2026</t>
  </si>
  <si>
    <t>MIS029/0334</t>
  </si>
  <si>
    <t>05/26/1959</t>
  </si>
  <si>
    <t>OKCountyRecords official index, Roger Mills County (instrument 1959-001270); searched 06/11/2026</t>
  </si>
  <si>
    <t>REL017/0186</t>
  </si>
  <si>
    <t>11/18/1959</t>
  </si>
  <si>
    <t>OKCountyRecords official index, Roger Mills County (instrument 1959-002917); searched 06/11/2026</t>
  </si>
  <si>
    <t>MIS032/0144</t>
  </si>
  <si>
    <t>02/23/1960</t>
  </si>
  <si>
    <t>OKCountyRecords official index, Roger Mills County (instrument 1960-000414); searched 06/11/2026</t>
  </si>
  <si>
    <t>04/25/1962</t>
  </si>
  <si>
    <t>OKCountyRecords official index, Roger Mills County (instrument 1962-000500); searched 06/11/2026</t>
  </si>
  <si>
    <t>OKCountyRecords official index, Roger Mills County (instrument 1962-000501); searched 06/11/2026</t>
  </si>
  <si>
    <t>OKCountyRecords official index, Roger Mills County (instrument 1962-000502); searched 06/11/2026</t>
  </si>
  <si>
    <t>OKCountyRecords official index, Roger Mills County (instrument 1962-000503); searched 06/11/2026</t>
  </si>
  <si>
    <t>OKCountyRecords official index, Roger Mills County (instrument 1962-000505); searched 06/11/2026</t>
  </si>
  <si>
    <t>OKCountyRecords official index, Roger Mills County (instrument 1962-000506); searched 06/11/2026</t>
  </si>
  <si>
    <t>06/19/1962</t>
  </si>
  <si>
    <t>OKCountyRecords official index, Roger Mills County (instrument 1962-000726); searched 06/11/2026</t>
  </si>
  <si>
    <t>OKCountyRecords official index, Roger Mills County (instrument 1962-000727); searched 06/11/2026</t>
  </si>
  <si>
    <t>MIS047/0164</t>
  </si>
  <si>
    <t>09/17/1962</t>
  </si>
  <si>
    <t>OKCountyRecords official index, Roger Mills County (instrument 1962-001141); searched 06/11/2026</t>
  </si>
  <si>
    <t>MIS047/0165</t>
  </si>
  <si>
    <t>OKCountyRecords official index, Roger Mills County (instrument 1962-001142); searched 06/11/2026</t>
  </si>
  <si>
    <t>OKCountyRecords official index, Roger Mills County (instrument 1962-001143); searched 06/11/2026</t>
  </si>
  <si>
    <t>MIS047/0168</t>
  </si>
  <si>
    <t>OKCountyRecords official index, Roger Mills County (instrument 1962-001144); searched 06/11/2026</t>
  </si>
  <si>
    <t>MIS047/0169</t>
  </si>
  <si>
    <t>OKCountyRecords official index, Roger Mills County (instrument 1962-001145); searched 06/11/2026</t>
  </si>
  <si>
    <t>09/24/1962</t>
  </si>
  <si>
    <t>OKCountyRecords official index, Roger Mills County (instrument 1962-001196); searched 06/11/2026</t>
  </si>
  <si>
    <t>MIS047/0367</t>
  </si>
  <si>
    <t>10/08/1962</t>
  </si>
  <si>
    <t>OKCountyRecords official index, Roger Mills County (instrument 1962-001271); searched 06/11/2026</t>
  </si>
  <si>
    <t>MIS047/0377</t>
  </si>
  <si>
    <t>10/09/1962</t>
  </si>
  <si>
    <t>OKCountyRecords official index, Roger Mills County (instrument 1962-001281); searched 06/11/2026</t>
  </si>
  <si>
    <t>MIS047/0558</t>
  </si>
  <si>
    <t>10/19/1962</t>
  </si>
  <si>
    <t>OKCountyRecords official index, Roger Mills County (instrument 1962-001389); searched 06/11/2026</t>
  </si>
  <si>
    <t>MIS047/0559</t>
  </si>
  <si>
    <t>OKCountyRecords official index, Roger Mills County (instrument 1962-001390); searched 06/11/2026</t>
  </si>
  <si>
    <t>MIS050/0067</t>
  </si>
  <si>
    <t>02/12/1963</t>
  </si>
  <si>
    <t>OKCountyRecords official index, Roger Mills County (instrument 1963-000284); searched 06/11/2026</t>
  </si>
  <si>
    <t>MIS050/0068</t>
  </si>
  <si>
    <t>OKCountyRecords official index, Roger Mills County (instrument 1963-000285); searched 06/11/2026</t>
  </si>
  <si>
    <t>MIS050/0069</t>
  </si>
  <si>
    <t>OKCountyRecords official index, Roger Mills County (instrument 1963-000286); searched 06/11/2026</t>
  </si>
  <si>
    <t>MIS050/0070</t>
  </si>
  <si>
    <t>OKCountyRecords official index, Roger Mills County (instrument 1963-000287); searched 06/11/2026</t>
  </si>
  <si>
    <t>MIS062/0462</t>
  </si>
  <si>
    <t>05/28/1965</t>
  </si>
  <si>
    <t>OKCountyRecords official index, Roger Mills County (instrument 1965-000770); searched 06/11/2026</t>
  </si>
  <si>
    <t>MIS062/0464</t>
  </si>
  <si>
    <t>OKCountyRecords official index, Roger Mills County (instrument 1965-000771); searched 06/11/2026</t>
  </si>
  <si>
    <t>MIS069/0512</t>
  </si>
  <si>
    <t>03/02/1966</t>
  </si>
  <si>
    <t>OKCountyRecords official index, Roger Mills County (instrument 1966-000665); searched 06/11/2026</t>
  </si>
  <si>
    <t>MIS078/0112</t>
  </si>
  <si>
    <t>01/30/1967</t>
  </si>
  <si>
    <t>OKCountyRecords official index, Roger Mills County (instrument 1967-000241); searched 06/11/2026</t>
  </si>
  <si>
    <t>02/09/1967</t>
  </si>
  <si>
    <t>OKCountyRecords official index, Roger Mills County (instrument 1967-000351); searched 06/11/2026</t>
  </si>
  <si>
    <t>MIS086/0033</t>
  </si>
  <si>
    <t>10/05/1967</t>
  </si>
  <si>
    <t>OKCountyRecords official index, Roger Mills County (instrument 1967-002816); searched 06/11/2026</t>
  </si>
  <si>
    <t>MIS097/0020</t>
  </si>
  <si>
    <t>12/04/1968</t>
  </si>
  <si>
    <t>OKCountyRecords official index, Roger Mills County (instrument 1968-003045); searched 06/11/2026</t>
  </si>
  <si>
    <t>MIS097/0120</t>
  </si>
  <si>
    <t>OKCountyRecords official index, Roger Mills County (instrument 1968-003144); searched 06/11/2026</t>
  </si>
  <si>
    <t>06/24/1970</t>
  </si>
  <si>
    <t>OKCountyRecords official index, Roger Mills County (instrument 1970-001176); searched 06/11/2026</t>
  </si>
  <si>
    <t>09/18/1970</t>
  </si>
  <si>
    <t>OKCountyRecords official index, Roger Mills County (instrument 1970-001971); searched 06/11/2026</t>
  </si>
  <si>
    <t>OKCountyRecords official index, Roger Mills County (instrument 1970-001972); searched 06/11/2026</t>
  </si>
  <si>
    <t>OKCountyRecords official index, Roger Mills County (instrument 1970-001973); searched 06/11/2026</t>
  </si>
  <si>
    <t>11/12/1970</t>
  </si>
  <si>
    <t>OKCountyRecords official index, Roger Mills County (instrument 1970-002603); searched 06/11/2026</t>
  </si>
  <si>
    <t>0114/0553</t>
  </si>
  <si>
    <t>11/13/1970</t>
  </si>
  <si>
    <t>OKCountyRecords official index, Roger Mills County (instrument 1970-002661); searched 06/11/2026</t>
  </si>
  <si>
    <t>0114/0554</t>
  </si>
  <si>
    <t>OKCountyRecords official index, Roger Mills County (instrument 1970-002662); searched 06/11/2026</t>
  </si>
  <si>
    <t>0114/0555</t>
  </si>
  <si>
    <t>OKCountyRecords official index, Roger Mills County (instrument 1970-002663); searched 06/11/2026</t>
  </si>
  <si>
    <t>0114/0556</t>
  </si>
  <si>
    <t>OKCountyRecords official index, Roger Mills County (instrument 1970-002664); searched 06/11/2026</t>
  </si>
  <si>
    <t>0114/0557</t>
  </si>
  <si>
    <t>OKCountyRecords official index, Roger Mills County (instrument 1970-002665); searched 06/11/2026</t>
  </si>
  <si>
    <t>0114/0558</t>
  </si>
  <si>
    <t>OKCountyRecords official index, Roger Mills County (instrument 1970-002666); searched 06/11/2026</t>
  </si>
  <si>
    <t>0115/0456</t>
  </si>
  <si>
    <t>12/03/1970</t>
  </si>
  <si>
    <t>OKCountyRecords official index, Roger Mills County (instrument 1970-002991); searched 06/11/2026</t>
  </si>
  <si>
    <t>0115/0457</t>
  </si>
  <si>
    <t>OKCountyRecords official index, Roger Mills County (instrument 1970-002992); searched 06/11/2026</t>
  </si>
  <si>
    <t>0115/0485</t>
  </si>
  <si>
    <t>OKCountyRecords official index, Roger Mills County (instrument 1970-003015); searched 06/11/2026</t>
  </si>
  <si>
    <t>12/08/1970</t>
  </si>
  <si>
    <t>OKCountyRecords official index, Roger Mills County (instrument 1970-003106); searched 06/11/2026</t>
  </si>
  <si>
    <t>0116/0047</t>
  </si>
  <si>
    <t>OKCountyRecords official index, Roger Mills County (instrument 1970-003107); searched 06/11/2026</t>
  </si>
  <si>
    <t>0122/0046</t>
  </si>
  <si>
    <t>05/18/1971</t>
  </si>
  <si>
    <t>OKCountyRecords official index, Roger Mills County (instrument 1971-001694); searched 06/11/2026</t>
  </si>
  <si>
    <t>07/16/1971</t>
  </si>
  <si>
    <t>OKCountyRecords official index, Roger Mills County (instrument 1971-002243); searched 06/11/2026</t>
  </si>
  <si>
    <t>0123/0450</t>
  </si>
  <si>
    <t>OKCountyRecords official index, Roger Mills County (instrument 1971-002244); searched 06/11/2026</t>
  </si>
  <si>
    <t>08/13/1971</t>
  </si>
  <si>
    <t>OKCountyRecords official index, Roger Mills County (instrument 1971-002664); searched 06/11/2026</t>
  </si>
  <si>
    <t>0127/0028</t>
  </si>
  <si>
    <t>09/17/1971</t>
  </si>
  <si>
    <t>OKCountyRecords official index, Roger Mills County (instrument 1971-003272); searched 06/11/2026</t>
  </si>
  <si>
    <t>0128/0290</t>
  </si>
  <si>
    <t>10/25/1971</t>
  </si>
  <si>
    <t>OKCountyRecords official index, Roger Mills County (instrument 1971-003746); searched 06/11/2026</t>
  </si>
  <si>
    <t>0130/0483</t>
  </si>
  <si>
    <t>12/20/1971</t>
  </si>
  <si>
    <t>OKCountyRecords official index, Roger Mills County (instrument 1971-004499); searched 06/11/2026</t>
  </si>
  <si>
    <t>07/20/1972</t>
  </si>
  <si>
    <t>OKCountyRecords official index, Roger Mills County (instrument 1972-002543); searched 06/11/2026</t>
  </si>
  <si>
    <t>0139/0038</t>
  </si>
  <si>
    <t>OKCountyRecords official index, Roger Mills County (instrument 1972-002544); searched 06/11/2026</t>
  </si>
  <si>
    <t>0139/0039</t>
  </si>
  <si>
    <t>OKCountyRecords official index, Roger Mills County (instrument 1972-002545); searched 06/11/2026</t>
  </si>
  <si>
    <t>OKCountyRecords official index, Roger Mills County (instrument 1972-002561); searched 06/11/2026</t>
  </si>
  <si>
    <t>0139/0072</t>
  </si>
  <si>
    <t>OKCountyRecords official index, Roger Mills County (instrument 1972-002562); searched 06/11/2026</t>
  </si>
  <si>
    <t>0139/0073</t>
  </si>
  <si>
    <t>OKCountyRecords official index, Roger Mills County (instrument 1972-002563); searched 06/11/2026</t>
  </si>
  <si>
    <t>05/07/1973</t>
  </si>
  <si>
    <t>OKCountyRecords official index, Roger Mills County (instrument 1973-001367); searched 06/11/2026</t>
  </si>
  <si>
    <t>08/06/1973</t>
  </si>
  <si>
    <t>OKCountyRecords official index, Roger Mills County (instrument 1973-002502); searched 06/11/2026</t>
  </si>
  <si>
    <t>01/07/1974</t>
  </si>
  <si>
    <t>OKCountyRecords official index, Roger Mills County (instrument 1974-000130); searched 06/11/2026</t>
  </si>
  <si>
    <t>0162/0162</t>
  </si>
  <si>
    <t>04/02/1974</t>
  </si>
  <si>
    <t>OKCountyRecords official index, Roger Mills County (instrument 1974-001152); searched 06/11/2026</t>
  </si>
  <si>
    <t>04/29/1974</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</si>
  <si>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</si>
  <si>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</si>
  <si>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</si>
  <si>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</si>
  <si>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</si>
  <si>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</si>
  <si>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</si>
  <si>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</si>
  <si>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</si>
  <si>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</si>
  <si>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</si>
  <si>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</si>
  <si>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</si>
  <si>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04/12/1976</t>
  </si>
  <si>
    <t>OKCountyRecords official index, Roger Mills County (instrument 1976-001369); searched 06/11/2026</t>
  </si>
  <si>
    <t>0197/0116</t>
  </si>
  <si>
    <t>09/02/1976</t>
  </si>
  <si>
    <t>OKCountyRecords official index, Roger Mills County (instrument 1976-003251); searched 06/11/2026</t>
  </si>
  <si>
    <t>0198/0182</t>
  </si>
  <si>
    <t>09/23/1976</t>
  </si>
  <si>
    <t>W/2 NW/4, Lots 1 of 31-12N-24W (AOL)</t>
  </si>
  <si>
    <t>OKCountyRecords official index, Roger Mills County (instrument 1976-003640); searched 06/11/2026</t>
  </si>
  <si>
    <t>0206/0038</t>
  </si>
  <si>
    <t>02/11/1977</t>
  </si>
  <si>
    <t>OKCountyRecords official index, Roger Mills County (instrument 1977-000812); searched 06/11/2026</t>
  </si>
  <si>
    <t>OKCountyRecords official index, Roger Mills County (instrument 1977-000821); searched 06/11/2026</t>
  </si>
  <si>
    <t>0224/0379</t>
  </si>
  <si>
    <t>10/14/1977</t>
  </si>
  <si>
    <t>OKCountyRecords official index, Roger Mills County (instrument 1977-006651); searched 06/11/2026</t>
  </si>
  <si>
    <t>0227/0089</t>
  </si>
  <si>
    <t>11/16/1977</t>
  </si>
  <si>
    <t>OKCountyRecords official index, Roger Mills County (instrument 1977-007503); searched 06/11/2026</t>
  </si>
  <si>
    <t>11/18/1977</t>
  </si>
  <si>
    <t>OKCountyRecords official index, Roger Mills County (instrument 1977-007639); searched 06/11/2026</t>
  </si>
  <si>
    <t>04/03/1978</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</si>
  <si>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</si>
  <si>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</si>
  <si>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</si>
  <si>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</si>
  <si>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</si>
  <si>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</si>
  <si>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</si>
  <si>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</si>
  <si>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</si>
  <si>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</si>
  <si>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</si>
  <si>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</si>
  <si>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</si>
  <si>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</si>
  <si>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</si>
  <si>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</si>
  <si>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</si>
  <si>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</si>
  <si>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</si>
  <si>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</si>
  <si>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0238/0336</t>
  </si>
  <si>
    <t>04/16/1978</t>
  </si>
  <si>
    <t>OKCountyRecords official index, Roger Mills County (instrument 1978-002892); searched 06/11/2026</t>
  </si>
  <si>
    <t>04/19/1978</t>
  </si>
  <si>
    <t>OKCountyRecords official index, Roger Mills County (instrument 1978-003000); searched 06/11/2026</t>
  </si>
  <si>
    <t>OKCountyRecords official index, Roger Mills County (instrument 1978-003002); searched 06/11/2026</t>
  </si>
  <si>
    <t>OKCountyRecords official index, Roger Mills County (instrument 1978-003003); searched 06/11/2026</t>
  </si>
  <si>
    <t>04/27/1978</t>
  </si>
  <si>
    <t>OKCountyRecords official index, Roger Mills County (instrument 1978-003286); searched 06/11/2026</t>
  </si>
  <si>
    <t>OKCountyRecords official index, Roger Mills County (instrument 1978-003289); searched 06/11/2026</t>
  </si>
  <si>
    <t>OKCountyRecords official index, Roger Mills County (instrument 1978-003292); searched 06/11/2026</t>
  </si>
  <si>
    <t>0240/0400</t>
  </si>
  <si>
    <t>05/08/1978</t>
  </si>
  <si>
    <t>OKCountyRecords official index, Roger Mills County (instrument 1978-003485); searched 06/11/2026</t>
  </si>
  <si>
    <t>OKCountyRecords official index, Roger Mills County (instrument 1978-003492); searched 06/11/2026</t>
  </si>
  <si>
    <t>OKCountyRecords official index, Roger Mills County (instrument 1978-003493); searched 06/11/2026</t>
  </si>
  <si>
    <t>OKCountyRecords official index, Roger Mills County (instrument 1978-003497); searched 06/11/2026</t>
  </si>
  <si>
    <t>05/10/1978</t>
  </si>
  <si>
    <t>OKCountyRecords official index, Roger Mills County (instrument 1978-003561); searched 06/11/2026</t>
  </si>
  <si>
    <t>05/30/1978</t>
  </si>
  <si>
    <t>OKCountyRecords official index, Roger Mills County (instrument 1978-004102); searched 06/11/2026</t>
  </si>
  <si>
    <t>OKCountyRecords official index, Roger Mills County (instrument 1978-004103); searched 06/11/2026</t>
  </si>
  <si>
    <t>0243/0141</t>
  </si>
  <si>
    <t>06/07/1978</t>
  </si>
  <si>
    <t>OKCountyRecords official index, Roger Mills County (instrument 1978-004315); searched 06/11/2026</t>
  </si>
  <si>
    <t>0245/0472</t>
  </si>
  <si>
    <t>07/12/1978</t>
  </si>
  <si>
    <t>OKCountyRecords official index, Roger Mills County (instrument 1978-005128); searched 06/11/2026</t>
  </si>
  <si>
    <t>0245/0473</t>
  </si>
  <si>
    <t>OKCountyRecords official index, Roger Mills County (instrument 1978-005129); searched 06/11/2026</t>
  </si>
  <si>
    <t>0245/0474</t>
  </si>
  <si>
    <t>OKCountyRecords official index, Roger Mills County (instrument 1978-005130); searched 06/11/2026</t>
  </si>
  <si>
    <t>0245/0475</t>
  </si>
  <si>
    <t>OKCountyRecords official index, Roger Mills County (instrument 1978-005131); searched 06/11/2026</t>
  </si>
  <si>
    <t>0245/0476</t>
  </si>
  <si>
    <t>OKCountyRecords official index, Roger Mills County (instrument 1978-005132); searched 06/11/2026</t>
  </si>
  <si>
    <t>0245/0477</t>
  </si>
  <si>
    <t>OKCountyRecords official index, Roger Mills County (instrument 1978-005133); searched 06/11/2026</t>
  </si>
  <si>
    <t>0245/0478</t>
  </si>
  <si>
    <t>OKCountyRecords official index, Roger Mills County (instrument 1978-005134); searched 06/11/2026</t>
  </si>
  <si>
    <t>0245/0479</t>
  </si>
  <si>
    <t>OKCountyRecords official index, Roger Mills County (instrument 1978-005135); searched 06/11/2026</t>
  </si>
  <si>
    <t>0245/0480</t>
  </si>
  <si>
    <t>OKCountyRecords official index, Roger Mills County (instrument 1978-005136); searched 06/11/2026</t>
  </si>
  <si>
    <t>0245/0481</t>
  </si>
  <si>
    <t>OKCountyRecords official index, Roger Mills County (instrument 1978-005137); searched 06/11/2026</t>
  </si>
  <si>
    <t>0246/0151</t>
  </si>
  <si>
    <t>07/17/1978</t>
  </si>
  <si>
    <t>OKCountyRecords official index, Roger Mills County (instrument 1978-005257); searched 06/11/2026</t>
  </si>
  <si>
    <t>07/18/1978</t>
  </si>
  <si>
    <t>OKCountyRecords official index, Roger Mills County (instrument 1978-005310); searched 06/11/2026</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</si>
  <si>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</si>
  <si>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</si>
  <si>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</si>
  <si>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</si>
  <si>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</si>
  <si>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</si>
  <si>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0254/0555</t>
  </si>
  <si>
    <t>11/20/1978</t>
  </si>
  <si>
    <t>OKCountyRecords official index, Roger Mills County (instrument 1978-007974); searched 06/11/2026</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</si>
  <si>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</si>
  <si>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</si>
  <si>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</si>
  <si>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</si>
  <si>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</si>
  <si>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</si>
  <si>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</si>
  <si>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</si>
  <si>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0265/0081</t>
  </si>
  <si>
    <t>04/25/1979</t>
  </si>
  <si>
    <t>OKCountyRecords official index, Roger Mills County (instrument 1979-002364); searched 06/11/2026</t>
  </si>
  <si>
    <t>0271/0443</t>
  </si>
  <si>
    <t>07/11/1979</t>
  </si>
  <si>
    <t>OKCountyRecords official index, Roger Mills County (instrument 1979-003905); searched 06/11/2026</t>
  </si>
  <si>
    <t>0272/0042</t>
  </si>
  <si>
    <t>07/13/1979</t>
  </si>
  <si>
    <t>OKCountyRecords official index, Roger Mills County (instrument 1979-004016); searched 06/11/2026</t>
  </si>
  <si>
    <t>0272/0051</t>
  </si>
  <si>
    <t>OKCountyRecords official index, Roger Mills County (instrument 1979-004021); searched 06/11/2026</t>
  </si>
  <si>
    <t>0272/0124</t>
  </si>
  <si>
    <t>07/16/1979</t>
  </si>
  <si>
    <t>OKCountyRecords official index, Roger Mills County (instrument 1979-004050); searched 06/11/2026</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</si>
  <si>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</si>
  <si>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</si>
  <si>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</si>
  <si>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</si>
  <si>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</si>
  <si>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</si>
  <si>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</si>
  <si>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</si>
  <si>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</si>
  <si>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</si>
  <si>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</si>
  <si>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10/04/1979</t>
  </si>
  <si>
    <t>OKCountyRecords official index, Roger Mills County (instrument 1979-005655); searched 06/11/2026</t>
  </si>
  <si>
    <t>0280/0042</t>
  </si>
  <si>
    <t>11/13/1979</t>
  </si>
  <si>
    <t>OKCountyRecords official index, Roger Mills County (instrument 1979-006593); searched 06/11/2026</t>
  </si>
  <si>
    <t>0281/0126</t>
  </si>
  <si>
    <t>11/30/1979</t>
  </si>
  <si>
    <t>OKCountyRecords official index, Roger Mills County (instrument 1979-006913); searched 06/11/2026</t>
  </si>
  <si>
    <t>03/19/1980</t>
  </si>
  <si>
    <t>OKCountyRecords official index, Roger Mills County (instrument 1980-002071); searched 06/11/2026</t>
  </si>
  <si>
    <t>0291/0149</t>
  </si>
  <si>
    <t>04/01/1980</t>
  </si>
  <si>
    <t>OKCountyRecords official index, Roger Mills County (instrument 1980-002413); searched 06/11/2026</t>
  </si>
  <si>
    <t>0296/0585</t>
  </si>
  <si>
    <t>05/28/1980</t>
  </si>
  <si>
    <t>OKCountyRecords official index, Roger Mills County (instrument 1980-004149); searched 06/11/2026</t>
  </si>
  <si>
    <t>0298/0320</t>
  </si>
  <si>
    <t>06/16/1980</t>
  </si>
  <si>
    <t>OKCountyRecords official index, Roger Mills County (instrument 1980-004634); searched 06/11/2026</t>
  </si>
  <si>
    <t>0303/0363</t>
  </si>
  <si>
    <t>08/05/1980</t>
  </si>
  <si>
    <t>OKCountyRecords official index, Roger Mills County (instrument 1980-006290); searched 06/11/2026</t>
  </si>
  <si>
    <t>0303/0364</t>
  </si>
  <si>
    <t>OKCountyRecords official index, Roger Mills County (instrument 1980-006291); searched 06/11/2026</t>
  </si>
  <si>
    <t>0304/0035</t>
  </si>
  <si>
    <t>08/11/1980</t>
  </si>
  <si>
    <t>OKCountyRecords official index, Roger Mills County (instrument 1980-006466); searched 06/11/2026</t>
  </si>
  <si>
    <t>03/24/1981</t>
  </si>
  <si>
    <t>OKCountyRecords official index, Roger Mills County (instrument 1981-003167); searched 06/11/2026</t>
  </si>
  <si>
    <t>0332/0238</t>
  </si>
  <si>
    <t>03/30/1981</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</si>
  <si>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</si>
  <si>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</si>
  <si>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</si>
  <si>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</si>
  <si>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</si>
  <si>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</si>
  <si>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</si>
  <si>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</si>
  <si>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</si>
  <si>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</si>
  <si>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</si>
  <si>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</si>
  <si>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0380/0104</t>
  </si>
  <si>
    <t>09/28/1981</t>
  </si>
  <si>
    <t>OKCountyRecords official index, Roger Mills County (instrument 1981-011348); searched 06/11/2026</t>
  </si>
  <si>
    <t>0380/0121</t>
  </si>
  <si>
    <t>OKCountyRecords official index, Roger Mills County (instrument 1981-011365); searched 06/11/2026</t>
  </si>
  <si>
    <t>10/02/1981</t>
  </si>
  <si>
    <t>OKCountyRecords official index, Roger Mills County (instrument 1981-011564); searched 06/11/2026</t>
  </si>
  <si>
    <t>0383/0001</t>
  </si>
  <si>
    <t>10/08/1981</t>
  </si>
  <si>
    <t>OKCountyRecords official index, Roger Mills County (instrument 1981-011846); searched 06/11/2026</t>
  </si>
  <si>
    <t>11/25/1981</t>
  </si>
  <si>
    <t>OKCountyRecords official index, Roger Mills County (instrument 1981-013847); searched 06/11/2026</t>
  </si>
  <si>
    <t>01/18/1982</t>
  </si>
  <si>
    <t>OKCountyRecords official index, Roger Mills County (instrument 1982-000608); searched 06/11/2026</t>
  </si>
  <si>
    <t>0412/0282</t>
  </si>
  <si>
    <t>01/26/1982</t>
  </si>
  <si>
    <t>OKCountyRecords official index, Roger Mills County (instrument 1982-001029); searched 06/11/2026</t>
  </si>
  <si>
    <t>02/10/1982</t>
  </si>
  <si>
    <t>OKCountyRecords official index, Roger Mills County (instrument 1982-001703); searched 06/11/2026</t>
  </si>
  <si>
    <t>0423/0078</t>
  </si>
  <si>
    <t>03/05/1982</t>
  </si>
  <si>
    <t>OKCountyRecords official index, Roger Mills County (instrument 1982-002776); searched 06/11/2026</t>
  </si>
  <si>
    <t>03/18/1982</t>
  </si>
  <si>
    <t>OKCountyRecords official index, Roger Mills County (instrument 1982-003363); searched 06/11/2026</t>
  </si>
  <si>
    <t>03/29/1982</t>
  </si>
  <si>
    <t>OKCountyRecords official index, Roger Mills County (instrument 1982-003751); searched 06/11/2026</t>
  </si>
  <si>
    <t>0432/0110</t>
  </si>
  <si>
    <t>04/13/1982</t>
  </si>
  <si>
    <t>OKCountyRecords official index, Roger Mills County (instrument 1982-004342); searched 06/11/2026</t>
  </si>
  <si>
    <t>0434/0163</t>
  </si>
  <si>
    <t>04/20/1982</t>
  </si>
  <si>
    <t>OKCountyRecords official index, Roger Mills County (instrument 1982-004658); searched 06/11/2026</t>
  </si>
  <si>
    <t>0437/0206</t>
  </si>
  <si>
    <t>05/05/1982</t>
  </si>
  <si>
    <t>OKCountyRecords official index, Roger Mills County (instrument 1982-005195); searched 06/11/2026</t>
  </si>
  <si>
    <t>0438/0128</t>
  </si>
  <si>
    <t>05/10/1982</t>
  </si>
  <si>
    <t>OKCountyRecords official index, Roger Mills County (instrument 1982-005352); searched 06/11/2026</t>
  </si>
  <si>
    <t>0438/0133</t>
  </si>
  <si>
    <t>OKCountyRecords official index, Roger Mills County (instrument 1982-005357); searched 06/11/2026</t>
  </si>
  <si>
    <t>0440/0099</t>
  </si>
  <si>
    <t>05/17/1982</t>
  </si>
  <si>
    <t>OKCountyRecords official index, Roger Mills County (instrument 1982-005721); searched 06/11/2026</t>
  </si>
  <si>
    <t>05/24/1982</t>
  </si>
  <si>
    <t>OKCountyRecords official index, Roger Mills County (instrument 1982-005993); searched 06/11/2026</t>
  </si>
  <si>
    <t>0442/0107</t>
  </si>
  <si>
    <t>OKCountyRecords official index, Roger Mills County (instrument 1982-005994); searched 06/11/2026</t>
  </si>
  <si>
    <t>0442/0109</t>
  </si>
  <si>
    <t>OKCountyRecords official index, Roger Mills County (instrument 1982-005996); searched 06/11/2026</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</si>
  <si>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</si>
  <si>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</si>
  <si>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</si>
  <si>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</si>
  <si>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</si>
  <si>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</si>
  <si>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</si>
  <si>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</si>
  <si>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</si>
  <si>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</si>
  <si>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0452/0212</t>
  </si>
  <si>
    <t>06/28/1982</t>
  </si>
  <si>
    <t>OKCountyRecords official index, Roger Mills County (instrument 1982-007341); searched 06/11/2026</t>
  </si>
  <si>
    <t>0462/0216</t>
  </si>
  <si>
    <t>08/10/1982</t>
  </si>
  <si>
    <t>OKCountyRecords official index, Roger Mills County (instrument 1982-008742); searched 06/11/2026</t>
  </si>
  <si>
    <t>0475/0235</t>
  </si>
  <si>
    <t>10/06/1982</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</si>
  <si>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</si>
  <si>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</si>
  <si>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</si>
  <si>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</si>
  <si>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</si>
  <si>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</si>
  <si>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</si>
  <si>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</si>
  <si>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</si>
  <si>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</si>
  <si>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</si>
  <si>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</si>
  <si>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</si>
  <si>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</si>
  <si>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</si>
  <si>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</si>
  <si>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</si>
  <si>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</si>
  <si>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</si>
  <si>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</si>
  <si>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</si>
  <si>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</si>
  <si>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</si>
  <si>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</si>
  <si>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</si>
  <si>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</si>
  <si>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</si>
  <si>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</si>
  <si>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</si>
  <si>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</si>
  <si>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03/16/1983</t>
  </si>
  <si>
    <t>OKCountyRecords official index, Roger Mills County (instrument 1983-002495); searched 06/11/2026</t>
  </si>
  <si>
    <t>03/21/1983</t>
  </si>
  <si>
    <t>OKCountyRecords official index, Roger Mills County (instrument 1983-002623); searched 06/11/2026</t>
  </si>
  <si>
    <t>0526/0273</t>
  </si>
  <si>
    <t>04/05/1983</t>
  </si>
  <si>
    <t>OKCountyRecords official index, Roger Mills County (instrument 1983-003111); searched 06/11/2026</t>
  </si>
  <si>
    <t>0532/0106</t>
  </si>
  <si>
    <t>04/27/1983</t>
  </si>
  <si>
    <t>OKCountyRecords official index, Roger Mills County (instrument 1983-003752); searched 06/11/2026</t>
  </si>
  <si>
    <t>05/02/1983</t>
  </si>
  <si>
    <t>OKCountyRecords official index, Roger Mills County (instrument 1983-003792); searched 06/11/2026</t>
  </si>
  <si>
    <t>OKCountyRecords official index, Roger Mills County (instrument 1983-003793); searched 06/11/2026</t>
  </si>
  <si>
    <t>05/09/1983</t>
  </si>
  <si>
    <t>OKCountyRecords official index, Roger Mills County (instrument 1983-003961); searched 06/11/2026</t>
  </si>
  <si>
    <t>OKCountyRecords official index, Roger Mills County (instrument 1983-003962); searched 06/11/2026</t>
  </si>
  <si>
    <t>0544/0221</t>
  </si>
  <si>
    <t>06/23/1983</t>
  </si>
  <si>
    <t>OKCountyRecords official index, Roger Mills County (instrument 1983-005001); searched 06/11/2026</t>
  </si>
  <si>
    <t>08/08/1983</t>
  </si>
  <si>
    <t>OKCountyRecords official index, Roger Mills County (instrument 1983-005956); searched 06/11/2026</t>
  </si>
  <si>
    <t>0552/0192</t>
  </si>
  <si>
    <t>OKCountyRecords official index, Roger Mills County (instrument 1983-005957); searched 06/11/2026</t>
  </si>
  <si>
    <t>OKCountyRecords official index, Roger Mills County (instrument 1983-005958); searched 06/11/2026</t>
  </si>
  <si>
    <t>0552/0195</t>
  </si>
  <si>
    <t>OKCountyRecords official index, Roger Mills County (instrument 1983-005959); searched 06/11/2026</t>
  </si>
  <si>
    <t>0556/0272</t>
  </si>
  <si>
    <t>08/29/1983</t>
  </si>
  <si>
    <t>OKCountyRecords official index, Roger Mills County (instrument 1983-006435); searched 06/11/2026</t>
  </si>
  <si>
    <t>12/06/1983</t>
  </si>
  <si>
    <t>OKCountyRecords official index, Roger Mills County (instrument 1983-009092); searched 06/11/2026</t>
  </si>
  <si>
    <t>OKCountyRecords official index, Roger Mills County (instrument 1983-009093); searched 06/11/2026</t>
  </si>
  <si>
    <t>0581/0225</t>
  </si>
  <si>
    <t>12/16/1983</t>
  </si>
  <si>
    <t>OKCountyRecords official index, Roger Mills County (instrument 1983-009331); searched 06/11/2026</t>
  </si>
  <si>
    <t>02/14/1984</t>
  </si>
  <si>
    <t>OKCountyRecords official index, Roger Mills County (instrument 1984-001299); searched 06/11/2026</t>
  </si>
  <si>
    <t>02/16/1984</t>
  </si>
  <si>
    <t>OKCountyRecords official index, Roger Mills County (instrument 1984-001346); searched 06/11/2026</t>
  </si>
  <si>
    <t>02/24/1984</t>
  </si>
  <si>
    <t>OKCountyRecords official index, Roger Mills County (instrument 1984-001673); searched 06/11/2026</t>
  </si>
  <si>
    <t>OKCountyRecords official index, Roger Mills County (instrument 1984-001674); searched 06/11/2026</t>
  </si>
  <si>
    <t>OKCountyRecords official index, Roger Mills County (instrument 1984-001675); searched 06/11/2026</t>
  </si>
  <si>
    <t>OKCountyRecords official index, Roger Mills County (instrument 1984-001676); searched 06/11/2026</t>
  </si>
  <si>
    <t>OKCountyRecords official index, Roger Mills County (instrument 1984-001677); searched 06/11/2026</t>
  </si>
  <si>
    <t>OKCountyRecords official index, Roger Mills County (instrument 1984-001679); searched 06/11/2026</t>
  </si>
  <si>
    <t>OKCountyRecords official index, Roger Mills County (instrument 1984-001680); searched 06/11/2026</t>
  </si>
  <si>
    <t>OKCountyRecords official index, Roger Mills County (instrument 1984-001681); searched 06/11/2026</t>
  </si>
  <si>
    <t>OKCountyRecords official index, Roger Mills County (instrument 1984-001682); searched 06/11/2026</t>
  </si>
  <si>
    <t>Billy Wayne Bain, Trustee,
William Cobal Bain Jr., Trustee,
Bain, William C. Trust</t>
  </si>
  <si>
    <t>OKCountyRecords official index, Roger Mills County (instrument 1984-001683); searched 06/11/2026</t>
  </si>
  <si>
    <t>02/27/1984</t>
  </si>
  <si>
    <t>OKCountyRecords official index, Roger Mills County (instrument 1984-001750); searched 06/11/2026</t>
  </si>
  <si>
    <t>OKCountyRecords official index, Roger Mills County (instrument 1984-001751); searched 06/11/2026</t>
  </si>
  <si>
    <t>OKCountyRecords official index, Roger Mills County (instrument 1984-001752); searched 06/11/2026</t>
  </si>
  <si>
    <t>OKCountyRecords official index, Roger Mills County (instrument 1984-001753); searched 06/11/2026</t>
  </si>
  <si>
    <t>02/29/1984</t>
  </si>
  <si>
    <t>OKCountyRecords official index, Roger Mills County (instrument 1984-001867); searched 06/11/2026</t>
  </si>
  <si>
    <t>03/01/1984</t>
  </si>
  <si>
    <t>OKCountyRecords official index, Roger Mills County (instrument 1984-001901); searched 06/11/2026</t>
  </si>
  <si>
    <t>03/07/1984</t>
  </si>
  <si>
    <t>OKCountyRecords official index, Roger Mills County (instrument 1984-002100); searched 06/11/2026</t>
  </si>
  <si>
    <t>03/08/1984</t>
  </si>
  <si>
    <t>OKCountyRecords official index, Roger Mills County (instrument 1984-002212); searched 06/11/2026</t>
  </si>
  <si>
    <t>03/15/1984</t>
  </si>
  <si>
    <t>OKCountyRecords official index, Roger Mills County (instrument 1984-002528); searched 06/11/2026</t>
  </si>
  <si>
    <t>OKCountyRecords official index, Roger Mills County (instrument 1984-002529); searched 06/11/2026</t>
  </si>
  <si>
    <t>OKCountyRecords official index, Roger Mills County (instrument 1984-002532); searched 06/11/2026</t>
  </si>
  <si>
    <t>0602/0021</t>
  </si>
  <si>
    <t>03/16/1984</t>
  </si>
  <si>
    <t>OKCountyRecords official index, Roger Mills County (instrument 1984-002563); searched 06/11/2026</t>
  </si>
  <si>
    <t>0604/0330</t>
  </si>
  <si>
    <t>03/28/1984</t>
  </si>
  <si>
    <t>OKCountyRecords official index, Roger Mills County (instrument 1984-002940); searched 06/11/2026</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</si>
  <si>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</si>
  <si>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</si>
  <si>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</si>
  <si>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</si>
  <si>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</si>
  <si>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</si>
  <si>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</si>
  <si>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OKCountyRecords official index, Roger Mills County (instrument 1984-002948); searched 06/11/2026</t>
  </si>
  <si>
    <t>0611/0058</t>
  </si>
  <si>
    <t>04/19/1984</t>
  </si>
  <si>
    <t>OKCountyRecords official index, Roger Mills County (instrument 1984-003786); searched 06/11/2026</t>
  </si>
  <si>
    <t>0650/0145</t>
  </si>
  <si>
    <t>09/12/1984</t>
  </si>
  <si>
    <t>OKCountyRecords official index, Roger Mills County (instrument 1984-009002); searched 06/11/2026</t>
  </si>
  <si>
    <t>0658/0241</t>
  </si>
  <si>
    <t>10/12/1984</t>
  </si>
  <si>
    <t>OKCountyRecords official index, Roger Mills County (instrument 1984-009873); searched 06/11/2026</t>
  </si>
  <si>
    <t>0662/0034</t>
  </si>
  <si>
    <t>10/24/1984</t>
  </si>
  <si>
    <t>OKCountyRecords official index, Roger Mills County (instrument 1984-010210); searched 06/11/2026</t>
  </si>
  <si>
    <t>01/04/1985</t>
  </si>
  <si>
    <t>OKCountyRecords official index, Roger Mills County (instrument 1985-000160); searched 06/11/2026</t>
  </si>
  <si>
    <t>0692/0030</t>
  </si>
  <si>
    <t>02/01/1985</t>
  </si>
  <si>
    <t>OKCountyRecords official index, Roger Mills County (instrument 1985-000800); searched 06/11/2026</t>
  </si>
  <si>
    <t>0696/0139</t>
  </si>
  <si>
    <t>02/22/1985</t>
  </si>
  <si>
    <t>OKCountyRecords official index, Roger Mills County (instrument 1985-001211); searched 06/11/2026</t>
  </si>
  <si>
    <t>0708/0015</t>
  </si>
  <si>
    <t>04/10/1985</t>
  </si>
  <si>
    <t>OKCountyRecords official index, Roger Mills County (instrument 1985-002380); searched 06/11/2026</t>
  </si>
  <si>
    <t>OKCountyRecords official index, Roger Mills County (instrument 1985-002388); searched 06/11/2026</t>
  </si>
  <si>
    <t>OKCountyRecords official index, Roger Mills County (instrument 1985-002391); searched 06/11/2026</t>
  </si>
  <si>
    <t>OKCountyRecords official index, Roger Mills County (instrument 1985-002392); searched 06/11/2026</t>
  </si>
  <si>
    <t>OKCountyRecords official index, Roger Mills County (instrument 1985-002393); searched 06/11/2026</t>
  </si>
  <si>
    <t>OKCountyRecords official index, Roger Mills County (instrument 1985-002394); searched 06/11/2026</t>
  </si>
  <si>
    <t>OKCountyRecords official index, Roger Mills County (instrument 1985-002398); searched 06/11/2026</t>
  </si>
  <si>
    <t>OKCountyRecords official index, Roger Mills County (instrument 1985-002403); searched 06/11/2026</t>
  </si>
  <si>
    <t>OKCountyRecords official index, Roger Mills County (instrument 1985-002405); searched 06/11/2026</t>
  </si>
  <si>
    <t>OKCountyRecords official index, Roger Mills County (instrument 1985-002406); searched 06/11/2026</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</si>
  <si>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</si>
  <si>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</si>
  <si>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</si>
  <si>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</si>
  <si>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</si>
  <si>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OKCountyRecords official index, Roger Mills County (instrument 1985-002660); searched 06/11/2026</t>
  </si>
  <si>
    <t>OKCountyRecords official index, Roger Mills County (instrument 1985-002661); searched 06/11/2026</t>
  </si>
  <si>
    <t>04/29/1985</t>
  </si>
  <si>
    <t>OKCountyRecords official index, Roger Mills County (instrument 1985-002819); searched 06/11/2026</t>
  </si>
  <si>
    <t>0716/0054</t>
  </si>
  <si>
    <t>05/13/1985</t>
  </si>
  <si>
    <t>OKCountyRecords official index, Roger Mills County (instrument 1985-003205); searched 06/11/2026</t>
  </si>
  <si>
    <t>06/28/1985</t>
  </si>
  <si>
    <t>OKCountyRecords official index, Roger Mills County (instrument 1985-004439); searched 06/11/2026</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</si>
  <si>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</si>
  <si>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</si>
  <si>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</si>
  <si>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</si>
  <si>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</si>
  <si>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</si>
  <si>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</si>
  <si>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</si>
  <si>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</si>
  <si>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</si>
  <si>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</si>
  <si>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OKCountyRecords official index, Roger Mills County (instrument 1985-007068); searched 06/11/2026</t>
  </si>
  <si>
    <t>0756/0079</t>
  </si>
  <si>
    <t>10/10/1985</t>
  </si>
  <si>
    <t>OKCountyRecords official index, Roger Mills County (instrument 1985-007096); searched 06/11/2026</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</si>
  <si>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</si>
  <si>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</si>
  <si>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</si>
  <si>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</si>
  <si>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</si>
  <si>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</si>
  <si>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</si>
  <si>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</si>
  <si>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</si>
  <si>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</si>
  <si>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</si>
  <si>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</si>
  <si>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</si>
  <si>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</si>
  <si>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</si>
  <si>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</si>
  <si>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0825/0181</t>
  </si>
  <si>
    <t>08/13/1986</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</si>
  <si>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</si>
  <si>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</si>
  <si>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</si>
  <si>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</si>
  <si>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</si>
  <si>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</si>
  <si>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</si>
  <si>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</si>
  <si>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</si>
  <si>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</si>
  <si>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12/09/1986</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</si>
  <si>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</si>
  <si>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</si>
  <si>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</si>
  <si>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</si>
  <si>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</si>
  <si>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</si>
  <si>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</si>
  <si>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0897/0244</t>
  </si>
  <si>
    <t>07/06/1987</t>
  </si>
  <si>
    <t>OKCountyRecords official index, Roger Mills County (instrument 1987-003826); searched 06/11/2026</t>
  </si>
  <si>
    <t>07/13/1987</t>
  </si>
  <si>
    <t>OKCountyRecords official index, Roger Mills County (instrument 1987-003977); searched 06/11/2026</t>
  </si>
  <si>
    <t>OKCountyRecords official index, Roger Mills County (instrument 1987-003978); searched 06/11/2026</t>
  </si>
  <si>
    <t>08/13/1987</t>
  </si>
  <si>
    <t>OKCountyRecords official index, Roger Mills County (instrument 1987-004839); searched 06/11/2026</t>
  </si>
  <si>
    <t>0908/0162</t>
  </si>
  <si>
    <t>08/20/1987</t>
  </si>
  <si>
    <t>OKCountyRecords official index, Roger Mills County (instrument 1987-005035); searched 06/11/2026</t>
  </si>
  <si>
    <t>0908/0163</t>
  </si>
  <si>
    <t>OKCountyRecords official index, Roger Mills County (instrument 1987-005036); searched 06/11/2026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</si>
  <si>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</si>
  <si>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</si>
  <si>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</si>
  <si>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</si>
  <si>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</si>
  <si>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</si>
  <si>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</si>
  <si>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</si>
  <si>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</si>
  <si>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</si>
  <si>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</si>
  <si>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</si>
  <si>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0932/0008</t>
  </si>
  <si>
    <t>11/25/1987</t>
  </si>
  <si>
    <t>OKCountyRecords official index, Roger Mills County (instrument 1987-007491); searched 06/11/2026</t>
  </si>
  <si>
    <t>0932/0011</t>
  </si>
  <si>
    <t>OKCountyRecords official index, Roger Mills County (instrument 1987-007492); searched 06/11/2026</t>
  </si>
  <si>
    <t>0932/0014</t>
  </si>
  <si>
    <t>OKCountyRecords official index, Roger Mills County (instrument 1987-007493); searched 06/11/2026</t>
  </si>
  <si>
    <t>0933/0226</t>
  </si>
  <si>
    <t>12/07/1987</t>
  </si>
  <si>
    <t>OKCountyRecords official index, Roger Mills County (instrument 1987-007680); searched 06/11/2026</t>
  </si>
  <si>
    <t>12/18/1987</t>
  </si>
  <si>
    <t>OKCountyRecords official index, Roger Mills County (instrument 1987-007920); searched 06/11/2026</t>
  </si>
  <si>
    <t>01/13/1988</t>
  </si>
  <si>
    <t>OKCountyRecords official index, Roger Mills County (instrument 1988-000257); searched 06/11/2026</t>
  </si>
  <si>
    <t>0946/0223</t>
  </si>
  <si>
    <t>02/04/1988</t>
  </si>
  <si>
    <t>OKCountyRecords official index, Roger Mills County (instrument 1988-000762); searched 06/11/2026</t>
  </si>
  <si>
    <t>0966/0090</t>
  </si>
  <si>
    <t>04/22/1988</t>
  </si>
  <si>
    <t>OKCountyRecords official index, Roger Mills County (instrument 1988-002747); searched 06/11/2026</t>
  </si>
  <si>
    <t>07/05/1988</t>
  </si>
  <si>
    <t>N/2 NE/4, W/2 NW/4 of 31-12N-24W (AOL)</t>
  </si>
  <si>
    <t>OKCountyRecords official index, Roger Mills County (instrument 1988-004185); searched 06/11/2026</t>
  </si>
  <si>
    <t>07/11/1988</t>
  </si>
  <si>
    <t>OKCountyRecords official index, Roger Mills County (instrument 1988-004266); searched 06/11/2026</t>
  </si>
  <si>
    <t>OKCountyRecords official index, Roger Mills County (instrument 1988-004268); searched 06/11/2026</t>
  </si>
  <si>
    <t>07/18/1988</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</si>
  <si>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</si>
  <si>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</si>
  <si>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</si>
  <si>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</si>
  <si>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</si>
  <si>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</si>
  <si>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</si>
  <si>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</si>
  <si>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</si>
  <si>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</si>
  <si>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</si>
  <si>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</si>
  <si>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OKCountyRecords official index, Roger Mills County (instrument 1988-004635); searched 06/11/2026</t>
  </si>
  <si>
    <t>0986/0196</t>
  </si>
  <si>
    <t>OKCountyRecords official index, Roger Mills County (instrument 1988-004637); searched 06/11/2026</t>
  </si>
  <si>
    <t>0996/0106</t>
  </si>
  <si>
    <t>09/12/1988</t>
  </si>
  <si>
    <t>OKCountyRecords official index, Roger Mills County (instrument 1988-005491); searched 06/11/2026</t>
  </si>
  <si>
    <t>0998/0204</t>
  </si>
  <si>
    <t>09/19/1988</t>
  </si>
  <si>
    <t>OKCountyRecords official index, Roger Mills County (instrument 1988-005620); searched 06/11/2026</t>
  </si>
  <si>
    <t>1009/0025</t>
  </si>
  <si>
    <t>11/02/1988</t>
  </si>
  <si>
    <t>OKCountyRecords official index, Roger Mills County (instrument 1988-006565); searched 06/11/2026</t>
  </si>
  <si>
    <t>01/17/1989</t>
  </si>
  <si>
    <t>OKCountyRecords official index, Roger Mills County (instrument 1989-000319); searched 06/11/2026</t>
  </si>
  <si>
    <t>OKCountyRecords official index, Roger Mills County (instrument 1989-000320); searched 06/11/2026</t>
  </si>
  <si>
    <t>OKCountyRecords official index, Roger Mills County (instrument 1989-000321); searched 06/11/2026</t>
  </si>
  <si>
    <t>OKCountyRecords official index, Roger Mills County (instrument 1989-000322); searched 06/11/2026</t>
  </si>
  <si>
    <t>OKCountyRecords official index, Roger Mills County (instrument 1989-000323); searched 06/11/2026</t>
  </si>
  <si>
    <t>1030/0176</t>
  </si>
  <si>
    <t>01/23/1989</t>
  </si>
  <si>
    <t>OKCountyRecords official index, Roger Mills County (instrument 1989-000424); searched 06/11/2026</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</si>
  <si>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</si>
  <si>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</si>
  <si>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</si>
  <si>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</si>
  <si>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</si>
  <si>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</si>
  <si>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</si>
  <si>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</si>
  <si>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1045/0006</t>
  </si>
  <si>
    <t>03/23/1989</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</si>
  <si>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</si>
  <si>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</si>
  <si>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</si>
  <si>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</si>
  <si>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</si>
  <si>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</si>
  <si>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</si>
  <si>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</si>
  <si>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</si>
  <si>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</si>
  <si>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</si>
  <si>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</si>
  <si>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</si>
  <si>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1052/0154</t>
  </si>
  <si>
    <t>04/24/1989</t>
  </si>
  <si>
    <t>OKCountyRecords official index, Roger Mills County (instrument 1989-002559); searched 06/11/2026</t>
  </si>
  <si>
    <t>05/25/1989</t>
  </si>
  <si>
    <t>OKCountyRecords official index, Roger Mills County (instrument 1989-003258); searched 06/11/2026</t>
  </si>
  <si>
    <t>1063/0212</t>
  </si>
  <si>
    <t>06/15/1989</t>
  </si>
  <si>
    <t>OKCountyRecords official index, Roger Mills County (instrument 1989-003645); searched 06/11/2026</t>
  </si>
  <si>
    <t>06/19/1989</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</si>
  <si>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</si>
  <si>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</si>
  <si>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</si>
  <si>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</si>
  <si>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</si>
  <si>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</si>
  <si>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</si>
  <si>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</si>
  <si>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</si>
  <si>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</si>
  <si>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</si>
  <si>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</si>
  <si>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</si>
  <si>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</si>
  <si>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</si>
  <si>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</si>
  <si>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</si>
  <si>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</si>
  <si>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</si>
  <si>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</si>
  <si>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</si>
  <si>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</si>
  <si>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1070/0298</t>
  </si>
  <si>
    <t>07/20/1989</t>
  </si>
  <si>
    <t>OKCountyRecords official index, Roger Mills County (instrument 1989-004295); searched 06/11/2026</t>
  </si>
  <si>
    <t>1072/0136</t>
  </si>
  <si>
    <t>07/24/1989</t>
  </si>
  <si>
    <t>OKCountyRecords official index, Roger Mills County (instrument 1989-004361); searched 06/11/2026</t>
  </si>
  <si>
    <t>1086/0223</t>
  </si>
  <si>
    <t>10/06/1989</t>
  </si>
  <si>
    <t>OKCountyRecords official index, Roger Mills County (instrument 1989-005584); searched 06/11/2026</t>
  </si>
  <si>
    <t>1087/0001</t>
  </si>
  <si>
    <t>OKCountyRecords official index, Roger Mills County (instrument 1989-005585); searched 06/11/2026</t>
  </si>
  <si>
    <t>1088/0005</t>
  </si>
  <si>
    <t>10/13/1989</t>
  </si>
  <si>
    <t>OKCountyRecords official index, Roger Mills County (instrument 1989-005656); searched 06/11/2026</t>
  </si>
  <si>
    <t>10/19/1989</t>
  </si>
  <si>
    <t>OKCountyRecords official index, Roger Mills County (instrument 1989-005730); searched 06/11/2026</t>
  </si>
  <si>
    <t>1089/0176</t>
  </si>
  <si>
    <t>OKCountyRecords official index, Roger Mills County (instrument 1989-005731); searched 06/11/2026</t>
  </si>
  <si>
    <t>1090/0217</t>
  </si>
  <si>
    <t>10/25/1989</t>
  </si>
  <si>
    <t>OKCountyRecords official index, Roger Mills County (instrument 1989-005860); searched 06/11/2026</t>
  </si>
  <si>
    <t>1100/0048</t>
  </si>
  <si>
    <t>12/05/1989</t>
  </si>
  <si>
    <t>OKCountyRecords official index, Roger Mills County (instrument 1989-006590); searched 06/11/2026</t>
  </si>
  <si>
    <t>12/22/1989</t>
  </si>
  <si>
    <t>OKCountyRecords official index, Roger Mills County (instrument 1989-006908); searched 06/11/2026</t>
  </si>
  <si>
    <t>OKCountyRecords official index, Roger Mills County (instrument 1989-006910); searched 06/11/2026</t>
  </si>
  <si>
    <t>1104/0087</t>
  </si>
  <si>
    <t>12/27/1989</t>
  </si>
  <si>
    <t>OKCountyRecords official index, Roger Mills County (instrument 1989-007000); searched 06/11/2026</t>
  </si>
  <si>
    <t>1104/0090</t>
  </si>
  <si>
    <t>OKCountyRecords official index, Roger Mills County (instrument 1989-007001); searched 06/11/2026</t>
  </si>
  <si>
    <t>1109/0291</t>
  </si>
  <si>
    <t>01/24/1990</t>
  </si>
  <si>
    <t>OKCountyRecords official index, Roger Mills County (instrument 1990-000386); searched 06/11/2026</t>
  </si>
  <si>
    <t>1111/0182</t>
  </si>
  <si>
    <t>01/30/1990</t>
  </si>
  <si>
    <t>OKCountyRecords official index, Roger Mills County (instrument 1990-000534); searched 06/11/2026</t>
  </si>
  <si>
    <t>OKCountyRecords official index, Roger Mills County (instrument 1990-000535); searched 06/11/2026</t>
  </si>
  <si>
    <t>OKCountyRecords official index, Roger Mills County (instrument 1990-000536); searched 06/11/2026</t>
  </si>
  <si>
    <t>OKCountyRecords official index, Roger Mills County (instrument 1990-000537); searched 06/11/2026</t>
  </si>
  <si>
    <t>OKCountyRecords official index, Roger Mills County (instrument 1990-000538); searched 06/11/2026</t>
  </si>
  <si>
    <t>OKCountyRecords official index, Roger Mills County (instrument 1990-000539); searched 06/11/2026</t>
  </si>
  <si>
    <t>OKCountyRecords official index, Roger Mills County (instrument 1990-000540); searched 06/11/2026</t>
  </si>
  <si>
    <t>1111/0244</t>
  </si>
  <si>
    <t>01/31/1990</t>
  </si>
  <si>
    <t>OKCountyRecords official index, Roger Mills County (instrument 1990-000549); searched 06/11/2026</t>
  </si>
  <si>
    <t>1111/0246</t>
  </si>
  <si>
    <t>OKCountyRecords official index, Roger Mills County (instrument 1990-000550); searched 06/11/2026</t>
  </si>
  <si>
    <t>OKCountyRecords official index, Roger Mills County (instrument 1990-000551); searched 06/11/2026</t>
  </si>
  <si>
    <t>Bain, William C. Trust,
Opal L. Fuchs</t>
  </si>
  <si>
    <t>OKCountyRecords official index, Roger Mills County (instrument 1990-000553); searched 06/11/2026</t>
  </si>
  <si>
    <t>1113/0044</t>
  </si>
  <si>
    <t>02/07/1990</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</si>
  <si>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</si>
  <si>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</si>
  <si>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</si>
  <si>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</si>
  <si>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</si>
  <si>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</si>
  <si>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</si>
  <si>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</si>
  <si>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</si>
  <si>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</si>
  <si>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</si>
  <si>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</si>
  <si>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</si>
  <si>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</si>
  <si>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</si>
  <si>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</si>
  <si>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</si>
  <si>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</si>
  <si>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</si>
  <si>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</si>
  <si>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</si>
  <si>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</si>
  <si>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1117/0078</t>
  </si>
  <si>
    <t>02/26/1990</t>
  </si>
  <si>
    <t>OKCountyRecords official index, Roger Mills County (instrument 1990-001103); searched 06/11/2026</t>
  </si>
  <si>
    <t>1122/0069</t>
  </si>
  <si>
    <t>03/20/1990</t>
  </si>
  <si>
    <t>OKCountyRecords official index, Roger Mills County (instrument 1990-001592); searched 06/11/2026</t>
  </si>
  <si>
    <t>1122/0191</t>
  </si>
  <si>
    <t>03/25/1990</t>
  </si>
  <si>
    <t>OKCountyRecords official index, Roger Mills County (instrument 1990-001651); searched 06/11/2026</t>
  </si>
  <si>
    <t>1122/0192</t>
  </si>
  <si>
    <t>OKCountyRecords official index, Roger Mills County (instrument 1990-001652); searched 06/11/2026</t>
  </si>
  <si>
    <t>1122/0193</t>
  </si>
  <si>
    <t>OKCountyRecords official index, Roger Mills County (instrument 1990-001653); searched 06/11/2026</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</si>
  <si>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</si>
  <si>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</si>
  <si>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</si>
  <si>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</si>
  <si>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</si>
  <si>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</si>
  <si>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</si>
  <si>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</si>
  <si>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</si>
  <si>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</si>
  <si>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</si>
  <si>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</si>
  <si>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</si>
  <si>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</si>
  <si>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</si>
  <si>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</si>
  <si>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</si>
  <si>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</si>
  <si>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</si>
  <si>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</si>
  <si>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</si>
  <si>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</si>
  <si>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</si>
  <si>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</si>
  <si>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</si>
  <si>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</si>
  <si>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</si>
  <si>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OKCountyRecords official index, Roger Mills County (instrument 1990-002146); searched 06/11/2026</t>
  </si>
  <si>
    <t>1131/0089</t>
  </si>
  <si>
    <t>04/30/1990</t>
  </si>
  <si>
    <t>OKCountyRecords official index, Roger Mills County (instrument 1990-002451); searched 06/11/2026</t>
  </si>
  <si>
    <t>1132/0124</t>
  </si>
  <si>
    <t>05/04/1990</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</si>
  <si>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</si>
  <si>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</si>
  <si>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</si>
  <si>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</si>
  <si>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</si>
  <si>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</si>
  <si>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</si>
  <si>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1148/0114</t>
  </si>
  <si>
    <t>06/09/1990</t>
  </si>
  <si>
    <t>OKCountyRecords official index, Roger Mills County (instrument 1990-003980); searched 06/11/2026</t>
  </si>
  <si>
    <t>1147/0242</t>
  </si>
  <si>
    <t>07/05/1990</t>
  </si>
  <si>
    <t>OKCountyRecords official index, Roger Mills County (instrument 1990-003924); searched 06/11/2026</t>
  </si>
  <si>
    <t>1151/0107</t>
  </si>
  <si>
    <t>07/19/1990</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</si>
  <si>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</si>
  <si>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</si>
  <si>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</si>
  <si>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</si>
  <si>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</si>
  <si>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</si>
  <si>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</si>
  <si>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</si>
  <si>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</si>
  <si>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</si>
  <si>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</si>
  <si>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</si>
  <si>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</si>
  <si>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11/28/1990</t>
  </si>
  <si>
    <t>OKCountyRecords official index, Roger Mills County (instrument 1990-006747); searched 06/11/2026</t>
  </si>
  <si>
    <t>1194/0257</t>
  </si>
  <si>
    <t>02/08/1991</t>
  </si>
  <si>
    <t>OKCountyRecords official index, Roger Mills County (instrument 1991-000858); searched 06/11/2026</t>
  </si>
  <si>
    <t>1202/0294</t>
  </si>
  <si>
    <t>03/18/1991</t>
  </si>
  <si>
    <t>OKCountyRecords official index, Roger Mills County (instrument 1991-001479); searched 06/11/2026</t>
  </si>
  <si>
    <t>1214/0113</t>
  </si>
  <si>
    <t>05/20/1991</t>
  </si>
  <si>
    <t>OKCountyRecords official index, Roger Mills County (instrument 1991-002362); searched 06/11/2026</t>
  </si>
  <si>
    <t>1218/0001</t>
  </si>
  <si>
    <t>06/10/1991</t>
  </si>
  <si>
    <t>OKCountyRecords official index, Roger Mills County (instrument 1991-002734); searched 06/11/2026</t>
  </si>
  <si>
    <t>1227/0155</t>
  </si>
  <si>
    <t>07/25/1991</t>
  </si>
  <si>
    <t>OKCountyRecords official index, Roger Mills County (instrument 1991-003350); searched 06/11/2026</t>
  </si>
  <si>
    <t>1228/0213</t>
  </si>
  <si>
    <t>08/01/1991</t>
  </si>
  <si>
    <t>OKCountyRecords official index, Roger Mills County (instrument 1991-003462); searched 06/11/2026</t>
  </si>
  <si>
    <t>1229/0180</t>
  </si>
  <si>
    <t>08/06/1991</t>
  </si>
  <si>
    <t>OKCountyRecords official index, Roger Mills County (instrument 1991-003518); searched 06/11/2026</t>
  </si>
  <si>
    <t>1239/0267</t>
  </si>
  <si>
    <t>10/07/1991</t>
  </si>
  <si>
    <t>OKCountyRecords official index, Roger Mills County (instrument 1991-004416); searched 06/11/2026</t>
  </si>
  <si>
    <t>1240/0115</t>
  </si>
  <si>
    <t>10/11/1991</t>
  </si>
  <si>
    <t>OKCountyRecords official index, Roger Mills County (instrument 1991-004456); searched 06/11/2026</t>
  </si>
  <si>
    <t>1241/0066</t>
  </si>
  <si>
    <t>10/17/1991</t>
  </si>
  <si>
    <t>OKCountyRecords official index, Roger Mills County (instrument 1991-004543); searched 06/11/2026</t>
  </si>
  <si>
    <t>1249/0161</t>
  </si>
  <si>
    <t>12/02/1991</t>
  </si>
  <si>
    <t>OKCountyRecords official index, Roger Mills County (instrument 1991-005340); searched 06/11/2026</t>
  </si>
  <si>
    <t>1266/0019</t>
  </si>
  <si>
    <t>03/19/1992</t>
  </si>
  <si>
    <t>OKCountyRecords official index, Roger Mills County (instrument 1992-000943); searched 06/11/2026</t>
  </si>
  <si>
    <t>1267/0168</t>
  </si>
  <si>
    <t>03/30/1992</t>
  </si>
  <si>
    <t>OKCountyRecords official index, Roger Mills County (instrument 1992-001067); searched 06/11/2026</t>
  </si>
  <si>
    <t>1274/0277</t>
  </si>
  <si>
    <t>05/13/1992</t>
  </si>
  <si>
    <t>OKCountyRecords official index, Roger Mills County (instrument 1992-001682); searched 06/11/2026</t>
  </si>
  <si>
    <t>1276/0267</t>
  </si>
  <si>
    <t>05/26/1992</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</si>
  <si>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</si>
  <si>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</si>
  <si>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</si>
  <si>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</si>
  <si>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</si>
  <si>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</si>
  <si>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</si>
  <si>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</si>
  <si>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</si>
  <si>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</si>
  <si>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</si>
  <si>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</si>
  <si>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</si>
  <si>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</si>
  <si>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</si>
  <si>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</si>
  <si>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</si>
  <si>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1301/0216</t>
  </si>
  <si>
    <t>10/21/1992</t>
  </si>
  <si>
    <t>OKCountyRecords official index, Roger Mills County (instrument 1992-003918); searched 06/11/2026</t>
  </si>
  <si>
    <t>1311/0242</t>
  </si>
  <si>
    <t>12/28/1992</t>
  </si>
  <si>
    <t>OKCountyRecords official index, Roger Mills County (instrument 1992-004778); searched 06/11/2026</t>
  </si>
  <si>
    <t>1313/0230</t>
  </si>
  <si>
    <t>01/08/1993</t>
  </si>
  <si>
    <t>OKCountyRecords official index, Roger Mills County (instrument 1993-000098); searched 06/11/2026</t>
  </si>
  <si>
    <t>1321/0053</t>
  </si>
  <si>
    <t>02/18/1993</t>
  </si>
  <si>
    <t>OKCountyRecords official index, Roger Mills County (instrument 1993-000717); searched 06/11/2026</t>
  </si>
  <si>
    <t>03/04/1993</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</si>
  <si>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</si>
  <si>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</si>
  <si>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</si>
  <si>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</si>
  <si>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</si>
  <si>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1335/0088</t>
  </si>
  <si>
    <t>04/29/1993</t>
  </si>
  <si>
    <t>OKCountyRecords official index, Roger Mills County (instrument 1993-001727); searched 06/11/2026</t>
  </si>
  <si>
    <t>1340/0238</t>
  </si>
  <si>
    <t>05/27/1993</t>
  </si>
  <si>
    <t>OKCountyRecords official index, Roger Mills County (instrument 1993-002107); searched 06/11/2026</t>
  </si>
  <si>
    <t>1355/0192</t>
  </si>
  <si>
    <t>08/18/1993</t>
  </si>
  <si>
    <t>OKCountyRecords official index, Roger Mills County (instrument 1993-003365); searched 06/11/2026</t>
  </si>
  <si>
    <t>1401/0077</t>
  </si>
  <si>
    <t>04/08/1994</t>
  </si>
  <si>
    <t>OKCountyRecords official index, Roger Mills County (instrument 1994-004578); searched 06/11/2026</t>
  </si>
  <si>
    <t>1405/0223</t>
  </si>
  <si>
    <t>04/28/1994</t>
  </si>
  <si>
    <t>OKCountyRecords official index, Roger Mills County (instrument 1994-004940); searched 06/11/2026</t>
  </si>
  <si>
    <t>07/27/1994</t>
  </si>
  <si>
    <t>E/2 NW/4, N/2 NE/4 SW/4, NE/4 SE/4, SE/4 NE/4 of 31-12N-24W (AOL)</t>
  </si>
  <si>
    <t>OKCountyRecords official index, Roger Mills County (instrument 1994-006415); searched 06/11/2026</t>
  </si>
  <si>
    <t>02/24/1995</t>
  </si>
  <si>
    <t>OKCountyRecords official index, Roger Mills County (instrument 1995-003404); searched 06/11/2026</t>
  </si>
  <si>
    <t>1457/0236</t>
  </si>
  <si>
    <t>02/27/1995</t>
  </si>
  <si>
    <t>OKCountyRecords official index, Roger Mills County (instrument 1995-003422); searched 06/11/2026</t>
  </si>
  <si>
    <t>03/20/1995</t>
  </si>
  <si>
    <t>SE/4 SW/4 of 31-12N-24W (AOL)</t>
  </si>
  <si>
    <t>OKCountyRecords official index, Roger Mills County (instrument 1995-003767); searched 06/11/2026</t>
  </si>
  <si>
    <t>04/17/1995</t>
  </si>
  <si>
    <t>OKCountyRecords official index, Roger Mills County (instrument 1995-004151); searched 06/11/2026</t>
  </si>
  <si>
    <t>08/09/1995</t>
  </si>
  <si>
    <t>NW/4 SE/4, SW/4 NE/4 of 31-12N-24W (AOL)</t>
  </si>
  <si>
    <t>OKCountyRecords official index, Roger Mills County (instrument 1995-000396); searched 06/11/2026</t>
  </si>
  <si>
    <t>09/08/1995</t>
  </si>
  <si>
    <t>NW/4 NW/4 of 31-12N-24W (AOL)</t>
  </si>
  <si>
    <t>OKCountyRecords official index, Roger Mills County (instrument 1995-000748); searched 06/11/2026</t>
  </si>
  <si>
    <t>12/05/1995</t>
  </si>
  <si>
    <t>NW/4 SE/4, S/2 SE/4, SW/4 NE/4 of 31-12N-24W (AOL)</t>
  </si>
  <si>
    <t>OKCountyRecords official index, Roger Mills County (instrument 1995-001954); searched 06/11/2026</t>
  </si>
  <si>
    <t>1489/0336</t>
  </si>
  <si>
    <t>04/04/1996</t>
  </si>
  <si>
    <t>OKCountyRecords official index, Roger Mills County (instrument 1996-003719); searched 06/11/2026</t>
  </si>
  <si>
    <t>1493/0040</t>
  </si>
  <si>
    <t>05/14/1996</t>
  </si>
  <si>
    <t>E/2 NW/4, N/2 NE/4, N/2 NE/4 SW/4, NE/4 SE/4, S/2 NE/4 SW/4, SE/4 NE/4, SE/4 SW/4, Lots 3 of 31-12N-24W (AOL)</t>
  </si>
  <si>
    <t>OKCountyRecords official index, Roger Mills County (instrument 1996-004168); searched 06/11/2026</t>
  </si>
  <si>
    <t>12/30/1996</t>
  </si>
  <si>
    <t>E/2 W/2, N/2 NE/4, NE/4 SE/4, SE/4 NE/4, Lots 1 of 31-12N-24W</t>
  </si>
  <si>
    <t>OKCountyRecords official index, Roger Mills County (instrument 1996-002352); searched 06/11/2026</t>
  </si>
  <si>
    <t>1510/0566</t>
  </si>
  <si>
    <t>01/02/1997</t>
  </si>
  <si>
    <t>OKCountyRecords official index, Roger Mills County (instrument 1997-006370); searched 06/11/2026</t>
  </si>
  <si>
    <t>1511/0032</t>
  </si>
  <si>
    <t>01/03/1997</t>
  </si>
  <si>
    <t>OKCountyRecords official index, Roger Mills County (instrument 1997-005183); searched 06/11/2026</t>
  </si>
  <si>
    <t>1512/0029</t>
  </si>
  <si>
    <t>01/13/1997</t>
  </si>
  <si>
    <t>OKCountyRecords official index, Roger Mills County (instrument 1997-002567A); searched 06/11/2026</t>
  </si>
  <si>
    <t>02/18/1997</t>
  </si>
  <si>
    <t>Lots 1 of 31-12N-24W</t>
  </si>
  <si>
    <t>OKCountyRecords official index, Roger Mills County (instrument 1997-003023); searched 06/11/2026</t>
  </si>
  <si>
    <t>1522/0215</t>
  </si>
  <si>
    <t>04/29/1997</t>
  </si>
  <si>
    <t>OKCountyRecords official index, Roger Mills County (instrument 1997-004254); searched 06/11/2026</t>
  </si>
  <si>
    <t>1556/0423</t>
  </si>
  <si>
    <t>05/07/1998</t>
  </si>
  <si>
    <t>OKCountyRecords official index, Roger Mills County (instrument 1998-004619); searched 06/11/2026</t>
  </si>
  <si>
    <t>1423/0089</t>
  </si>
  <si>
    <t>08/01/1998</t>
  </si>
  <si>
    <t>OKCountyRecords official index, Roger Mills County (instrument 1994-000003); searched 06/11/2026</t>
  </si>
  <si>
    <t>08/19/1998</t>
  </si>
  <si>
    <t>OKCountyRecords official index, Roger Mills County (instrument 1998-000584); searched 06/11/2026</t>
  </si>
  <si>
    <t>09/21/1998</t>
  </si>
  <si>
    <t>OKCountyRecords official index, Roger Mills County (instrument 1998-000907); searched 06/11/2026</t>
  </si>
  <si>
    <t>01/15/1999</t>
  </si>
  <si>
    <t>OKCountyRecords official index, Roger Mills County (instrument 1999-002219); searched 06/11/2026</t>
  </si>
  <si>
    <t>OKCountyRecords official index, Roger Mills County (instrument 1999-002220); searched 06/11/2026</t>
  </si>
  <si>
    <t>02/24/1999</t>
  </si>
  <si>
    <t>OKCountyRecords official index, Roger Mills County (instrument 1999-002739); searched 06/11/2026</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</si>
  <si>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</si>
  <si>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</si>
  <si>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</si>
  <si>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</si>
  <si>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</si>
  <si>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</si>
  <si>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</si>
  <si>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OKCountyRecords official index, Roger Mills County (instrument 1999-003363); searched 06/11/2026</t>
  </si>
  <si>
    <t>OKCountyRecords official index, Roger Mills County (instrument 1999-003368); searched 06/11/2026</t>
  </si>
  <si>
    <t>OKCountyRecords official index, Roger Mills County (instrument 1999-003364); searched 06/11/2026</t>
  </si>
  <si>
    <t>OKCountyRecords official index, Roger Mills County (instrument 1999-003365); searched 06/11/2026</t>
  </si>
  <si>
    <t>OKCountyRecords official index, Roger Mills County (instrument 1999-003366); searched 06/11/2026</t>
  </si>
  <si>
    <t>OKCountyRecords official index, Roger Mills County (instrument 1999-003367); searched 06/11/2026</t>
  </si>
  <si>
    <t>1597/0174</t>
  </si>
  <si>
    <t>11/17/1999</t>
  </si>
  <si>
    <t>OKCountyRecords official index, Roger Mills County (instrument 1999-005522); searched 06/11/2026</t>
  </si>
  <si>
    <t>12/17/1999</t>
  </si>
  <si>
    <t>OKCountyRecords official index, Roger Mills County (instrument 1999-005936); searched 06/11/2026</t>
  </si>
  <si>
    <t>12/22/1999</t>
  </si>
  <si>
    <t>OKCountyRecords official index, Roger Mills County (instrument 1999-006000); searched 06/11/2026</t>
  </si>
  <si>
    <t>01/07/2000</t>
  </si>
  <si>
    <t>OKCountyRecords official index, Roger Mills County (instrument 2000-006217); searched 06/11/2026</t>
  </si>
  <si>
    <t>01/20/2000</t>
  </si>
  <si>
    <t>OKCountyRecords official index, Roger Mills County (instrument 2000-006360); searched 06/11/2026</t>
  </si>
  <si>
    <t>01/21/2000</t>
  </si>
  <si>
    <t>OKCountyRecords official index, Roger Mills County (instrument 2000-006371); searched 06/11/2026</t>
  </si>
  <si>
    <t>01/24/2000</t>
  </si>
  <si>
    <t>OKCountyRecords official index, Roger Mills County (instrument 2000-006403); searched 06/11/2026</t>
  </si>
  <si>
    <t>01/26/2000</t>
  </si>
  <si>
    <t>OKCountyRecords official index, Roger Mills County (instrument 2000-006447); searched 06/11/2026</t>
  </si>
  <si>
    <t>02/02/2000</t>
  </si>
  <si>
    <t>OKCountyRecords official index, Roger Mills County (instrument 2000-006544); searched 06/11/2026</t>
  </si>
  <si>
    <t>OKCountyRecords official index, Roger Mills County (instrument 2000-006545); searched 06/11/2026</t>
  </si>
  <si>
    <t>02/08/2000</t>
  </si>
  <si>
    <t>OKCountyRecords official index, Roger Mills County (instrument 2000-006657); searched 06/11/2026</t>
  </si>
  <si>
    <t>Jon T. Williams, Trustee,
Rogene E. Williams, Trustee</t>
  </si>
  <si>
    <t>OKCountyRecords official index, Roger Mills County (instrument 2000-006661); searched 06/11/2026</t>
  </si>
  <si>
    <t>OKCountyRecords official index, Roger Mills County (instrument 2000-006662); searched 06/11/2026</t>
  </si>
  <si>
    <t>02/09/2000</t>
  </si>
  <si>
    <t>NE/4 SW/4, Lots 3 of 31-12N-24W</t>
  </si>
  <si>
    <t>OKCountyRecords official index, Roger Mills County (instrument 2000-006686); searched 06/11/2026</t>
  </si>
  <si>
    <t>NE/4 SW/4, SE/4 SW/4, Lots 3 of 31-12N-24W</t>
  </si>
  <si>
    <t>OKCountyRecords official index, Roger Mills County (instrument 2000-006688); searched 06/11/2026</t>
  </si>
  <si>
    <t>NE/4 SW/4, S/2 NE/4, Lots 3 of 31-12N-24W</t>
  </si>
  <si>
    <t>OKCountyRecords official index, Roger Mills County (instrument 2000-006692); searched 06/11/2026</t>
  </si>
  <si>
    <t>OKCountyRecords official index, Roger Mills County (instrument 2000-006696); searched 06/11/2026</t>
  </si>
  <si>
    <t>OKCountyRecords official index, Roger Mills County (instrument 2000-006710); searched 06/11/2026</t>
  </si>
  <si>
    <t>OKCountyRecords official index, Roger Mills County (instrument 2000-006711); searched 06/11/2026</t>
  </si>
  <si>
    <t>OKCountyRecords official index, Roger Mills County (instrument 2000-006712); searched 06/11/2026</t>
  </si>
  <si>
    <t>02/10/2000</t>
  </si>
  <si>
    <t>OKCountyRecords official index, Roger Mills County (instrument 2000-006716); searched 06/11/2026</t>
  </si>
  <si>
    <t>02/16/2000</t>
  </si>
  <si>
    <t>OKCountyRecords official index, Roger Mills County (instrument 2000-006763); searched 06/11/2026</t>
  </si>
  <si>
    <t>Proof Of Death</t>
  </si>
  <si>
    <t>1604/0455</t>
  </si>
  <si>
    <t>OKCountyRecords official index, Roger Mills County (instrument 2000-006764); searched 06/11/2026</t>
  </si>
  <si>
    <t>03/01/2000</t>
  </si>
  <si>
    <t>OKCountyRecords official index, Roger Mills County (instrument 2000-006917); searched 06/11/2026</t>
  </si>
  <si>
    <t>OKCountyRecords official index, Roger Mills County (instrument 2000-006918); searched 06/11/2026</t>
  </si>
  <si>
    <t>03/08/2000</t>
  </si>
  <si>
    <t>N/2, Lots 1, 3 of 31-12N-24W</t>
  </si>
  <si>
    <t>OKCountyRecords official index, Roger Mills County (instrument 2000-006984); searched 06/11/2026</t>
  </si>
  <si>
    <t>E/2 NW/4, E/2 SW/4, N/2 NE/4, NE/4 NE/4, S/2, SE/4 NE/4, Lots 3, 4 of 31-12N-24W</t>
  </si>
  <si>
    <t>OKCountyRecords official index, Roger Mills County (instrument 2000-006985); searched 06/11/2026</t>
  </si>
  <si>
    <t>OKCountyRecords official index, Roger Mills County (instrument 2000-006986); searched 06/11/2026</t>
  </si>
  <si>
    <t>03/15/2000</t>
  </si>
  <si>
    <t>OKCountyRecords official index, Roger Mills County (instrument 1994-007065); searched 06/11/2026</t>
  </si>
  <si>
    <t>03/27/2000</t>
  </si>
  <si>
    <t>S/2, S/2 NE/4 SW/4, SE/4 SW/4, Lots 3, 4 of 31-12N-24W</t>
  </si>
  <si>
    <t>OKCountyRecords official index, Roger Mills County (instrument 1994-007204); searched 06/11/2026</t>
  </si>
  <si>
    <t>03/28/2000</t>
  </si>
  <si>
    <t>E/2 NW/4, E/2 SW/4, N/2 NE/4, NE/4 SE/4, SE/4 NE/4, Lots 3 of 31-12N-24W</t>
  </si>
  <si>
    <t>OKCountyRecords official index, Roger Mills County (instrument 1994-007244); searched 06/11/2026</t>
  </si>
  <si>
    <t>OKCountyRecords official index, Roger Mills County (instrument 1994-007245); searched 06/11/2026</t>
  </si>
  <si>
    <t>03/31/2000</t>
  </si>
  <si>
    <t>OKCountyRecords official index, Roger Mills County (instrument 2000-007332); searched 06/11/2026</t>
  </si>
  <si>
    <t>04/05/2000</t>
  </si>
  <si>
    <t>OKCountyRecords official index, Roger Mills County (instrument 2000-007383); searched 06/11/2026</t>
  </si>
  <si>
    <t>04/07/2000</t>
  </si>
  <si>
    <t>OKCountyRecords official index, Roger Mills County (instrument 2000-007411); searched 06/11/2026</t>
  </si>
  <si>
    <t>1611/0352</t>
  </si>
  <si>
    <t>04/27/2000</t>
  </si>
  <si>
    <t>OKCountyRecords official index, Roger Mills County (instrument 2000-007634); searched 06/11/2026</t>
  </si>
  <si>
    <t>05/01/2000</t>
  </si>
  <si>
    <t>OKCountyRecords official index, Roger Mills County (instrument 2000-007685); searched 06/11/2026</t>
  </si>
  <si>
    <t>05/25/2000</t>
  </si>
  <si>
    <t>OKCountyRecords official index, Roger Mills County (instrument 2000-008063); searched 06/11/2026</t>
  </si>
  <si>
    <t>1614/0323</t>
  </si>
  <si>
    <t>06/02/2000</t>
  </si>
  <si>
    <t>SE/4 SE/4, SW/4 NE/4, W/2 SE/4 of 31-12N-24W (AOL)</t>
  </si>
  <si>
    <t>OKCountyRecords official index, Roger Mills County (instrument 2000-008159); searched 06/11/2026</t>
  </si>
  <si>
    <t>1617/0295</t>
  </si>
  <si>
    <t>07/10/2000</t>
  </si>
  <si>
    <t>OKCountyRecords official index, Roger Mills County (instrument 2000-008764); searched 06/11/2026</t>
  </si>
  <si>
    <t>10/16/2000</t>
  </si>
  <si>
    <t>OKCountyRecords official index, Roger Mills County (instrument 2000-010180); searched 06/11/2026</t>
  </si>
  <si>
    <t>10/30/2000</t>
  </si>
  <si>
    <t>OKCountyRecords official index, Roger Mills County (instrument 2000-010382); searched 06/11/2026</t>
  </si>
  <si>
    <t>12/06/2000</t>
  </si>
  <si>
    <t>OKCountyRecords official index, Roger Mills County (instrument 2000-010908); searched 06/11/2026</t>
  </si>
  <si>
    <t>OKCountyRecords official index, Roger Mills County (instrument 2000-010909); searched 06/11/2026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</si>
  <si>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</si>
  <si>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</si>
  <si>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</si>
  <si>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</si>
  <si>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</si>
  <si>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</si>
  <si>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</si>
  <si>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</si>
  <si>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OKCountyRecords official index, Roger Mills County (instrument 2001-000619); searched 06/11/2026</t>
  </si>
  <si>
    <t>03/06/2001</t>
  </si>
  <si>
    <t>OKCountyRecords official index, Roger Mills County (instrument 2001-000921); searched 06/11/2026</t>
  </si>
  <si>
    <t>OKCountyRecords official index, Roger Mills County (instrument 2001-000926); searched 06/11/2026</t>
  </si>
  <si>
    <t>OKCountyRecords official index, Roger Mills County (instrument 2001-000927); searched 06/11/2026</t>
  </si>
  <si>
    <t>03/07/2001</t>
  </si>
  <si>
    <t>OKCountyRecords official index, Roger Mills County (instrument 2001-000957); searched 06/11/2026</t>
  </si>
  <si>
    <t>1637/0471</t>
  </si>
  <si>
    <t>03/19/2001</t>
  </si>
  <si>
    <t>OKCountyRecords official index, Roger Mills County (instrument 2001-001091); searched 06/11/2026</t>
  </si>
  <si>
    <t>OKCountyRecords official index, Roger Mills County (instrument 2001-001092); searched 06/11/2026</t>
  </si>
  <si>
    <t>04/04/2001</t>
  </si>
  <si>
    <t>OKCountyRecords official index, Roger Mills County (instrument 2001-001357); searched 06/11/2026</t>
  </si>
  <si>
    <t>OKCountyRecords official index, Roger Mills County (instrument 2001-001358); searched 06/11/2026</t>
  </si>
  <si>
    <t>OKCountyRecords official index, Roger Mills County (instrument 2001-001359); searched 06/11/2026</t>
  </si>
  <si>
    <t>OKCountyRecords official index, Roger Mills County (instrument 2001-001360); searched 06/11/2026</t>
  </si>
  <si>
    <t>OKCountyRecords official index, Roger Mills County (instrument 2001-001361); searched 06/11/2026</t>
  </si>
  <si>
    <t>OKCountyRecords official index, Roger Mills County (instrument 2001-001362); searched 06/11/2026</t>
  </si>
  <si>
    <t>OKCountyRecords official index, Roger Mills County (instrument 2001-001363); searched 06/11/2026</t>
  </si>
  <si>
    <t>OKCountyRecords official index, Roger Mills County (instrument 2001-001364); searched 06/11/2026</t>
  </si>
  <si>
    <t>OKCountyRecords official index, Roger Mills County (instrument 2001-001365); searched 06/11/2026</t>
  </si>
  <si>
    <t>OKCountyRecords official index, Roger Mills County (instrument 2001-001366); searched 06/11/2026</t>
  </si>
  <si>
    <t>04/06/2001</t>
  </si>
  <si>
    <t>OKCountyRecords official index, Roger Mills County (instrument 2001-001414); searched 06/11/2026</t>
  </si>
  <si>
    <t>04/10/2001</t>
  </si>
  <si>
    <t>OKCountyRecords official index, Roger Mills County (instrument 2001-001463); searched 06/11/2026</t>
  </si>
  <si>
    <t>1641/0027</t>
  </si>
  <si>
    <t>04/24/2001</t>
  </si>
  <si>
    <t>OKCountyRecords official index, Roger Mills County (instrument 2001-001728); searched 06/11/2026</t>
  </si>
  <si>
    <t>1641/0028</t>
  </si>
  <si>
    <t>OKCountyRecords official index, Roger Mills County (instrument 2001-001729); searched 06/11/2026</t>
  </si>
  <si>
    <t>1641/0029</t>
  </si>
  <si>
    <t>OKCountyRecords official index, Roger Mills County (instrument 2001-001730); searched 06/11/2026</t>
  </si>
  <si>
    <t>OKCountyRecords official index, Roger Mills County (instrument 2001-001731); searched 06/11/2026</t>
  </si>
  <si>
    <t>1641/0031</t>
  </si>
  <si>
    <t>OKCountyRecords official index, Roger Mills County (instrument 2001-001732); searched 06/11/2026</t>
  </si>
  <si>
    <t>05/08/2001</t>
  </si>
  <si>
    <t>OKCountyRecords official index, Roger Mills County (instrument 2001-002014); searched 06/11/2026</t>
  </si>
  <si>
    <t>OKCountyRecords official index, Roger Mills County (instrument 2001-002015); searched 06/11/2026</t>
  </si>
  <si>
    <t>OKCountyRecords official index, Roger Mills County (instrument 2001-002016); searched 06/11/2026</t>
  </si>
  <si>
    <t>05/18/2001</t>
  </si>
  <si>
    <t>OKCountyRecords official index, Roger Mills County (instrument 2001-002190); searched 06/11/2026</t>
  </si>
  <si>
    <t>05/23/2001</t>
  </si>
  <si>
    <t>OKCountyRecords official index, Roger Mills County (instrument 2001-002342); searched 06/11/2026</t>
  </si>
  <si>
    <t>1643/0421</t>
  </si>
  <si>
    <t>OKCountyRecords official index, Roger Mills County (instrument 2001-002353); searched 06/11/2026</t>
  </si>
  <si>
    <t>1643/0422</t>
  </si>
  <si>
    <t>OKCountyRecords official index, Roger Mills County (instrument 2001-002354); searched 06/11/2026</t>
  </si>
  <si>
    <t>05/30/2001</t>
  </si>
  <si>
    <t>OKCountyRecords official index, Roger Mills County (instrument 2001-002496); searched 06/11/2026</t>
  </si>
  <si>
    <t>1676/0140</t>
  </si>
  <si>
    <t>04/22/2002</t>
  </si>
  <si>
    <t>Duncan, Walter Oil</t>
  </si>
  <si>
    <t>NE/4 of 31-12N-24W (AOL)</t>
  </si>
  <si>
    <t>OKCountyRecords official index, Roger Mills County (instrument 2002-001685); searched 06/11/2026</t>
  </si>
  <si>
    <t>04/26/2002</t>
  </si>
  <si>
    <t>OKCountyRecords official index, Roger Mills County (instrument 2002-001764); searched 06/11/2026</t>
  </si>
  <si>
    <t>Paul A. Prsnl Repres Albert</t>
  </si>
  <si>
    <t>OKCountyRecords official index, Roger Mills County (instrument 2002-001765); searched 06/11/2026</t>
  </si>
  <si>
    <t>05/13/2002</t>
  </si>
  <si>
    <t>OKCountyRecords official index, Roger Mills County (instrument 2002-001961); searched 06/11/2026</t>
  </si>
  <si>
    <t>1677/0515</t>
  </si>
  <si>
    <t>OKCountyRecords official index, Roger Mills County (instrument 2002-001962); searched 06/11/2026</t>
  </si>
  <si>
    <t>OKCountyRecords official index, Roger Mills County (instrument 2002-001963); searched 06/11/2026</t>
  </si>
  <si>
    <t>OKCountyRecords official index, Roger Mills County (instrument 2002-001970); searched 06/11/2026</t>
  </si>
  <si>
    <t>OKCountyRecords official index, Roger Mills County (instrument 2002-001971); searched 06/11/2026</t>
  </si>
  <si>
    <t>05/23/2002</t>
  </si>
  <si>
    <t>OKCountyRecords official index, Roger Mills County (instrument 2002-002104); searched 06/11/2026</t>
  </si>
  <si>
    <t>1680/0318</t>
  </si>
  <si>
    <t>05/31/2002</t>
  </si>
  <si>
    <t>OKCountyRecords official index, Roger Mills County (instrument 2002-002227); searched 06/11/2026</t>
  </si>
  <si>
    <t>06/03/2002</t>
  </si>
  <si>
    <t>OKCountyRecords official index, Roger Mills County (instrument 2002-002254); searched 06/11/2026</t>
  </si>
  <si>
    <t>06/17/2002</t>
  </si>
  <si>
    <t>OKCountyRecords official index, Roger Mills County (instrument 2002-002538); searched 06/11/2026</t>
  </si>
  <si>
    <t>06/26/2002</t>
  </si>
  <si>
    <t>OKCountyRecords official index, Roger Mills County (instrument 2002-002676); searched 06/11/2026</t>
  </si>
  <si>
    <t>07/17/2002</t>
  </si>
  <si>
    <t>OKCountyRecords official index, Roger Mills County (instrument 2002-002928); searched 06/11/2026</t>
  </si>
  <si>
    <t>08/16/2002</t>
  </si>
  <si>
    <t>William C. Bain Jr.,
Peggy, Atty in Fact Brawner</t>
  </si>
  <si>
    <t>OKCountyRecords official index, Roger Mills County (instrument 2002-003272); searched 06/11/2026</t>
  </si>
  <si>
    <t>09/04/2002</t>
  </si>
  <si>
    <t>OKCountyRecords official index, Roger Mills County (instrument 2002-003522); searched 06/11/2026</t>
  </si>
  <si>
    <t>09/06/2002</t>
  </si>
  <si>
    <t>OKCountyRecords official index, Roger Mills County (instrument 2002-003563); searched 06/11/2026</t>
  </si>
  <si>
    <t>09/26/2002</t>
  </si>
  <si>
    <t>OKCountyRecords official index, Roger Mills County (instrument 2002-003773); searched 06/11/2026</t>
  </si>
  <si>
    <t>OKCountyRecords official index, Roger Mills County (instrument 2002-003797); searched 06/11/2026</t>
  </si>
  <si>
    <t>OKCountyRecords official index, Roger Mills County (instrument 2002-003798); searched 06/11/2026</t>
  </si>
  <si>
    <t>OKCountyRecords official index, Roger Mills County (instrument 2002-003799); searched 06/11/2026</t>
  </si>
  <si>
    <t>OKCountyRecords official index, Roger Mills County (instrument 2002-003800); searched 06/11/2026</t>
  </si>
  <si>
    <t>OKCountyRecords official index, Roger Mills County (instrument 2002-003801); searched 06/11/2026</t>
  </si>
  <si>
    <t>OKCountyRecords official index, Roger Mills County (instrument 2002-003802); searched 06/11/2026</t>
  </si>
  <si>
    <t>11/13/2002</t>
  </si>
  <si>
    <t>OKCountyRecords official index, Roger Mills County (instrument 2002-004378); searched 06/11/2026</t>
  </si>
  <si>
    <t>12/02/2002</t>
  </si>
  <si>
    <t>OKCountyRecords official index, Roger Mills County (instrument 2002-004595); searched 06/11/2026</t>
  </si>
  <si>
    <t>1696/0550</t>
  </si>
  <si>
    <t>12/18/2002</t>
  </si>
  <si>
    <t>OKCountyRecords official index, Roger Mills County (instrument 2002-004832); searched 06/11/2026</t>
  </si>
  <si>
    <t>1706/0384</t>
  </si>
  <si>
    <t>04/04/2003</t>
  </si>
  <si>
    <t>OKCountyRecords official index, Roger Mills County (instrument 2003-001558); searched 06/11/2026</t>
  </si>
  <si>
    <t>1706/0386</t>
  </si>
  <si>
    <t>OKCountyRecords official index, Roger Mills County (instrument 2003-001559); searched 06/11/2026</t>
  </si>
  <si>
    <t>1707/0512</t>
  </si>
  <si>
    <t>04/21/2003</t>
  </si>
  <si>
    <t>E/2 NW/4, N/2 NE/4 SE/4, NE/4 SE/4, SE/4 NE/4 of 31-12N-24W (AOL)</t>
  </si>
  <si>
    <t>OKCountyRecords official index, Roger Mills County (instrument 2003-001781); searched 06/11/2026</t>
  </si>
  <si>
    <t>06/25/2003</t>
  </si>
  <si>
    <t>OKCountyRecords official index, Roger Mills County (instrument 2003-003131); searched 06/11/2026</t>
  </si>
  <si>
    <t>09/17/2003</t>
  </si>
  <si>
    <t>OKCountyRecords official index, Roger Mills County (instrument 2003-004685); searched 06/11/2026</t>
  </si>
  <si>
    <t>10/03/2003</t>
  </si>
  <si>
    <t>OKCountyRecords official index, Roger Mills County (instrument 2003-004945); searched 06/11/2026</t>
  </si>
  <si>
    <t>11/12/2003</t>
  </si>
  <si>
    <t>E/2 NW/4, SE/4 NE/4 of 31-12N-24W (AOL)</t>
  </si>
  <si>
    <t>OKCountyRecords official index, Roger Mills County (instrument 2003-005699); searched 06/11/2026</t>
  </si>
  <si>
    <t>1730/0442</t>
  </si>
  <si>
    <t>12/02/2003</t>
  </si>
  <si>
    <t>OKCountyRecords official index, Roger Mills County (instrument 2003-006068); searched 06/11/2026</t>
  </si>
  <si>
    <t>1730/0443</t>
  </si>
  <si>
    <t>OKCountyRecords official index, Roger Mills County (instrument 2003-006069); searched 06/11/2026</t>
  </si>
  <si>
    <t>1730/0444</t>
  </si>
  <si>
    <t>OKCountyRecords official index, Roger Mills County (instrument 2003-006070); searched 06/11/2026</t>
  </si>
  <si>
    <t>01/08/2004</t>
  </si>
  <si>
    <t>OKCountyRecords official index, Roger Mills County (instrument 2004-000099); searched 06/11/2026</t>
  </si>
  <si>
    <t>01/22/2004</t>
  </si>
  <si>
    <t>OKCountyRecords official index, Roger Mills County (instrument 2004-000364); searched 06/11/2026</t>
  </si>
  <si>
    <t>02/03/2004</t>
  </si>
  <si>
    <t>OKCountyRecords official index, Roger Mills County (instrument 2004-000579); searched 06/11/2026</t>
  </si>
  <si>
    <t>OKCountyRecords official index, Roger Mills County (instrument 2004-000580); searched 06/11/2026</t>
  </si>
  <si>
    <t>S/2 NE/4 SW/4, SE/4 SW/4, Lots 3, 4 of 31-12N-24W</t>
  </si>
  <si>
    <t>OKCountyRecords official index, Roger Mills County (instrument 2004-000581); searched 06/11/2026</t>
  </si>
  <si>
    <t>OKCountyRecords official index, Roger Mills County (instrument 2004-000582); searched 06/11/2026</t>
  </si>
  <si>
    <t>02/10/2004</t>
  </si>
  <si>
    <t>OKCountyRecords official index, Roger Mills County (instrument 2004-000679); searched 06/11/2026</t>
  </si>
  <si>
    <t>OKCountyRecords official index, Roger Mills County (instrument 2004-000685); searched 06/11/2026</t>
  </si>
  <si>
    <t>OKCountyRecords official index, Roger Mills County (instrument 2004-000690); searched 06/11/2026</t>
  </si>
  <si>
    <t>1736/0498</t>
  </si>
  <si>
    <t>OKCountyRecords official index, Roger Mills County (instrument 2004-000691); searched 06/11/2026</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</si>
  <si>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</si>
  <si>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</si>
  <si>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</si>
  <si>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</si>
  <si>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OKCountyRecords official index, Roger Mills County (instrument 2004-000723); searched 06/11/2026</t>
  </si>
  <si>
    <t>OKCountyRecords official index, Roger Mills County (instrument 2004-000724); searched 06/11/2026</t>
  </si>
  <si>
    <t>OKCountyRecords official index, Roger Mills County (instrument 2004-000725); searched 06/11/2026</t>
  </si>
  <si>
    <t>OKCountyRecords official index, Roger Mills County (instrument 2004-000726); searched 06/11/2026</t>
  </si>
  <si>
    <t>OKCountyRecords official index, Roger Mills County (instrument 2004-000727); searched 06/11/2026</t>
  </si>
  <si>
    <t>OKCountyRecords official index, Roger Mills County (instrument 2004-000720); searched 06/11/2026</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</si>
  <si>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</si>
  <si>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</si>
  <si>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</si>
  <si>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</si>
  <si>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</si>
  <si>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</si>
  <si>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</si>
  <si>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</si>
  <si>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</si>
  <si>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</si>
  <si>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</si>
  <si>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</si>
  <si>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</si>
  <si>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</si>
  <si>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</si>
  <si>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</si>
  <si>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</si>
  <si>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</si>
  <si>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</si>
  <si>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</si>
  <si>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</si>
  <si>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</si>
  <si>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</si>
  <si>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</si>
  <si>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</si>
  <si>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</si>
  <si>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</si>
  <si>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</si>
  <si>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Lots 1, 3 of 31-12N-24W</t>
  </si>
  <si>
    <t>OKCountyRecords official index, Roger Mills County (instrument 2004-003392); searched 06/11/2026</t>
  </si>
  <si>
    <t>10/12/2004</t>
  </si>
  <si>
    <t>OKCountyRecords official index, Roger Mills County (instrument 2004-005686); searched 06/11/2026</t>
  </si>
  <si>
    <t>OKCountyRecords official index, Roger Mills County (instrument 2004-005687); searched 06/11/2026</t>
  </si>
  <si>
    <t>OKCountyRecords official index, Roger Mills County (instrument 2004-005689); searched 06/11/2026</t>
  </si>
  <si>
    <t>1764/0133</t>
  </si>
  <si>
    <t>OKCountyRecords official index, Roger Mills County (instrument 2004-005692); searched 06/11/2026</t>
  </si>
  <si>
    <t>10/14/2004</t>
  </si>
  <si>
    <t>OKCountyRecords official index, Roger Mills County (instrument 2004-005738); searched 06/11/2026</t>
  </si>
  <si>
    <t>OKCountyRecords official index, Roger Mills County (instrument 2004-005739); searched 06/11/2026</t>
  </si>
  <si>
    <t>10/21/2004</t>
  </si>
  <si>
    <t>OKCountyRecords official index, Roger Mills County (instrument 2004-005901); searched 06/11/2026</t>
  </si>
  <si>
    <t>11/17/2004</t>
  </si>
  <si>
    <t>W/2 NW/4, Lots 1, 3 of 31-12N-24W</t>
  </si>
  <si>
    <t>OKCountyRecords official index, Roger Mills County (instrument 2004-006577); searched 06/11/2026</t>
  </si>
  <si>
    <t>01/13/2005</t>
  </si>
  <si>
    <t>OKCountyRecords official index, Roger Mills County (instrument 2005-000158); searched 06/11/2026</t>
  </si>
  <si>
    <t>01/24/2005</t>
  </si>
  <si>
    <t>NW/4 SE/4, S/2 SE/4, SW/4 NE/4, Lots 1 of 31-12N-24W (AOL)</t>
  </si>
  <si>
    <t>OKCountyRecords official index, Roger Mills County (instrument 2005-000347); searched 06/11/2026</t>
  </si>
  <si>
    <t>03/09/2005</t>
  </si>
  <si>
    <t>OKCountyRecords official index, Roger Mills County (instrument 2005-001365); searched 06/11/2026</t>
  </si>
  <si>
    <t>03/15/2005</t>
  </si>
  <si>
    <t>OKCountyRecords official index, Roger Mills County (instrument 2005-001515); searched 06/11/2026</t>
  </si>
  <si>
    <t>03/21/2005</t>
  </si>
  <si>
    <t>OKCountyRecords official index, Roger Mills County (instrument 2005-001688); searched 06/11/2026</t>
  </si>
  <si>
    <t>OKCountyRecords official index, Roger Mills County (instrument 2005-001690); searched 06/11/2026</t>
  </si>
  <si>
    <t>1783/0099</t>
  </si>
  <si>
    <t>03/29/2005</t>
  </si>
  <si>
    <t>OKCountyRecords official index, Roger Mills County (instrument 2005-001839); searched 06/11/2026</t>
  </si>
  <si>
    <t>04/04/2005</t>
  </si>
  <si>
    <t>OKCountyRecords official index, Roger Mills County (instrument 2005-001909); searched 06/11/2026</t>
  </si>
  <si>
    <t>04/13/2005</t>
  </si>
  <si>
    <t>W/2 NW/4, Lots 1 of 31-12N-24W</t>
  </si>
  <si>
    <t>OKCountyRecords official index, Roger Mills County (instrument 2005-002196); searched 06/11/2026</t>
  </si>
  <si>
    <t>04/15/2005</t>
  </si>
  <si>
    <t>OKCountyRecords official index, Roger Mills County (instrument 2005-002326); searched 06/11/2026</t>
  </si>
  <si>
    <t>OKCountyRecords official index, Roger Mills County (instrument 2005-002327); searched 06/11/2026</t>
  </si>
  <si>
    <t>OKCountyRecords official index, Roger Mills County (instrument 2005-002328); searched 06/11/2026</t>
  </si>
  <si>
    <t>04/20/2005</t>
  </si>
  <si>
    <t>OKCountyRecords official index, Roger Mills County (instrument 2005-002552); searched 06/11/2026</t>
  </si>
  <si>
    <t>04/22/2005</t>
  </si>
  <si>
    <t>OKCountyRecords official index, Roger Mills County (instrument 2005-002646); searched 06/11/2026</t>
  </si>
  <si>
    <t>05/02/2005</t>
  </si>
  <si>
    <t>OKCountyRecords official index, Roger Mills County (instrument 2005-002831); searched 06/11/2026</t>
  </si>
  <si>
    <t>05/18/2005</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</si>
  <si>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</si>
  <si>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</si>
  <si>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</si>
  <si>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</si>
  <si>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</si>
  <si>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</si>
  <si>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</si>
  <si>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06/08/2005</t>
  </si>
  <si>
    <t>OKCountyRecords official index, Roger Mills County (instrument 2005-003939); searched 06/11/2026</t>
  </si>
  <si>
    <t>OKCountyRecords official index, Roger Mills County (instrument 2005-003940); searched 06/11/2026</t>
  </si>
  <si>
    <t>06/14/2005</t>
  </si>
  <si>
    <t>OKCountyRecords official index, Roger Mills County (instrument 2005-004044); searched 06/11/2026</t>
  </si>
  <si>
    <t>07/08/2005</t>
  </si>
  <si>
    <t>OKCountyRecords official index, Roger Mills County (instrument 2005-004681); searched 06/11/2026</t>
  </si>
  <si>
    <t>07/15/2005</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</si>
  <si>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</si>
  <si>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</si>
  <si>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</si>
  <si>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</si>
  <si>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</si>
  <si>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</si>
  <si>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OKCountyRecords official index, Roger Mills County (instrument 2005-004817); searched 06/11/2026</t>
  </si>
  <si>
    <t>OKCountyRecords official index, Roger Mills County (instrument 2005-004818); searched 06/11/2026</t>
  </si>
  <si>
    <t>07/19/2005</t>
  </si>
  <si>
    <t>OKCountyRecords official index, Roger Mills County (instrument 2005-004863); searched 06/11/2026</t>
  </si>
  <si>
    <t>07/21/2005</t>
  </si>
  <si>
    <t>OKCountyRecords official index, Roger Mills County (instrument 2005-004938); searched 06/11/2026</t>
  </si>
  <si>
    <t>OKCountyRecords official index, Roger Mills County (instrument 2005-004939); searched 06/11/2026</t>
  </si>
  <si>
    <t>OKCountyRecords official index, Roger Mills County (instrument 2005-004940); searched 06/11/2026</t>
  </si>
  <si>
    <t>OKCountyRecords official index, Roger Mills County (instrument 2005-004941); searched 06/11/2026</t>
  </si>
  <si>
    <t>07/22/2005</t>
  </si>
  <si>
    <t>OKCountyRecords official index, Roger Mills County (instrument 2005-004951); searched 06/11/2026</t>
  </si>
  <si>
    <t>08/09/2005</t>
  </si>
  <si>
    <t>OKCountyRecords official index, Roger Mills County (instrument 2005-005251); searched 06/11/2026</t>
  </si>
  <si>
    <t>1802/0107</t>
  </si>
  <si>
    <t>08/15/2005</t>
  </si>
  <si>
    <t>OKCountyRecords official index, Roger Mills County (instrument 2005-005406); searched 06/11/2026</t>
  </si>
  <si>
    <t>1809/0264</t>
  </si>
  <si>
    <t>10/07/2005</t>
  </si>
  <si>
    <t>OKCountyRecords official index, Roger Mills County (instrument 2005-006992); searched 06/11/2026</t>
  </si>
  <si>
    <t>10/17/2005</t>
  </si>
  <si>
    <t>OKCountyRecords official index, Roger Mills County (instrument 2005-007116); searched 06/11/2026</t>
  </si>
  <si>
    <t>OKCountyRecords official index, Roger Mills County (instrument 2005-007117); searched 06/11/2026</t>
  </si>
  <si>
    <t>OKCountyRecords official index, Roger Mills County (instrument 2005-007119); searched 06/11/2026</t>
  </si>
  <si>
    <t>OKCountyRecords official index, Roger Mills County (instrument 2005-007120); searched 06/11/2026</t>
  </si>
  <si>
    <t>10/19/2005</t>
  </si>
  <si>
    <t>OKCountyRecords official index, Roger Mills County (instrument 2005-007202); searched 06/11/2026</t>
  </si>
  <si>
    <t>11/02/2005</t>
  </si>
  <si>
    <t>OKCountyRecords official index, Roger Mills County (instrument 2005-007540); searched 06/11/2026</t>
  </si>
  <si>
    <t>OKCountyRecords official index, Roger Mills County (instrument 2005-007541); searched 06/11/2026</t>
  </si>
  <si>
    <t>OKCountyRecords official index, Roger Mills County (instrument 2005-007551); searched 06/11/2026</t>
  </si>
  <si>
    <t>1815/0247</t>
  </si>
  <si>
    <t>12/06/2005</t>
  </si>
  <si>
    <t>OKCountyRecords official index, Roger Mills County (instrument 2005-008247); searched 06/11/2026</t>
  </si>
  <si>
    <t>12/09/2005</t>
  </si>
  <si>
    <t>N/2 NE/4 of 31-12N-24W (AOL)</t>
  </si>
  <si>
    <t>OKCountyRecords official index, Roger Mills County (instrument 2005-008386); searched 06/11/2026</t>
  </si>
  <si>
    <t>12/15/2005</t>
  </si>
  <si>
    <t>OKCountyRecords official index, Roger Mills County (instrument 2005-008515); searched 06/11/2026</t>
  </si>
  <si>
    <t>OKCountyRecords official index, Roger Mills County (instrument 2005-008517); searched 06/11/2026</t>
  </si>
  <si>
    <t>S/2 N/2 SW/4, SE/4 SW/4, Lots 3 of 31-12N-24W</t>
  </si>
  <si>
    <t>OKCountyRecords official index, Roger Mills County (instrument 2005-008522); searched 06/11/2026</t>
  </si>
  <si>
    <t>OKCountyRecords official index, Roger Mills County (instrument 2005-008523); searched 06/11/2026</t>
  </si>
  <si>
    <t>OKCountyRecords official index, Roger Mills County (instrument 2005-008528); searched 06/11/2026</t>
  </si>
  <si>
    <t>OKCountyRecords official index, Roger Mills County (instrument 2005-008530); searched 06/11/2026</t>
  </si>
  <si>
    <t>12/23/2005</t>
  </si>
  <si>
    <t>OKCountyRecords official index, Roger Mills County (instrument 2005-008721); searched 06/11/2026</t>
  </si>
  <si>
    <t>OKCountyRecords official index, Roger Mills County (instrument 2005-008722); searched 06/11/2026</t>
  </si>
  <si>
    <t>1819/0154</t>
  </si>
  <si>
    <t>01/10/2006</t>
  </si>
  <si>
    <t>OKCountyRecords official index, Roger Mills County (instrument 2006-000151); searched 06/11/2026</t>
  </si>
  <si>
    <t>1819/0156</t>
  </si>
  <si>
    <t>OKCountyRecords official index, Roger Mills County (instrument 2006-000153); searched 06/11/2026</t>
  </si>
  <si>
    <t>1819/0157</t>
  </si>
  <si>
    <t>OKCountyRecords official index, Roger Mills County (instrument 2006-000154); searched 06/11/2026</t>
  </si>
  <si>
    <t>01/16/2006</t>
  </si>
  <si>
    <t>OKCountyRecords official index, Roger Mills County (instrument 2006-000321); searched 06/11/2026</t>
  </si>
  <si>
    <t>01/25/2006</t>
  </si>
  <si>
    <t>OKCountyRecords official index, Roger Mills County (instrument 2006-000583); searched 06/11/2026</t>
  </si>
  <si>
    <t>01/30/2006</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</si>
  <si>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</si>
  <si>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</si>
  <si>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</si>
  <si>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</si>
  <si>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</si>
  <si>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</si>
  <si>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</si>
  <si>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</si>
  <si>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</si>
  <si>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</si>
  <si>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</si>
  <si>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</si>
  <si>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</si>
  <si>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</si>
  <si>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</si>
  <si>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</si>
  <si>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</si>
  <si>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</si>
  <si>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02/06/2006</t>
  </si>
  <si>
    <t>OKCountyRecords official index, Roger Mills County (instrument 2006-000931); searched 06/11/2026</t>
  </si>
  <si>
    <t>OKCountyRecords official index, Roger Mills County (instrument 2006-000936); searched 06/11/2026</t>
  </si>
  <si>
    <t>OKCountyRecords official index, Roger Mills County (instrument 2006-000937); searched 06/11/2026</t>
  </si>
  <si>
    <t>OKCountyRecords official index, Roger Mills County (instrument 2006-000938); searched 06/11/2026</t>
  </si>
  <si>
    <t>OKCountyRecords official index, Roger Mills County (instrument 2006-000939); searched 06/11/2026</t>
  </si>
  <si>
    <t>02/14/2006</t>
  </si>
  <si>
    <t>OKCountyRecords official index, Roger Mills County (instrument 2006-001223); searched 06/11/2026</t>
  </si>
  <si>
    <t>1825/0037</t>
  </si>
  <si>
    <t>02/17/2006</t>
  </si>
  <si>
    <t>OKCountyRecords official index, Roger Mills County (instrument 2006-001349); searched 06/11/2026</t>
  </si>
  <si>
    <t>03/09/2006</t>
  </si>
  <si>
    <t>OKCountyRecords official index, Roger Mills County (instrument 2006-001886); searched 06/11/2026</t>
  </si>
  <si>
    <t>1828/0302</t>
  </si>
  <si>
    <t>03/13/2006</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</si>
  <si>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</si>
  <si>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</si>
  <si>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</si>
  <si>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</si>
  <si>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</si>
  <si>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</si>
  <si>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</si>
  <si>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</si>
  <si>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</si>
  <si>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</si>
  <si>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</si>
  <si>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</si>
  <si>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</si>
  <si>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</si>
  <si>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</si>
  <si>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</si>
  <si>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04/03/2006</t>
  </si>
  <si>
    <t>OKCountyRecords official index, Roger Mills County (instrument 2006-002590); searched 06/11/2026</t>
  </si>
  <si>
    <t>1831/0481</t>
  </si>
  <si>
    <t>04/06/2006</t>
  </si>
  <si>
    <t>OKCountyRecords official index, Roger Mills County (instrument 2006-002685); searched 06/11/2026</t>
  </si>
  <si>
    <t>04/17/2006</t>
  </si>
  <si>
    <t>OKCountyRecords official index, Roger Mills County (instrument 2006-002915); searched 06/11/2026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</si>
  <si>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</si>
  <si>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</si>
  <si>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</si>
  <si>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</si>
  <si>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</si>
  <si>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</si>
  <si>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</si>
  <si>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OKCountyRecords official index, Roger Mills County (instrument 2006-003993); searched 06/11/2026</t>
  </si>
  <si>
    <t>1842/0453</t>
  </si>
  <si>
    <t>06/29/2006</t>
  </si>
  <si>
    <t>OKCountyRecords official index, Roger Mills County (instrument 2006-004747); searched 06/11/2026</t>
  </si>
  <si>
    <t>1844/0584</t>
  </si>
  <si>
    <t>07/13/2006</t>
  </si>
  <si>
    <t>OKCountyRecords official index, Roger Mills County (instrument 2006-005043); searched 06/11/2026</t>
  </si>
  <si>
    <t>1845/0128</t>
  </si>
  <si>
    <t>07/14/2006</t>
  </si>
  <si>
    <t>OKCountyRecords official index, Roger Mills County (instrument 2006-005081); searched 06/11/2026</t>
  </si>
  <si>
    <t>1845/0333</t>
  </si>
  <si>
    <t>07/17/2006</t>
  </si>
  <si>
    <t>OKCountyRecords official index, Roger Mills County (instrument 2006-005146); searched 06/11/2026</t>
  </si>
  <si>
    <t>1852/0008</t>
  </si>
  <si>
    <t>09/01/2006</t>
  </si>
  <si>
    <t>OKCountyRecords official index, Roger Mills County (instrument 2006-006122); searched 06/11/2026</t>
  </si>
  <si>
    <t>1853/0546</t>
  </si>
  <si>
    <t>09/22/2006</t>
  </si>
  <si>
    <t>OKCountyRecords official index, Roger Mills County (instrument 2006-006475); searched 06/11/2026</t>
  </si>
  <si>
    <t>1858/0052</t>
  </si>
  <si>
    <t>11/08/2006</t>
  </si>
  <si>
    <t>OKCountyRecords official index, Roger Mills County (instrument 2006-007198); searched 06/11/2026</t>
  </si>
  <si>
    <t>1864/0096</t>
  </si>
  <si>
    <t>01/22/2007</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</si>
  <si>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</si>
  <si>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</si>
  <si>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</si>
  <si>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</si>
  <si>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</si>
  <si>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</si>
  <si>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</si>
  <si>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</si>
  <si>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OKCountyRecords official index, Roger Mills County (instrument 2007-001310); searched 06/11/2026</t>
  </si>
  <si>
    <t>03/26/2007</t>
  </si>
  <si>
    <t>OKCountyRecords official index, Roger Mills County (instrument 2007-001374); searched 06/11/2026</t>
  </si>
  <si>
    <t>04/25/2007</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</si>
  <si>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</si>
  <si>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</si>
  <si>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</si>
  <si>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</si>
  <si>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</si>
  <si>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</si>
  <si>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</si>
  <si>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</si>
  <si>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</si>
  <si>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</si>
  <si>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</si>
  <si>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</si>
  <si>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</si>
  <si>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</si>
  <si>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</si>
  <si>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</si>
  <si>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</si>
  <si>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</si>
  <si>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</si>
  <si>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</si>
  <si>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11/14/2007</t>
  </si>
  <si>
    <t>OKCountyRecords official index, Roger Mills County (instrument 2007-005167); searched 06/11/2026</t>
  </si>
  <si>
    <t>06/13/2008</t>
  </si>
  <si>
    <t>OKCountyRecords official index, Roger Mills County (instrument 2008-003157); searched 06/11/2026</t>
  </si>
  <si>
    <t>07/23/2008</t>
  </si>
  <si>
    <t>OKCountyRecords official index, Roger Mills County (instrument 2008-004060); searched 06/11/2026</t>
  </si>
  <si>
    <t>10/27/2008</t>
  </si>
  <si>
    <t>NW/4 NW/4, Lots 1 of 31-12N-24W</t>
  </si>
  <si>
    <t>OKCountyRecords official index, Roger Mills County (instrument 2008-006536); searched 06/11/2026</t>
  </si>
  <si>
    <t>1940/0420</t>
  </si>
  <si>
    <t>11/18/2008</t>
  </si>
  <si>
    <t>OKCountyRecords official index, Roger Mills County (instrument 2008-007080); searched 06/11/2026</t>
  </si>
  <si>
    <t>12/01/2008</t>
  </si>
  <si>
    <t>Williams , Rogene E. Revocable Living Trust</t>
  </si>
  <si>
    <t>OKCountyRecords official index, Roger Mills County (instrument 2008-007325); searched 06/11/2026</t>
  </si>
  <si>
    <t>1945/0410</t>
  </si>
  <si>
    <t>01/15/2009</t>
  </si>
  <si>
    <t>OKCountyRecords official index, Roger Mills County (instrument 2009-000222); searched 06/11/2026</t>
  </si>
  <si>
    <t>1945/0594</t>
  </si>
  <si>
    <t>01/20/2009</t>
  </si>
  <si>
    <t>OKCountyRecords official index, Roger Mills County (instrument 2009-000272); searched 06/11/2026</t>
  </si>
  <si>
    <t>1945/0595</t>
  </si>
  <si>
    <t>OKCountyRecords official index, Roger Mills County (instrument 2009-000273); searched 06/11/2026</t>
  </si>
  <si>
    <t>1946/0513</t>
  </si>
  <si>
    <t>02/02/2009</t>
  </si>
  <si>
    <t>OKCountyRecords official index, Roger Mills County (instrument 2009-000477); searched 06/11/2026</t>
  </si>
  <si>
    <t>Affidavit Of Heirship</t>
  </si>
  <si>
    <t>1948/0262</t>
  </si>
  <si>
    <t>02/17/2009</t>
  </si>
  <si>
    <t>OKCountyRecords official index, Roger Mills County (instrument 2009-000702); searched 06/11/2026</t>
  </si>
  <si>
    <t>03/02/2009</t>
  </si>
  <si>
    <t>OKCountyRecords official index, Roger Mills County (instrument 2009-000895); searched 06/11/2026</t>
  </si>
  <si>
    <t>05/08/2009</t>
  </si>
  <si>
    <t>Fuchs, Donnaleta Rev Trust,
Donnaleta Fuchs, Trustee,
Fuchs, Y. C. Jr. Rev Trust,
Y. C. Fuchs Jr., Trustee</t>
  </si>
  <si>
    <t>E/2 W/2, Lots 1 of 31-12N-24W</t>
  </si>
  <si>
    <t>OKCountyRecords official index, Roger Mills County (instrument 2009-002005); searched 06/11/2026</t>
  </si>
  <si>
    <t>05/14/2009</t>
  </si>
  <si>
    <t>OKCountyRecords official index, Roger Mills County (instrument 2009-002096); searched 06/11/2026</t>
  </si>
  <si>
    <t>07/07/2009</t>
  </si>
  <si>
    <t>SE/4 SW/4, Lots 4 of 31-12N-24W</t>
  </si>
  <si>
    <t>OKCountyRecords official index, Roger Mills County (instrument 2009-002872); searched 06/11/2026</t>
  </si>
  <si>
    <t>07/17/2009</t>
  </si>
  <si>
    <t>Fuchs, Donnaletta Revoc Trust,
Donnaletta Fuchs, Trustee,
Fuchs, Y. C. Jr. Revoc Trust,
Y. C. Fuchs Jr., Trustee</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</si>
  <si>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</si>
  <si>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</si>
  <si>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</si>
  <si>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</si>
  <si>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</si>
  <si>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</si>
  <si>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</si>
  <si>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03/01/2010</t>
  </si>
  <si>
    <t>OKCountyRecords official index, Roger Mills County (instrument 2010-002337); searched 06/11/2026</t>
  </si>
  <si>
    <t>2019/0500</t>
  </si>
  <si>
    <t>05/17/2010</t>
  </si>
  <si>
    <t>OKCountyRecords official index, Roger Mills County (instrument 2010-005367); searched 06/11/2026</t>
  </si>
  <si>
    <t>06/07/2010</t>
  </si>
  <si>
    <t>OKCountyRecords official index, Roger Mills County (instrument 2010-005993); searched 06/11/2026</t>
  </si>
  <si>
    <t>2024/0074</t>
  </si>
  <si>
    <t>06/16/2010</t>
  </si>
  <si>
    <t>OKCountyRecords official index, Roger Mills County (instrument 2010-006265); searched 06/11/2026</t>
  </si>
  <si>
    <t>2024/0085</t>
  </si>
  <si>
    <t>OKCountyRecords official index, Roger Mills County (instrument 2010-006266); searched 06/11/2026</t>
  </si>
  <si>
    <t>2027/0085</t>
  </si>
  <si>
    <t>06/28/2010</t>
  </si>
  <si>
    <t>OKCountyRecords official index, Roger Mills County (instrument 2010-006561); searched 06/11/2026</t>
  </si>
  <si>
    <t>07/15/2010</t>
  </si>
  <si>
    <t>OKCountyRecords official index, Roger Mills County (instrument 2010-007125); searched 06/11/2026</t>
  </si>
  <si>
    <t>2036/0003</t>
  </si>
  <si>
    <t>08/13/2010</t>
  </si>
  <si>
    <t>OKCountyRecords official index, Roger Mills County (instrument 2010-007953); searched 06/11/2026</t>
  </si>
  <si>
    <t>09/17/2010</t>
  </si>
  <si>
    <t>OKCountyRecords official index, Roger Mills County (instrument 2010-008922); searched 06/11/2026</t>
  </si>
  <si>
    <t>09/20/2010</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</si>
  <si>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</si>
  <si>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</si>
  <si>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</si>
  <si>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</si>
  <si>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</si>
  <si>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</si>
  <si>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</si>
  <si>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02/18/2011</t>
  </si>
  <si>
    <t>OKCountyRecords official index, Roger Mills County (instrument 2011-001007); searched 06/11/2026</t>
  </si>
  <si>
    <t>OKCountyRecords official index, Roger Mills County (instrument 2011-001008); searched 06/11/2026</t>
  </si>
  <si>
    <t>OKCountyRecords official index, Roger Mills County (instrument 2011-001009); searched 06/11/2026</t>
  </si>
  <si>
    <t>05/02/2011</t>
  </si>
  <si>
    <t>Bryon A. Hetherington, Trustee,
Hetherington, Byron A. Trust</t>
  </si>
  <si>
    <t>OKCountyRecords official index, Roger Mills County (instrument 2011-003023); searched 06/11/2026</t>
  </si>
  <si>
    <t>2092/0134</t>
  </si>
  <si>
    <t>08/26/2011</t>
  </si>
  <si>
    <t>Daigle, Kei Lee Trust,
Daigle, Mark Ashley Trust,
Johnson, Kevin Warner Trust</t>
  </si>
  <si>
    <t>OKCountyRecords official index, Roger Mills County (instrument 2011-005695); searched 06/11/2026</t>
  </si>
  <si>
    <t>2093/0461</t>
  </si>
  <si>
    <t>09/07/2011</t>
  </si>
  <si>
    <t>OKCountyRecords official index, Roger Mills County (instrument 2011-005926); searched 06/11/2026</t>
  </si>
  <si>
    <t>11/22/2011</t>
  </si>
  <si>
    <t>OKCountyRecords official index, Roger Mills County (instrument 2011-007728); searched 06/11/2026</t>
  </si>
  <si>
    <t>OKCountyRecords official index, Roger Mills County (instrument 2011-007729); searched 06/11/2026</t>
  </si>
  <si>
    <t>2104/0234</t>
  </si>
  <si>
    <t>OKCountyRecords official index, Roger Mills County (instrument 2011-007727); searched 06/11/2026</t>
  </si>
  <si>
    <t>11/29/2011</t>
  </si>
  <si>
    <t>Lots 1, 3 of 31-12N-24W (AOL)</t>
  </si>
  <si>
    <t>OKCountyRecords official index, Roger Mills County (instrument 2011-007826); searched 06/11/2026</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</si>
  <si>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</si>
  <si>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</si>
  <si>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</si>
  <si>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</si>
  <si>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</si>
  <si>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</si>
  <si>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</si>
  <si>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</si>
  <si>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</si>
  <si>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</si>
  <si>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</si>
  <si>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</si>
  <si>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</si>
  <si>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</si>
  <si>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03/22/2012</t>
  </si>
  <si>
    <t>OKCountyRecords official index, Roger Mills County (instrument 2012-002191); searched 06/11/2026</t>
  </si>
  <si>
    <t>2129/0001</t>
  </si>
  <si>
    <t>04/03/2012</t>
  </si>
  <si>
    <t>OKCountyRecords official index, Roger Mills County (instrument 2012-002539); searched 06/11/2026</t>
  </si>
  <si>
    <t>04/16/2012</t>
  </si>
  <si>
    <t>OKCountyRecords official index, Roger Mills County (instrument 2012-002930); searched 06/11/2026</t>
  </si>
  <si>
    <t>06/01/2012</t>
  </si>
  <si>
    <t>OKCountyRecords official index, Roger Mills County (instrument 2012-004060); searched 06/11/2026</t>
  </si>
  <si>
    <t>2147/0239</t>
  </si>
  <si>
    <t>07/05/2012</t>
  </si>
  <si>
    <t>OKCountyRecords official index, Roger Mills County (instrument 2012-004836); searched 06/11/2026</t>
  </si>
  <si>
    <t>2148/0385</t>
  </si>
  <si>
    <t>07/16/2012</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</si>
  <si>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</si>
  <si>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</si>
  <si>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</si>
  <si>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</si>
  <si>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</si>
  <si>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</si>
  <si>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</si>
  <si>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</si>
  <si>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</si>
  <si>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</si>
  <si>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01/30/2013</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</si>
  <si>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</si>
  <si>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</si>
  <si>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</si>
  <si>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</si>
  <si>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</si>
  <si>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04/08/2013</t>
  </si>
  <si>
    <t>OKCountyRecords official index, Roger Mills County (instrument 2013-001724); searched 06/11/2026</t>
  </si>
  <si>
    <t>2193/0517</t>
  </si>
  <si>
    <t>05/28/2013</t>
  </si>
  <si>
    <t>OKCountyRecords official index, Roger Mills County (instrument 2013-002727); searched 06/11/2026</t>
  </si>
  <si>
    <t>2202/0378</t>
  </si>
  <si>
    <t>08/02/2013</t>
  </si>
  <si>
    <t>OKCountyRecords official index, Roger Mills County (instrument 2013-004038); searched 06/11/2026</t>
  </si>
  <si>
    <t>08/09/2013</t>
  </si>
  <si>
    <t>Lots 1 of 31-12N-24W (AOL)</t>
  </si>
  <si>
    <t>OKCountyRecords official index, Roger Mills County (instrument 2013-004163); searched 06/11/2026</t>
  </si>
  <si>
    <t>11/14/2013</t>
  </si>
  <si>
    <t>OKCountyRecords official index, Roger Mills County (instrument 2013-006083); searched 06/11/2026</t>
  </si>
  <si>
    <t>11/18/2013</t>
  </si>
  <si>
    <t>OKCountyRecords official index, Roger Mills County (instrument 2013-006129); searched 06/11/2026</t>
  </si>
  <si>
    <t>2220/0400</t>
  </si>
  <si>
    <t>11/21/2013</t>
  </si>
  <si>
    <t>OKCountyRecords official index, Roger Mills County (instrument 2013-006188); searched 06/11/2026</t>
  </si>
  <si>
    <t>12/11/2013</t>
  </si>
  <si>
    <t>OKCountyRecords official index, Roger Mills County (instrument 2013-006415); searched 06/11/2026</t>
  </si>
  <si>
    <t>2223/0305</t>
  </si>
  <si>
    <t>12/13/2013</t>
  </si>
  <si>
    <t>OKCountyRecords official index, Roger Mills County (instrument 2013-006501); searched 06/11/2026</t>
  </si>
  <si>
    <t>2223/0307</t>
  </si>
  <si>
    <t>OKCountyRecords official index, Roger Mills County (instrument 2013-006502); searched 06/11/2026</t>
  </si>
  <si>
    <t>2224/0378</t>
  </si>
  <si>
    <t>12/17/2013</t>
  </si>
  <si>
    <t>NW/4 SE/4, S/2 SE/4, SW/4 of 31-12N-24W (AOL)</t>
  </si>
  <si>
    <t>OKCountyRecords official index, Roger Mills County (instrument 2013-006584); searched 06/11/2026</t>
  </si>
  <si>
    <t>OKCountyRecords official index, Roger Mills County (instrument 2013-006585); searched 06/11/2026</t>
  </si>
  <si>
    <t>2224/0529</t>
  </si>
  <si>
    <t>12/23/2013</t>
  </si>
  <si>
    <t>OKCountyRecords official index, Roger Mills County (instrument 2013-006644); searched 06/11/2026</t>
  </si>
  <si>
    <t>2224/0535</t>
  </si>
  <si>
    <t>OKCountyRecords official index, Roger Mills County (instrument 2013-006645); searched 06/11/2026</t>
  </si>
  <si>
    <t>2247/0183</t>
  </si>
  <si>
    <t>04/17/2014</t>
  </si>
  <si>
    <t>OKCountyRecords official index, Roger Mills County (instrument 2014-002337); searched 06/11/2026</t>
  </si>
  <si>
    <t>05/07/2014</t>
  </si>
  <si>
    <t>OKCountyRecords official index, Roger Mills County (instrument 2014-002935); searched 06/11/2026</t>
  </si>
  <si>
    <t>05/15/2014</t>
  </si>
  <si>
    <t>OKCountyRecords official index, Roger Mills County (instrument 2014-003089); searched 06/11/2026</t>
  </si>
  <si>
    <t>07/01/2014</t>
  </si>
  <si>
    <t>OKCountyRecords official index, Roger Mills County (instrument 2014-004286); searched 06/11/2026</t>
  </si>
  <si>
    <t>07/14/2014</t>
  </si>
  <si>
    <t>OKCountyRecords official index, Roger Mills County (instrument 2014-004525); searched 06/11/2026</t>
  </si>
  <si>
    <t>2270/0252</t>
  </si>
  <si>
    <t>09/23/2014</t>
  </si>
  <si>
    <t>OKCountyRecords official index, Roger Mills County (instrument 2014-005899); searched 06/11/2026</t>
  </si>
  <si>
    <t>2270/0316</t>
  </si>
  <si>
    <t>09/25/2014</t>
  </si>
  <si>
    <t>OKCountyRecords official index, Roger Mills County (instrument 2014-005920); searched 06/11/2026</t>
  </si>
  <si>
    <t>10/15/2014</t>
  </si>
  <si>
    <t>E/2 NW/4, N/2 NE/4, NE/4 SE/4, SE/4 NE/4 of 31-12N-24W (AOL)</t>
  </si>
  <si>
    <t>OKCountyRecords official index, Roger Mills County (instrument 2014-006293); searched 06/11/2026</t>
  </si>
  <si>
    <t>2273/0539</t>
  </si>
  <si>
    <t>10/20/2014</t>
  </si>
  <si>
    <t>OKCountyRecords official index, Roger Mills County (instrument 2014-006352); searched 06/11/2026</t>
  </si>
  <si>
    <t>2282/0234</t>
  </si>
  <si>
    <t>01/07/2015</t>
  </si>
  <si>
    <t>Linn Energy Holdings Et Al.</t>
  </si>
  <si>
    <t>OKCountyRecords official index, Roger Mills County (instrument 2015-000058); searched 06/11/2026</t>
  </si>
  <si>
    <t>03/05/2015</t>
  </si>
  <si>
    <t>OKCountyRecords official index, Roger Mills County (instrument 2015-000877); searched 06/11/2026</t>
  </si>
  <si>
    <t>2294/0047</t>
  </si>
  <si>
    <t>04/21/2015</t>
  </si>
  <si>
    <t>OKCountyRecords official index, Roger Mills County (instrument 2015-001388); searched 06/11/2026</t>
  </si>
  <si>
    <t>2295/0372</t>
  </si>
  <si>
    <t>05/15/2015</t>
  </si>
  <si>
    <t>OKCountyRecords official index, Roger Mills County (instrument 2015-001661); searched 06/11/2026</t>
  </si>
  <si>
    <t>2297/0234</t>
  </si>
  <si>
    <t>06/15/2015</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</si>
  <si>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</si>
  <si>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</si>
  <si>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</si>
  <si>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</si>
  <si>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</si>
  <si>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</si>
  <si>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</si>
  <si>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</si>
  <si>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</si>
  <si>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</si>
  <si>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</si>
  <si>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</si>
  <si>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</si>
  <si>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</si>
  <si>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OKCountyRecords official index, Roger Mills County (instrument 2015-002749); searched 06/11/2026</t>
  </si>
  <si>
    <t>09/08/2015</t>
  </si>
  <si>
    <t>NW/4 SW/4, S/2 SE/4, SW/4 NE/4 of 31-12N-24W (AOL)</t>
  </si>
  <si>
    <t>OKCountyRecords official index, Roger Mills County (instrument 2015-002791); searched 06/11/2026</t>
  </si>
  <si>
    <t>2311/0333</t>
  </si>
  <si>
    <t>10/08/2015</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</si>
  <si>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</si>
  <si>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</si>
  <si>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</si>
  <si>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</si>
  <si>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</si>
  <si>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11/05/2015</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</si>
  <si>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</si>
  <si>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</si>
  <si>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</si>
  <si>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</si>
  <si>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</si>
  <si>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07/05/2016</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</si>
  <si>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</si>
  <si>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</si>
  <si>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</si>
  <si>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</si>
  <si>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</si>
  <si>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</si>
  <si>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</si>
  <si>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</si>
  <si>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</si>
  <si>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</si>
  <si>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09/18/2017</t>
  </si>
  <si>
    <t>OKCountyRecords official index, Roger Mills County (instrument 2017-001880); searched 06/11/2026</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</si>
  <si>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</si>
  <si>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</si>
  <si>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</si>
  <si>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</si>
  <si>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</si>
  <si>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</si>
  <si>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</si>
  <si>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</si>
  <si>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2401/0527</t>
  </si>
  <si>
    <t>09/07/2018</t>
  </si>
  <si>
    <t>OKCountyRecords official index, Roger Mills County (instrument 2018-002306); searched 06/11/2026</t>
  </si>
  <si>
    <t>2407/0124</t>
  </si>
  <si>
    <t>10/19/2018</t>
  </si>
  <si>
    <t>OKCountyRecords official index, Roger Mills County (instrument 2018-002786); searched 06/11/2026</t>
  </si>
  <si>
    <t>08/16/2019</t>
  </si>
  <si>
    <t>OKCountyRecords official index, Roger Mills County (instrument 2019-001747); searched 06/11/2026</t>
  </si>
  <si>
    <t>08/21/2019</t>
  </si>
  <si>
    <t>OKCountyRecords official index, Roger Mills County (instrument 2019-001779); searched 06/11/2026</t>
  </si>
  <si>
    <t>2447/0081</t>
  </si>
  <si>
    <t>08/17/2020</t>
  </si>
  <si>
    <t>OKCountyRecords official index, Roger Mills County (instrument 2020-001279); searched 06/11/2026</t>
  </si>
  <si>
    <t>2449/0001</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</si>
  <si>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</si>
  <si>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</si>
  <si>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</si>
  <si>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09/02/2020</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</si>
  <si>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</si>
  <si>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</si>
  <si>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</si>
  <si>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</si>
  <si>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</si>
  <si>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10/29/2020</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</si>
  <si>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</si>
  <si>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</si>
  <si>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</si>
  <si>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</si>
  <si>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</si>
  <si>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</si>
  <si>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06/30/2021</t>
  </si>
  <si>
    <t>OKCountyRecords official index, Roger Mills County (instrument 2021-001068); searched 06/11/2026</t>
  </si>
  <si>
    <t>2471/0590</t>
  </si>
  <si>
    <t>08/24/2021</t>
  </si>
  <si>
    <t>OKCountyRecords official index, Roger Mills County (instrument 2021-001366); searched 06/11/2026</t>
  </si>
  <si>
    <t>2473/0001</t>
  </si>
  <si>
    <t>09/10/2021</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</si>
  <si>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</si>
  <si>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</si>
  <si>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</si>
  <si>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</si>
  <si>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</si>
  <si>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</si>
  <si>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</si>
  <si>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</si>
  <si>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</si>
  <si>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10/07/2021</t>
  </si>
  <si>
    <t>OKCountyRecords official index, Roger Mills County (instrument 2021-001669); searched 06/11/2026</t>
  </si>
  <si>
    <t>2484/0025</t>
  </si>
  <si>
    <t>12/13/2021</t>
  </si>
  <si>
    <t>OKCountyRecords official index, Roger Mills County (instrument 2021-002152); searched 06/11/2026</t>
  </si>
  <si>
    <t>2486/0262</t>
  </si>
  <si>
    <t>01/31/2022</t>
  </si>
  <si>
    <t>OKCountyRecords official index, Roger Mills County (instrument 2022-000185); searched 06/11/2026</t>
  </si>
  <si>
    <t>2488/0081</t>
  </si>
  <si>
    <t>02/23/2022</t>
  </si>
  <si>
    <t>OKCountyRecords official index, Roger Mills County (instrument 2022-000354); searched 06/11/2026</t>
  </si>
  <si>
    <t>2495/0430</t>
  </si>
  <si>
    <t>06/03/2022</t>
  </si>
  <si>
    <t>OKCountyRecords official index, Roger Mills County (instrument 2022-001083); searched 06/11/2026</t>
  </si>
  <si>
    <t>07/07/2023</t>
  </si>
  <si>
    <t>OKCountyRecords official index, Roger Mills County (instrument 2023-002269); searched 06/11/2026</t>
  </si>
  <si>
    <t>11/17/2023</t>
  </si>
  <si>
    <t>OKCountyRecords official index, Roger Mills County (instrument 2023-003590); searched 06/11/2026</t>
  </si>
  <si>
    <t>2545/0001</t>
  </si>
  <si>
    <t>OKCountyRecords official index, Roger Mills County (instrument 2023-003594); searched 06/11/2026</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</si>
  <si>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</si>
  <si>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</si>
  <si>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</si>
  <si>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</si>
  <si>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</si>
  <si>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</si>
  <si>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</si>
  <si>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</si>
  <si>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</si>
  <si>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</si>
  <si>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</si>
  <si>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</si>
  <si>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</si>
  <si>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</si>
  <si>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</si>
  <si>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</si>
  <si>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</si>
  <si>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</si>
  <si>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</si>
  <si>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</si>
  <si>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03/12/2025</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</si>
  <si>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</si>
  <si>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</si>
  <si>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</si>
  <si>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</si>
  <si>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07/02/2025</t>
  </si>
  <si>
    <t>E/2 W/2, Lots 1 of 31-12N-24W (AOL)</t>
  </si>
  <si>
    <t>OKCountyRecords official index, Roger Mills County (instrument 2025-003963); searched 06/11/2026</t>
  </si>
  <si>
    <t>09/08/2025</t>
  </si>
  <si>
    <t>OKCountyRecords official index, Roger Mills County (instrument 2025-005448); searched 06/11/2026</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</si>
  <si>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</si>
  <si>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</si>
  <si>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</si>
  <si>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</si>
  <si>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</si>
  <si>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</si>
  <si>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</si>
  <si>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</si>
  <si>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</si>
  <si>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</si>
  <si>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02/09/2026</t>
  </si>
  <si>
    <t>S/2 NE/4 SW/4, SE/4 SW/4, Lots 3, 4 of 31-12N-24W (AOL)</t>
  </si>
  <si>
    <t>OKCountyRecords official index, Roger Mills County (instrument 2026-000691); searched 06/11/2026</t>
  </si>
  <si>
    <t>03/11/2026</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</si>
  <si>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</si>
  <si>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</si>
  <si>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</si>
  <si>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</si>
  <si>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</si>
  <si>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</si>
  <si>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</si>
  <si>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Bk/Pg</t>
  </si>
  <si>
    <t>Assignor (Grantor)</t>
  </si>
  <si>
    <t>Assignee (Grantee)</t>
  </si>
  <si>
    <t>Legal Description (of 31-12N-24W)</t>
  </si>
  <si>
    <t>Abram Poole, Jr.</t>
  </si>
  <si>
    <t>114/0554</t>
  </si>
  <si>
    <t>114/0555</t>
  </si>
  <si>
    <t>114/0553</t>
  </si>
  <si>
    <t>114/0556</t>
  </si>
  <si>
    <t>114/0557</t>
  </si>
  <si>
    <t>114/0558</t>
  </si>
  <si>
    <t>115/0456</t>
  </si>
  <si>
    <t>115/0457</t>
  </si>
  <si>
    <t>Gasanadarko Ltd.</t>
  </si>
  <si>
    <t>116/0047</t>
  </si>
  <si>
    <t>123/0450</t>
  </si>
  <si>
    <t>127/0028</t>
  </si>
  <si>
    <t>Chalfant Magee and Hansen Inc.</t>
  </si>
  <si>
    <t>128/0290</t>
  </si>
  <si>
    <t>EL Paso Natural Gas Co.</t>
  </si>
  <si>
    <t>Blanket multi-section assignment</t>
  </si>
  <si>
    <t>130/0483</t>
  </si>
  <si>
    <t>139/0038</t>
  </si>
  <si>
    <t>139/0073</t>
  </si>
  <si>
    <t>206/0038</t>
  </si>
  <si>
    <t>W/2 NW/4, Lots 1-2 of 31-12N-24W aol</t>
  </si>
  <si>
    <t>198/0182</t>
  </si>
  <si>
    <t>Entex Petroleum Inc.</t>
  </si>
  <si>
    <t>298/0320</t>
  </si>
  <si>
    <t>Bovaird Supply Co.</t>
  </si>
  <si>
    <t>224/0379</t>
  </si>
  <si>
    <t>238/0336</t>
  </si>
  <si>
    <t>Natomas North America Inc.</t>
  </si>
  <si>
    <t>243/0141</t>
  </si>
  <si>
    <t>245/0472</t>
  </si>
  <si>
    <t>245/0476</t>
  </si>
  <si>
    <t>245/0477</t>
  </si>
  <si>
    <t>245/0480</t>
  </si>
  <si>
    <t>245/0473</t>
  </si>
  <si>
    <t>245/0474</t>
  </si>
  <si>
    <t>245/0475</t>
  </si>
  <si>
    <t>245/0478</t>
  </si>
  <si>
    <t>245/0479</t>
  </si>
  <si>
    <t>245/0481</t>
  </si>
  <si>
    <t>246/0151</t>
  </si>
  <si>
    <t>248/0236</t>
  </si>
  <si>
    <t>NW/4 NE/4 of 31-12N-24W aol</t>
  </si>
  <si>
    <t>254/0555</t>
  </si>
  <si>
    <t>265/0081</t>
  </si>
  <si>
    <t>272/0124</t>
  </si>
  <si>
    <t>Apache Corp.</t>
  </si>
  <si>
    <t>281/0126</t>
  </si>
  <si>
    <t>291/0149</t>
  </si>
  <si>
    <t>Amarex Inc.</t>
  </si>
  <si>
    <t>304/0035</t>
  </si>
  <si>
    <t>383/0001</t>
  </si>
  <si>
    <t>EL Paso Exploration Co.</t>
  </si>
  <si>
    <t>380/0104</t>
  </si>
  <si>
    <t>380/0121</t>
  </si>
  <si>
    <t>412/0282</t>
  </si>
  <si>
    <t>438/0133</t>
  </si>
  <si>
    <t>442/0107</t>
  </si>
  <si>
    <t>Adams Litle Inc.</t>
  </si>
  <si>
    <t>442/0109</t>
  </si>
  <si>
    <t>442/0110</t>
  </si>
  <si>
    <t>452/0212</t>
  </si>
  <si>
    <t>462/0216</t>
  </si>
  <si>
    <t>Michigan Wisconsin Pipe Line Co.</t>
  </si>
  <si>
    <t>Ann Production Co.,
Forest Oil Corp.</t>
  </si>
  <si>
    <t>475/0235</t>
  </si>
  <si>
    <t>Richland Resources Corp.</t>
  </si>
  <si>
    <t>J. Walter Duncan, Jr.</t>
  </si>
  <si>
    <t>526/0273</t>
  </si>
  <si>
    <t>EL Paso Exploration Co.,
EL Paso Natural Gas Co.</t>
  </si>
  <si>
    <t>Forest Oil Corp.</t>
  </si>
  <si>
    <t>532/0106</t>
  </si>
  <si>
    <t>Cities Service Co.</t>
  </si>
  <si>
    <t>Cities Service Oil &amp; Gas Corp.</t>
  </si>
  <si>
    <t>544/0221</t>
  </si>
  <si>
    <t>J. Wlater Duncan, Jr.</t>
  </si>
  <si>
    <t>Louis McKee Ford,
The Louis McKee Ford Living Trust</t>
  </si>
  <si>
    <t>552/0192</t>
  </si>
  <si>
    <t>Joseph a. Doninguez</t>
  </si>
  <si>
    <t>552/0195</t>
  </si>
  <si>
    <t>602/0021</t>
  </si>
  <si>
    <t>APC Operating Partnership</t>
  </si>
  <si>
    <t>604/0331</t>
  </si>
  <si>
    <t>650/0145</t>
  </si>
  <si>
    <t>Entex Energy Operating Ltd.</t>
  </si>
  <si>
    <t>662/0034</t>
  </si>
  <si>
    <t>Sohio Petroleum Co.</t>
  </si>
  <si>
    <t>708/0015</t>
  </si>
  <si>
    <t>Sendero Corp.</t>
  </si>
  <si>
    <t>897/0244</t>
  </si>
  <si>
    <t>Cimarron Mineral Corp.</t>
  </si>
  <si>
    <t>908/0162</t>
  </si>
  <si>
    <t>Anson Co.</t>
  </si>
  <si>
    <t>908/0163</t>
  </si>
  <si>
    <t>932/0008</t>
  </si>
  <si>
    <t>Park Avenue Exploration Corp.</t>
  </si>
  <si>
    <t>932/0011</t>
  </si>
  <si>
    <t>932/0014</t>
  </si>
  <si>
    <t>J &amp; M Investment Co.</t>
  </si>
  <si>
    <t>Geneeral Energy Operating Ltd.</t>
  </si>
  <si>
    <t>General, LP Acquisition Inc.</t>
  </si>
  <si>
    <t>Termo Co.</t>
  </si>
  <si>
    <t>Louis McKee for, Trustee of The Louis McKee Ford Living Trust</t>
  </si>
  <si>
    <t>Federal Deposit Insurance Corp.</t>
  </si>
  <si>
    <t>BP Exploration Inc.</t>
  </si>
  <si>
    <t>TEX CON Oil &amp; Gas Co.</t>
  </si>
  <si>
    <t>Louis McKee Ford, Trustee of The Louis McKee Ford Living Trust</t>
  </si>
  <si>
    <t>Victor E. Ratliff, Sr.</t>
  </si>
  <si>
    <t>New Liberty Investments Inc.</t>
  </si>
  <si>
    <t>BP Exploration Inc.,
Sohio Petroleum Company</t>
  </si>
  <si>
    <t>Black Hawk Oil Co.,
Search Drilling Co.</t>
  </si>
  <si>
    <t>Rialto Energy Inc.</t>
  </si>
  <si>
    <t>UMC Petroleum Corporation</t>
  </si>
  <si>
    <t>Chase Manhattan Bank,
P. Michael Pleska,
Bettylou J. Robert</t>
  </si>
  <si>
    <t>Pennzoil Co.</t>
  </si>
  <si>
    <t>Rialto Oil &amp; Gas Corp.</t>
  </si>
  <si>
    <t>The Pinion Family Trust</t>
  </si>
  <si>
    <t>Kerr-Mcgee Corporation</t>
  </si>
  <si>
    <t>Kerr-Mcgee North American Onshore Corporation</t>
  </si>
  <si>
    <t>EEX Corporation</t>
  </si>
  <si>
    <t>EEX Operating, LLC</t>
  </si>
  <si>
    <t>Fer-Scher Exploration, LLC</t>
  </si>
  <si>
    <t>E/2 NW/4, N/2 NE/4 SW/4, NE/4 SE/4, SE/4 NE/4 of 31-12N-24W aol</t>
  </si>
  <si>
    <t>S/2 NE/4 SW/4, SE/4 SW/4 of 31-12N-24W aol</t>
  </si>
  <si>
    <t>The Mahoney Children's Trust,
Jack Mahoney</t>
  </si>
  <si>
    <t>NE/4 of 31-12N-24W aol</t>
  </si>
  <si>
    <t>William a. Hadwiger</t>
  </si>
  <si>
    <t>Dorothy G, Executrix Hamilton</t>
  </si>
  <si>
    <t>Dorothy G. Hamilton,
Harold D. Rogers</t>
  </si>
  <si>
    <t>Lot 3, NW/4 SE/4, S/2 NE/4 SW/4, S/2 SE/4, SE/4 SW/4, Lot 4, SW/4 NE/4 of 31-12N-24W</t>
  </si>
  <si>
    <t>B &amp; W Exploration Inc.</t>
  </si>
  <si>
    <t>Lot 3 of 31-12N-24W</t>
  </si>
  <si>
    <t>E/2 NW/4, E/2 SW/4, N/2 NE/4, NE/4 SE/4, SE/4 NE/4 of 31-12N-24W</t>
  </si>
  <si>
    <t>Newfield Exploration MID Cont Inc.</t>
  </si>
  <si>
    <t>Sierra Resources Inc.</t>
  </si>
  <si>
    <t>E/2 NW/4, N/2 NE/4 SW/4, NE/4 SE/4, NW/4 SE/4, S/2 SE/4, SE/4 NE/4, SW/4 NE/4 of 31-12N-24W aol</t>
  </si>
  <si>
    <t>Estate of Hamilton, Dorothy G of,
Harold D. Co-Executor Rogers,
Heather H. Co-Executor Tedford</t>
  </si>
  <si>
    <t>W/2 NW/4 of 31-12N-24W</t>
  </si>
  <si>
    <t>Fredericksburg Royalty Ltd.</t>
  </si>
  <si>
    <t>Newfield Exploration MID CON Tinc</t>
  </si>
  <si>
    <t>S/2 NE/4 SW/4, S/2 S/2 SW/4, SE/4 SW/4 of 31-12N-24W</t>
  </si>
  <si>
    <t>Newfield Ex Mid-Cont</t>
  </si>
  <si>
    <t>Newfield Exploration Mid-Continent, Inc.</t>
  </si>
  <si>
    <t>Harris, Jess III Inc.</t>
  </si>
  <si>
    <t>Butera John,
Stewart Geological Inc.,
ST George Coal Co.</t>
  </si>
  <si>
    <t>John Butera,
Double L, LLC,
Wolf Point EX, LLC</t>
  </si>
  <si>
    <t>ST George Coal Co.</t>
  </si>
  <si>
    <t>JH Famiy, LLC</t>
  </si>
  <si>
    <t>Double L, LLC,
Wolf Point Explor, LLC</t>
  </si>
  <si>
    <t>E/2 NW/4, NE/4 SE/4, SE/4 NE/4, W/2 NE/4 of 31-12N-24W aol</t>
  </si>
  <si>
    <t>N/2 NE/4, NE/4 SE/4, SE/4 NE/4 of 31-12N-24W aol</t>
  </si>
  <si>
    <t>Yale Oil Assoc Inc.</t>
  </si>
  <si>
    <t>K C Production</t>
  </si>
  <si>
    <t>Gary C. Reid, Shannon D. Reid, Trustee of The Reid Rev Trust</t>
  </si>
  <si>
    <t>Newfield Exploartion Company,
Newfield Exploration MID Continent Inc.</t>
  </si>
  <si>
    <t>Chk Cleveland Tonkawa</t>
  </si>
  <si>
    <t>Linn Energy Holdings ET AL</t>
  </si>
  <si>
    <t>Robert H Frazier Royalty</t>
  </si>
  <si>
    <t>The Deutsche Bank Trust</t>
  </si>
  <si>
    <t>Elk City Wind, II</t>
  </si>
  <si>
    <t>Elk City Renewables, II</t>
  </si>
  <si>
    <t>TE Holdcorp, LLC,
TE Holdings II, LLC,
TE Holdings, LLC,
Templar Energy, LLC,
Templar Midstream LL,
Templar Operating, LLC</t>
  </si>
  <si>
    <t>Presidio WAB, LLC</t>
  </si>
  <si>
    <t>E/2 NW/4, NE/4 SE/4, NW/4 SE/4, S/2 SE/4 of 31-12N-24W aol</t>
  </si>
  <si>
    <t>Cannon Field Minerals Fund I, LP</t>
  </si>
  <si>
    <t>Tlw Investments</t>
  </si>
  <si>
    <t>K C Production, LLC</t>
  </si>
  <si>
    <t>Greg Cox,
Kathy Merkel-Cox</t>
  </si>
  <si>
    <t>NW/4 NW/4 of 31-12N-24W aol</t>
  </si>
  <si>
    <t>Carrie Leeanne Mitchell / Nancy Susan Mitchell</t>
  </si>
  <si>
    <t xml:space="preserve"> acres, more or less</t>
  </si>
  <si>
    <t>EDR, LLC -&gt; Del Monte Royalty Partners, LLC</t>
  </si>
  <si>
    <t>EDR, LLC -&gt; Okki Industries, LLC</t>
  </si>
  <si>
    <t>Ronald Paul Dold -&gt; Silver Oak Natural Resources</t>
  </si>
  <si>
    <t>PDF expanded current lease</t>
  </si>
  <si>
    <t>E/2 NW and other tracts per PDF page 88.</t>
  </si>
  <si>
    <t>acres, more or less</t>
  </si>
  <si>
    <t>TRACT 7</t>
  </si>
  <si>
    <t>PDF page 88 shows S31 T12N R24W NW NW.</t>
  </si>
  <si>
    <t>Fairway Resources III, LLC -&gt; JPMorgan Chase Bank</t>
  </si>
  <si>
    <t>Recent leasehold; active/uncertain</t>
  </si>
  <si>
    <t>Full 2026 lease images needed for terms, royalty, Pugh/depth/no-warranty/option clauses.</t>
  </si>
  <si>
    <t>Well records not found in materials; production/HBP not determined.</t>
  </si>
  <si>
    <t>Document-access note</t>
  </si>
  <si>
    <t>Chesapeake Exploration LP</t>
  </si>
  <si>
    <t>Paul A. Albert, Personal Representative</t>
  </si>
  <si>
    <t>Chesapeake Exploration Co. LP</t>
  </si>
  <si>
    <t>Paul R. Deutseh
Deborah A. Deutseh</t>
  </si>
  <si>
    <t>31-12N-24W; All of 31-12N-24W</t>
  </si>
  <si>
    <t>Primary term expired; HBP status uncertain*
Recorded 2002-05-13. Leasing era 2000-2006; presumed expired absent production/HBP.
Merged row 728 Recorded Date: 37384
Merged duplicate rows: 728</t>
  </si>
  <si>
    <t>TODCO Properties, Inc.</t>
  </si>
  <si>
    <t>Devon Energy Production Co. LP</t>
  </si>
  <si>
    <t>Primary term expired; HBP status uncertain*
Recorded 2006-03-16. Leasing era 2000-2006; presumed expired absent production/HBP.
Merged row 748 Recorded Date: 38761
Merged duplicate rows: 748</t>
  </si>
  <si>
    <t>NE/4 of 8-11N-23W aol; All of 31-12N-24W aol</t>
  </si>
  <si>
    <t>Merged duplicate rows: 572</t>
  </si>
  <si>
    <t>A. of 26-16N-22W aol; All of 31-12N-24W aol</t>
  </si>
  <si>
    <t>Merged duplicate rows: 573</t>
  </si>
  <si>
    <t>Fortune Natural Resources, Corp.
Robin D. VP Mcguire</t>
  </si>
  <si>
    <t>Enervest Energy Institutional Fund Xiii C.
Enervest Preferred Holdings Xiii
Enervest Operating
Enervest LTD</t>
  </si>
  <si>
    <t>All of 15-12N-21W aol</t>
  </si>
  <si>
    <t>Elk City Ii Wind</t>
  </si>
  <si>
    <t>Elk City Renewables Ii</t>
  </si>
  <si>
    <t>NW/4 of 21-12N-23W aol</t>
  </si>
  <si>
    <t>Cindy Lou Vignal, Trustee
Thurman, Luther and Veronica Liv Trust</t>
  </si>
  <si>
    <t>Gary Wayne Vignal, Trustee
Cindy Lou Vignal, Trustee
Vignal, Gary and Cindy Liv Trust</t>
  </si>
  <si>
    <t>BHP Billiton Petroleum
KCS Resources
BHP Billiton Petroleum Properties</t>
  </si>
  <si>
    <t>A. of 10-11N-26W aol</t>
  </si>
  <si>
    <t>S/2 NE/4 Lots 1, 2, 3, 4, 5, 6, 7 of 6-11N-24W aol; NW/4 SE/4, S/2 SE/4, SW/4 NE/4 of 31-12N-24W aol</t>
  </si>
  <si>
    <t>Merged duplicate rows: 577</t>
  </si>
  <si>
    <t>Presidio Wab, LLC
Brett VP Barnes
Presidio Investment Holdings, LLC</t>
  </si>
  <si>
    <t>290 More…</t>
  </si>
  <si>
    <t>Templar Operating, LLC
Templar Midstream LL
TE Holdcorp, LLC
TE Holdings, LLC</t>
  </si>
  <si>
    <t>NE/4 of 8-11N-23W aol</t>
  </si>
  <si>
    <t>Tecolote Royalty, LLC
Blackbeard Operating, LLC
Tecolote Holdings, LLC</t>
  </si>
  <si>
    <t>S/2 NE/4 of 1-11N-24W aol</t>
  </si>
  <si>
    <t>Jack B. Searle
Tamara D. Searle</t>
  </si>
  <si>
    <t>SE/4 of 17-11N-23W aol</t>
  </si>
  <si>
    <t>Grizzly Operating, LLC
Vanguard Operating, LLC</t>
  </si>
  <si>
    <t>PSI Lke, LLC</t>
  </si>
  <si>
    <t>NW/4 NW/4 Lot 1 of 7-11N-24W aol</t>
  </si>
  <si>
    <t>Sohio Petroleum
Standard OIL Production</t>
  </si>
  <si>
    <t>NE/4 of 30-12N-24W aol</t>
  </si>
  <si>
    <t>Tecolote Royalty, LP
Blackbeard Operating, LLC
Tecolote Holdings, LLC</t>
  </si>
  <si>
    <t>Presidio Finance
Presidio Finance Nominee</t>
  </si>
  <si>
    <t>Fairway Resources Iii, LLC
Fairway Resources Partners Iii Minerals, LLC</t>
  </si>
  <si>
    <t>NW/4 of 8-11N-23W aol</t>
  </si>
  <si>
    <t>Cummins Minerals LTD
Eagle Owl, LP</t>
  </si>
  <si>
    <t>A. of 14-11N-23W aol</t>
  </si>
  <si>
    <t>PHX Minerals, Inc.
PHX Minerals (de), Inc.</t>
  </si>
  <si>
    <t>Eric Jansen
Hasbany Nsurance</t>
  </si>
  <si>
    <t>S/2 NE/4 Lots 1-7 of 6-11N-24W aol</t>
  </si>
  <si>
    <t>MNR Abs Issuer I., LLC
MNR Abs Agent, Corp.
Unbridled Resources, LLC</t>
  </si>
  <si>
    <t>MNS Abs Issuer I, LLC
MNR Abs Agent, Corp.</t>
  </si>
  <si>
    <t>Paul R. Deutsch
Deborah A. Deutsch</t>
  </si>
  <si>
    <t>Yale OIL Association, Inc.</t>
  </si>
  <si>
    <t>K. C. Production, L.l.c</t>
  </si>
  <si>
    <t>All of 11-11N-23W aol</t>
  </si>
  <si>
    <t>Greg Cox
Kathy Merkel-Cox</t>
  </si>
  <si>
    <t>Validus Energy Ii Midcon, LLC
Pressburg, LLC
Citizen Energy Operating, LLC
Blue Mountain Midstream, LLC</t>
  </si>
  <si>
    <t>Comanche OIL &amp; Gas, Inc.</t>
  </si>
  <si>
    <t>James Gerard Buonaccorsi
Carrie Leeann Mitchell, Trustee
Mitchell-Buonaccorsi Living Trust</t>
  </si>
  <si>
    <t>Christopher D. Greene, Trustee
Gregg M. Satherlie and Chelin H. Satherlie 1989 Rev Trust</t>
  </si>
  <si>
    <t>All of 8-11N-23W aol</t>
  </si>
  <si>
    <t>Eleanore Wheeler
Eleanor A/k/a Wheeler</t>
  </si>
  <si>
    <t>Eleanore Wheeler
Shirley Wheeler</t>
  </si>
  <si>
    <t>S/2 NW/4 Lots 3-4 of 4-11N-23W aol</t>
  </si>
  <si>
    <t>The Public
Remington Merger Sub, LLC
Maverick Natural Resources, LLC
Unbridled Resources, LLC</t>
  </si>
  <si>
    <t>Jesse Joe Newell
Rachael Elizabeth Newell</t>
  </si>
  <si>
    <t>Jesse Joe, Newell, Trustee
Rachael Elizabeth, Newell, Trustee
Newell Farms Trust</t>
  </si>
  <si>
    <t>NE/4 of 31-12N-25W aol</t>
  </si>
  <si>
    <t>SW/4 of 11-12N-21W aol; NW/4 SE/4, S/2 SE/4, SW/4 NE/4 of 31-12N-24W aol</t>
  </si>
  <si>
    <t>Merged duplicate rows: 599</t>
  </si>
  <si>
    <t>Royfin Natural Gas, LLC
Longreach Energy 2, LLC</t>
  </si>
  <si>
    <t>SW/4 of 11-12N-21W aol</t>
  </si>
  <si>
    <t>Midcon Energy Development, LLC
Midcon Buyerco, LLC
Windsor OK, LLC
Windsor OK Production Sub, llc</t>
  </si>
  <si>
    <t>Windsor OK Development Sub, LLC
Windsor OK Production Sub, LLC
Windsor OK PDP, LLC
Midcon Energy Development, LLC</t>
  </si>
  <si>
    <t>All of 9-11N-24W aol</t>
  </si>
  <si>
    <t>Midcon Energy PDP, LLC
Midcon Energy Development, LLC
Windsor OK, LLC
Midcon Buyerco, LLC</t>
  </si>
  <si>
    <t>SE/4 of 11-11N-23W aol</t>
  </si>
  <si>
    <t>Midcon Energy Pdp, LLC
Matthew, Vice President Long</t>
  </si>
  <si>
    <t>All of 20-12N-25W aol</t>
  </si>
  <si>
    <t>Mark Ashley Daigle Trust
Daigle, Mark Ashley Ttee</t>
  </si>
  <si>
    <t>James Gerard Buonaccorsi, Trustee
Carrie Leeann Mitchell, Trustee
Mitchell Buonaccorsi Living Trust U/a</t>
  </si>
  <si>
    <t>Kevin Warner Johnson Trust
Kevin Johnson Johnson, Trustee</t>
  </si>
  <si>
    <t>Tucker, Keri Lee Daigle Trust
Tucker, Keri Lee Daigle Ttee</t>
  </si>
  <si>
    <t>Daigle, Keri Lee Trust
Tucker, Keri Lee Daigle Trust
Keri L. Tucker
S/k/a Daigle, Keri Lee</t>
  </si>
  <si>
    <t>Stride Bank Ttee
Unbrella Trust</t>
  </si>
  <si>
    <t>All of 6-12N-21W aol</t>
  </si>
  <si>
    <t>Gena Mitchell A/k/a Williams
Gena A/k/a Williams
Gena W. Moore</t>
  </si>
  <si>
    <t>Panhandle Co-Operative Royalty Company</t>
  </si>
  <si>
    <t>Panhandle Co-Operative Royalty Co.</t>
  </si>
  <si>
    <t>Maggie Bennett,
A. M. Cuff,
Ida M. Cuff,
H. V. Davis,
Maggie Davis,
O. L. Davis,
Pearl L. Davis,
Eli L. Shotwell,
Ida M. Shotwell,
Josie a. Shotwell,
Roy T. Shotwell</t>
  </si>
  <si>
    <t>Murrell a. Gray</t>
  </si>
  <si>
    <t>Billy Wayne Bain, Trustee of The William C. Bain Trust,
William Cobal Bain, Jr.</t>
  </si>
  <si>
    <t>Billy Wayne Bain, Trustee of The Willaim C. Bain Trust,
William Cobal Bain, Jr.</t>
  </si>
  <si>
    <t>Bluebonnet Investments Ltd.</t>
  </si>
  <si>
    <t>W. C. Bain, Jr., Trustee of The Crystal F. Pallo Trust</t>
  </si>
  <si>
    <t>W. C. Bain, Jr.</t>
  </si>
  <si>
    <t>W. C. Bain, Jr., Trustee of The Crystal P. Pallo Trust</t>
  </si>
  <si>
    <t>The Hazel Hamilton Trust</t>
  </si>
  <si>
    <t>The First State Bank &amp; Trust</t>
  </si>
  <si>
    <t>The State Bank &amp; Trust</t>
  </si>
  <si>
    <t>Fred a. Standiford, Jr.</t>
  </si>
  <si>
    <t>Hefner Corp.</t>
  </si>
  <si>
    <t>Charles O. Burckhalter, Trustee of The Burckhalter Family Trust</t>
  </si>
  <si>
    <t>The Fuchs Family Revocable Trust</t>
  </si>
  <si>
    <t>Alpine Investments Inc.</t>
  </si>
  <si>
    <t>UMC Petroleum Corp. - Delaware</t>
  </si>
  <si>
    <t>EL Paso Production Company</t>
  </si>
  <si>
    <t>BP Exploration Inc.,
Sohio Petroleum Co.,
Standard Oil Production Co.</t>
  </si>
  <si>
    <t>Melinda McCaul Mulvihill,
Estate of Wilson, Dwightj of</t>
  </si>
  <si>
    <t>Billy Wayne Bain,
William Cobal Bain,
Bain, W M Will of</t>
  </si>
  <si>
    <t>Estate of Klopfenstein, John of DEC</t>
  </si>
  <si>
    <t>S/2 NE/4 SW/4, Lots 3-4, SE/4 SW/4 of 31-12N-24W aol</t>
  </si>
  <si>
    <t>Clarence C. Bain, Dorothy J. Bain, Trustee of The Cdb Trust</t>
  </si>
  <si>
    <t>NAM Corporation</t>
  </si>
  <si>
    <t>Tripco Inc.</t>
  </si>
  <si>
    <t>SE/4 SW/4 of 31-12N-24W aol</t>
  </si>
  <si>
    <t>Alpine Oil and Royalty Co. Inc.</t>
  </si>
  <si>
    <t>Estate of Wilson, Dwight J of</t>
  </si>
  <si>
    <t>NW/4 SE/4, S/2 SE/4, SW/4 NE/4 of 31-12N-24W aol</t>
  </si>
  <si>
    <t>E/2 W/2, Lots 1-4, N/2 NE/4, NE/4 SE/4, SE/4 NE/4 of 31-12N-24W</t>
  </si>
  <si>
    <t>The Jon T. and Rogene E. Williams Trust</t>
  </si>
  <si>
    <t>NW/4 of 31-12N-24W aol</t>
  </si>
  <si>
    <t>Albert E. Fuchs,
Ocie H. Fuchs</t>
  </si>
  <si>
    <t>The Mahoney Childrens Trust</t>
  </si>
  <si>
    <t>Atha Letty Jane, Deceased</t>
  </si>
  <si>
    <t>Barbaraj Bain,
Billy W. Bain,
Carl L. Bain,
Clarence C. Bain,
Doroty J. Bain,
Lenora M. Bain,
Hazel a. Hamilton,
Juanita Wolff</t>
  </si>
  <si>
    <t>SE/4 SE/4, SW/4 NE/4, W/2 SE/4 of 31-12N-24W aol</t>
  </si>
  <si>
    <t>The Crouse Family Trust</t>
  </si>
  <si>
    <t>NE/4 NW/4 of 31-12N-24W aol</t>
  </si>
  <si>
    <t>William C, Bain, Jr.</t>
  </si>
  <si>
    <t>Laurence L. Crouse</t>
  </si>
  <si>
    <t>BHCH Mineral Ltd.,
BHCH Properties Ltd.,
Garg Oil</t>
  </si>
  <si>
    <t>Billy Wayne Bain, William Cobal Bain, Hazel Hamilton, Trustee of The Hazel Inter Vivos Hamilton Trust</t>
  </si>
  <si>
    <t>Peggy J. Hayhurst, Trustee of The Peggy J. Revoc Hayhurst Trust</t>
  </si>
  <si>
    <t>E/2 NW/4, SE/4 NE/4 of 31-12N-24W aol</t>
  </si>
  <si>
    <t>John E. Mahoney</t>
  </si>
  <si>
    <t>Aspen Energy Group Inc.</t>
  </si>
  <si>
    <t>Koala Production Co.</t>
  </si>
  <si>
    <t>NW/4 NW/4, Lots 1-3 of 31-12N-24W</t>
  </si>
  <si>
    <t>Lot 3, W/2 NW/4 of 31-12N-24W</t>
  </si>
  <si>
    <t>Norbert J, Co-Prsnl Repres Dickman,
Robert, Co-Prsnl Repres Dickson,
Estate of Fasken, Barbara of</t>
  </si>
  <si>
    <t>Fasken Land and Minerals Ltd.</t>
  </si>
  <si>
    <t>Minion Investment Co.,
Brian L. Rice</t>
  </si>
  <si>
    <t>Prism Energy Inc.</t>
  </si>
  <si>
    <t>G &amp; T Partnership</t>
  </si>
  <si>
    <t>W/2 NW/4, Lots 1-3 of 31-12N-24W</t>
  </si>
  <si>
    <t>Map2004-Ok</t>
  </si>
  <si>
    <t>N/2, Lot 3, W/2 NW/4, Lots 1-2 of 31-12N-24W</t>
  </si>
  <si>
    <t>Map 2004 - Ok</t>
  </si>
  <si>
    <t>Omega Royalty Co., LLC</t>
  </si>
  <si>
    <t>Geotech Production Inc.,
Jack B. Searle,
Tamara D. Searle</t>
  </si>
  <si>
    <t>Datt Investment Company,
Four a. Investments</t>
  </si>
  <si>
    <t>The Atha Floyd Revoc Trust,
Floyd Atha,
The Atha Nancy Revoc Trust,
Atha Nancy</t>
  </si>
  <si>
    <t>E/2 W/2 E/2, Lots 1-4, N/2 NE/4, NE/4 SE/4, SE/4 NE/4 of 31-12N-24W</t>
  </si>
  <si>
    <t>S/2 NE/4 SW/4, Lots 3-4, SE/4 SW/4 of 31-12N-24W</t>
  </si>
  <si>
    <t>Atha, Floyd Co.,
Atha, Nancy Co.</t>
  </si>
  <si>
    <t>Shawn S. Walters,
Wayne a. Walters</t>
  </si>
  <si>
    <t>The Rogene E. Williams Revocable Living Trust</t>
  </si>
  <si>
    <t>Floyd Co-Trustee Atha, Nancy Co-Trustee Atha, Trustee of The Floyd and Nancy Rev Atha Trust,
Floyd W. Atha,
Nancy D. Atha</t>
  </si>
  <si>
    <t>The Donnaleta Rev Fuchs Trust,
Donnaleta Fuchs,
The Y. C. Rev Fuchs, Jr. Trust,
Y. C. Fuchs, Jr.</t>
  </si>
  <si>
    <t>Floyd Atha,
Nancy Atha,
The Atha Revocable Trust</t>
  </si>
  <si>
    <t>The Bryan Living Trust</t>
  </si>
  <si>
    <t>Lot 4, SE/4 SW/4 of 31-12N-24W</t>
  </si>
  <si>
    <t>The Donnaletta Revoc Fuchs Trust,
Donnaletta Fuchs,
The Y. C. Revoc Fuchs, Jr. Trust,
Y. C. Fuchs, Jr.</t>
  </si>
  <si>
    <t>Dwight J. Williams, Trustee of The Dwight J. Williams Revocable Trust</t>
  </si>
  <si>
    <t>Dwight James Successor Williams, Trustee of The Jon T. and Rogene E. Williams Trust</t>
  </si>
  <si>
    <t>Fausta J. Bish, Terry V. Bish, Trustee of The Bish Family Trust</t>
  </si>
  <si>
    <t>Glenda Ann Palmer, Richard Royce Palmer, Trustee of The Palmer Family Trust</t>
  </si>
  <si>
    <t>E/2 NW/4, N/2 NE/4 SE/4, NE/4 SE/4, SE/4 NE/4 of 31-12N-24W aol</t>
  </si>
  <si>
    <t>Glenda Ann Palmer, Trustee of The Glenn Douglas and Hazel Pearl Mitchel Trust</t>
  </si>
  <si>
    <t>The Jack D. and Shonna a. Mitchel Family Trust,
Shanti Jonathan Mitchel,
Shonna Arlene Mitchel,
The Palmer Family Trust,
Glenda Ann Palmer,
Richard Royce Palmer</t>
  </si>
  <si>
    <t>Shonna Mitchel,
Shonna a. Mitchel,
Shonna Arlene Mitchel</t>
  </si>
  <si>
    <t>Shonna a. Mitchel, Trustee of The Jack D. and Shonna a. Mitchel Family Trust,
Shonna Arlene Mitchel</t>
  </si>
  <si>
    <t>4 a. Investments,
Bryon a. Hetherington</t>
  </si>
  <si>
    <t>Bryon a. Hetherington, Trustee of The Byron a. Hetherington Trust</t>
  </si>
  <si>
    <t>Sorenson Michelle Johnson,
The Sorenson Oil and Gas Trust</t>
  </si>
  <si>
    <t>The Kei Lee Daigle Trust,
The Mark Ashley Daigle Trust,
The Kevin Warner Johnson Trust</t>
  </si>
  <si>
    <t>Michael L. Bain,
William C. Bain</t>
  </si>
  <si>
    <t>Michael L. Bain,
Paul M. Bain,
William C. Bain</t>
  </si>
  <si>
    <t>Lots 1-2, Lot 3 of 31-12N-24W aol</t>
  </si>
  <si>
    <t>NW/4 SE/4, S/2 SE/4, SE/4 NE/4 of 31-12N-24W aol</t>
  </si>
  <si>
    <t>The Mark Ashley Daigle Trust,
Kevin Warner Johnson,
The Keri Lee Daigle Tucker Trust</t>
  </si>
  <si>
    <t>Fred a. Standiford</t>
  </si>
  <si>
    <t>Doris Bain,
Jospeh a. Bain</t>
  </si>
  <si>
    <t>Gene G. Williams,
Nancy Mitchell Williams, Deceased</t>
  </si>
  <si>
    <t>E/2 NW/4, N/2 NE/4, N/2 NE/4 SW/4, NE/4 SE/4, SE/4 NE/4, SE/4 NE/4 SW/4, SE/4 SW/4 of 31-12N-24W aol</t>
  </si>
  <si>
    <t>Joseph a. Bain</t>
  </si>
  <si>
    <t>NW/4 SE/4, S/2 SE/4, SW/4 of 31-12N-24W aol</t>
  </si>
  <si>
    <t>Joseph a. Devenas, Jr.</t>
  </si>
  <si>
    <t>E/2 W/2 of 31-12N-24W</t>
  </si>
  <si>
    <t>Edris Oleta Miller Bain, Deceased,
Sheila Kay Salvo</t>
  </si>
  <si>
    <t>Dow Conrad Bain, Deceased,
Sheila Kay Salvo</t>
  </si>
  <si>
    <t>Luther Ervin Thurman, Veronica Gentry Thurman, Trustee of The Luther and Veronica Liv Thurman Trust</t>
  </si>
  <si>
    <t>Eddie Tom Lakey, Marinita Ann Lakey, Trustee of The Eddie Tom and Marinita Rev Lakey Trust</t>
  </si>
  <si>
    <t>E/2 NW/4, N/2 NE/4, NE/4 SE/4, SE/4 NE/4 of 31-12N-24W aol</t>
  </si>
  <si>
    <t>Isa May Smith,
William a. Smith</t>
  </si>
  <si>
    <t>The William a. and Isa May Smith Family Rev Trust</t>
  </si>
  <si>
    <t>Enervest Energy Fund Xii-Wib</t>
  </si>
  <si>
    <t>Enervest Energy Fund Xiii-C</t>
  </si>
  <si>
    <t>Enervest Energy Fund Xiii-B</t>
  </si>
  <si>
    <t>Jinkee D. Acuero Fuchs, William Jesse Fuchs, Trustee of The William Jesse and Jinkee D. Acuero Fuchs Trust</t>
  </si>
  <si>
    <t>NW/4 SW/4, S/2 SE/4, SW/4 NE/4 of 31-12N-24W aol</t>
  </si>
  <si>
    <t>Mariyln K. Bryan, Norman B. Bryan, Trustee of The Bryan Living Trust</t>
  </si>
  <si>
    <t>SE/4 SW/4, Lot 4 of 31-12N-24W</t>
  </si>
  <si>
    <t>Fortune Natural Resources Corp.,
Robin D. Vp McGuire</t>
  </si>
  <si>
    <t>BHP Billiton Petroleum,
BHP Billiton Petroleum Properties,
KCS Resources</t>
  </si>
  <si>
    <t>Cindy Lou Vignal, Gary Wayne Vignal, Trustee of The Gary and Cindy Liv Vignal Trust</t>
  </si>
  <si>
    <t>Brett Vp Barnes,
Presidio Investment Holdings, LLC,
Presidio WAB, LLC</t>
  </si>
  <si>
    <t>The Campbell Family Trust</t>
  </si>
  <si>
    <t>PSI LKE, LLC</t>
  </si>
  <si>
    <t>Cummins Minerals Ltd.,
Eagle OWL, LP</t>
  </si>
  <si>
    <t>PHX Minerals (de) Inc.,
PHX Minerals Inc.</t>
  </si>
  <si>
    <t>Comanche Oil &amp; Gas Inc.</t>
  </si>
  <si>
    <t>Carrie Leeann Mitchell, Trustee of The Mitchell-Buonaccorsi Living Trust,
James Gerard Buonaccorsi</t>
  </si>
  <si>
    <t>a/k/a Eleanor Wheeler,
Eleanore Wheeler</t>
  </si>
  <si>
    <t>Lot 3, S/2 NE/4 SW/4, SE/4 SW/4 of 31-12N-24W aol</t>
  </si>
  <si>
    <t>Jesse Joe Newell, Rachael Elizabeth Newell, Trustee of The Newell Farms Trust</t>
  </si>
  <si>
    <t>E/2 W/2, Lots 1-4 of 31-12N-24W aol</t>
  </si>
  <si>
    <t>Maverick Natural Resources, LLC,
The Public,
Remington Merger SUB, LLC,
Unbridled Resources, LLC</t>
  </si>
  <si>
    <t>J and A Minerals, LLC</t>
  </si>
  <si>
    <t>Lot 3, S/2 NE/4 SW/4, Lot 4, SE/4 SW/4 of 31-12N-24W aol</t>
  </si>
  <si>
    <t>Midcon Buyerco, LLC,
Midcon Energy Development, LLC,
Midcon Energy PDP, LLC,
Midcon Energy Prodction, LLC,
Windsor OK, LLC</t>
  </si>
  <si>
    <t>J and A Minerals</t>
  </si>
  <si>
    <t>Lot 3, Lot 4, NE/4 SW/4, SE/4 SW/4 of 31-12N-24W aol</t>
  </si>
  <si>
    <t>Carrie Leeann Mitchell,
Nancy Susan Mitchell, Deceased</t>
  </si>
  <si>
    <t>Matthew, Vice President Long,
Midcon Energy PDP, LLC</t>
  </si>
  <si>
    <t>The Keri Lee Daigle Trust,
s/k/a Keri Lee Daigle,
Keri L. Tucker,
The Keri Lee Daigle Tucker Trust</t>
  </si>
  <si>
    <t>Carrie Leeann Mitchell,
Gene Gilbert Williams, Deceased</t>
  </si>
  <si>
    <t>Carrie Leeann Mitchell,
Marvin Mitchell Williams, Deceased</t>
  </si>
  <si>
    <t>E/2 NW/4, N/2 NE/4, N/2 NE/4 SW/4, NE/4 SE/4, S/2, Lots 3-4, S/2 NE/4 SW/4, SE/4 NE/4, SE/4 SW/4 of 31-12N-24W aol</t>
  </si>
  <si>
    <t>S/2 NE/4, Lots 3-4 of 31-12N-24W, aol</t>
  </si>
  <si>
    <t>N/2 NE/4 of 31-12N-24W</t>
  </si>
  <si>
    <t>S30 T15N R22W A S12 T13N R22W A 312 more target likely within omitted legals from same indexed search hit of 31-12N-24W, aol</t>
  </si>
  <si>
    <t>Finance Et Al Presidio</t>
  </si>
  <si>
    <t>Citizen Energy Operating, LLC Et Al</t>
  </si>
  <si>
    <t>Midcon Energy Prod, LLC Et Al</t>
  </si>
  <si>
    <t>E/2 NW/4 N/2 N/2 NE/4 SW/4 NE/4 SE/4 S/2, Lots 3-4 S/2 NE/4 SW/4 SE/4 NE/4 SE/4 SW/4 of 31-12N-24W, aol</t>
  </si>
  <si>
    <t>Primary term expired; HBP status uncertain*
Recorded 2000-02-10. Leasing era 2000-2006; presumed expired absent production/HBP.</t>
  </si>
  <si>
    <t>Primary term expired; HBP status uncertain*
Recorded 2002-06-26. Leasing era 2000-2006; presumed expired absent production/HBP.</t>
  </si>
  <si>
    <t>Leasehold assigned (chain)
Doc 2007-008043; attached Roger Mills County Clerk unplatted legal index image row; Index p.1; legal/quarter extracted visually from image-only PDF.</t>
  </si>
  <si>
    <t>Leasehold assigned (chain)
Doc 2016-002793; attached Roger Mills County Clerk unplatted legal index image row; Index p.55; legal/quarter extracted visually from image-only PDF.</t>
  </si>
  <si>
    <t>Leasehold assigned (chain)
Existing workbook contained this OKCR public snippet; consolidated here for Section 31 text. Instrument 2017-000083 appears as Assignment, Book 002356, pages 0399-0592, images 194. Full image/exhibit not downloaded.</t>
  </si>
  <si>
    <t>Memorializes OGL — see related lease
Doc 2018-002049; attached Roger Mills County Clerk unplatted legal index image row; Index p.56; legal/quarter extracted visually from image-only PDF.</t>
  </si>
  <si>
    <t>Leasehold assigned (chain)
Doc 2020-001283; attached Roger Mills County Clerk unplatted legal index image row; Index p.58; legal/quarter extracted visually from image-only PDF.</t>
  </si>
  <si>
    <t>Leasehold assigned (chain)
Doc 2020-001577; attached Roger Mills County Clerk unplatted legal index image row; Index p.58; legal/quarter extracted visually from image-only PDF.</t>
  </si>
  <si>
    <t>Operating agreement — WI governance
Doc 2021-001559; attached Roger Mills County Clerk unplatted legal index image row; Index p.59; legal/quarter extracted visually from image-only PDF.</t>
  </si>
  <si>
    <t>Leasehold assigned (chain)
Doc 2021-001561; attached Roger Mills County Clerk unplatted legal index image row; Index p.59; legal/quarter extracted visually from image-only PDF.</t>
  </si>
  <si>
    <t>Leasehold assigned (chain)
Doc 2021-001605; attached Roger Mills County Clerk unplatted legal index image row; Index p.59; legal/quarter extracted visually from image-only PDF.</t>
  </si>
  <si>
    <t>Leasehold assigned (chain)
Doc 2024-002310; attached Roger Mills County Clerk unplatted legal index image row; Index p.61; legal/quarter extracted visually from image-only PDF.</t>
  </si>
  <si>
    <t>Leasehold assigned (chain)
Doc 2024-003107; attached Roger Mills County Clerk unplatted legal index image row; Index p.61; legal/quarter extracted visually from image-only PDF.</t>
  </si>
  <si>
    <t>Leasehold via successor entity
Doc 2024-007203; attached Roger Mills County Clerk unplatted legal index image row; Index p.61; legal/quarter extracted visually from image-only PDF.</t>
  </si>
  <si>
    <t>Memorializes OGL — see related lease
Doc 2025-006541; attached Roger Mills County Clerk unplatted legal index image row; Index p.63; legal/quarter extracted visually from image-only PDF.</t>
  </si>
  <si>
    <t>Uncertain</t>
  </si>
  <si>
    <t>Wellbore-only — limited rights
PDF page 88 / printed page 65 shows this wellbore assignment affects Section 31 NW NW; prior workbook legal showed non-target location. Full wellbore assignment image needed.</t>
  </si>
  <si>
    <t>1907-000158</t>
  </si>
  <si>
    <t>1908-003104</t>
  </si>
  <si>
    <t>1908-003106</t>
  </si>
  <si>
    <t>Christopher D. Greene, Trustee,
Gregg M. Satherlie and Chelin H. Satherlie 1989 Rev Trust</t>
  </si>
  <si>
    <t>James Gerard Buonaccorsi, Trustee,
Mitchell Buonaccorsi Living Trust U/a,
Carrie Leeann Mitchell, Trustee</t>
  </si>
  <si>
    <t>E/2 NW/4, N/2 NE/4, N/2 NE/4 SW/4, NE/4 SE/4, NE/4 SW/4, S/2, SE/4 NE/4, SE/4 SW/4, Lots 3 of 31-12N-24W</t>
  </si>
  <si>
    <t>Kevin Johnson Johnson, Trustee,
Kevin Warner Johnson Trust</t>
  </si>
  <si>
    <t>Mark Ashley Daigle, Trustee,
Mark Ashley Daigle Trust</t>
  </si>
  <si>
    <t>Daigle, Keri Lee Trust,
Keri Lee S/k/a Daigle,
Keri L. Tucker,
Tucker, Keri Lee Daigle Trust</t>
  </si>
  <si>
    <t>Tucker, Keri Lee Daigle Trust,
Keri Lee Daigle Tucker, Trustee</t>
  </si>
  <si>
    <t>E/2 NW/4, N/2, N/2 NE/4 SW/4, NE/4 SE/4, S/2, S/2 NE/4 SW/4, SE/4 NE/4, SE/4 SW/4, Lots 3 of 31-12N-24W</t>
  </si>
  <si>
    <t>Stride Bank Trustee,
Unbrella Trust</t>
  </si>
  <si>
    <t>S/2, S/2 NE/4 SW/4, SE/4 SW/4, Lots 4 of 31-12N-24W (AOL)</t>
  </si>
  <si>
    <t>E/2 NW/4, N/2 NE/4, N/2 NE/4 SW/4, NE/4 SE/4, S/2, S/2 NE/4 SW/4, SE/4 NE/4, SE/4 SW/4, Lots 3 of 31-12N-24W (AOL)</t>
  </si>
  <si>
    <t>Gena A/k/a Williams,
Gena Mitchell A/k/a Williams,
Gena W. Moore</t>
  </si>
  <si>
    <t>N/2 NE/4, N/2 NE/4 SW/4, NE/4 SE/4, NW/4, S/2, S/2 NE/4 SW/4, SE/4 NE/4, SE/4 SW/4, Lots 3 of 31-12N-24W</t>
  </si>
  <si>
    <t>First City National Bank of Midland Trustee</t>
  </si>
  <si>
    <t>Floyd Atha, Trustee</t>
  </si>
  <si>
    <t>Nancy Co Atha, Trustee</t>
  </si>
  <si>
    <t>Monte Earl Tucker</t>
  </si>
  <si>
    <t>Mitchel, Glenn Douglas and Hazel Pearl Trust</t>
  </si>
  <si>
    <t>Mitchel, Jack D. and Shonna A. Family Trust</t>
  </si>
  <si>
    <t>Nancy Mitchell Dcd Williams</t>
  </si>
  <si>
    <t>Vanguard Operating, LLC</t>
  </si>
  <si>
    <t>Fausta J. Bish, Trustee</t>
  </si>
  <si>
    <t>Letha M. Crouse</t>
  </si>
  <si>
    <t>Donnaleta Fuchs, Trustee</t>
  </si>
  <si>
    <t>Atha Revocable Trust, Floyd and Nancy</t>
  </si>
  <si>
    <t>Rachael Elzabeth Newell</t>
  </si>
  <si>
    <t>Mariyln K. Bryan, Trustee</t>
  </si>
  <si>
    <t>Jesse Joe Newell, Trustee</t>
  </si>
  <si>
    <t>Change of address of record only; no effect on mineral or title ownership.</t>
  </si>
  <si>
    <t>Change of address of record only; affects lands in 11-12N-21W (outside subject section); no effect on title to Section 31-12N-24W.</t>
  </si>
  <si>
    <t>Royfin Natural Gas, LLC</t>
  </si>
  <si>
    <t>Smith, William A. and Isa May Family Revocable Trust</t>
  </si>
  <si>
    <t>EDR, LLC mineral deeds (Bk 2625); see note on owner cell.</t>
  </si>
  <si>
    <t>6/16/2026</t>
  </si>
  <si>
    <t>Ernest Brooks and Mary Brooks, HW</t>
  </si>
  <si>
    <t>Charles T. Kennett and Sadie N. Kennett, HW</t>
  </si>
  <si>
    <t>4/401</t>
  </si>
  <si>
    <t>4/445</t>
  </si>
  <si>
    <t>4/556</t>
  </si>
  <si>
    <t>5/320</t>
  </si>
  <si>
    <t>5/332</t>
  </si>
  <si>
    <t>6/484</t>
  </si>
  <si>
    <t>8/649</t>
  </si>
  <si>
    <t>9/100</t>
  </si>
  <si>
    <t>9/113</t>
  </si>
  <si>
    <t>9/116</t>
  </si>
  <si>
    <t>9/176</t>
  </si>
  <si>
    <t>9/513</t>
  </si>
  <si>
    <t>10/262</t>
  </si>
  <si>
    <t>10/457</t>
  </si>
  <si>
    <t>11/337</t>
  </si>
  <si>
    <t>11/498</t>
  </si>
  <si>
    <t>12/452</t>
  </si>
  <si>
    <t>22/198</t>
  </si>
  <si>
    <t>45/202</t>
  </si>
  <si>
    <t>45/204</t>
  </si>
  <si>
    <t>45/206</t>
  </si>
  <si>
    <t>45/208</t>
  </si>
  <si>
    <t>45/212</t>
  </si>
  <si>
    <t>45/214</t>
  </si>
  <si>
    <t>45/598</t>
  </si>
  <si>
    <t>45/600</t>
  </si>
  <si>
    <t>47/166</t>
  </si>
  <si>
    <t>47/240</t>
  </si>
  <si>
    <t>78/309</t>
  </si>
  <si>
    <t>4/61</t>
  </si>
  <si>
    <t>4/64</t>
  </si>
  <si>
    <t>9/30</t>
  </si>
  <si>
    <t>9/32</t>
  </si>
  <si>
    <t>9/62</t>
  </si>
  <si>
    <t>11/83</t>
  </si>
  <si>
    <t>11/88</t>
  </si>
  <si>
    <t>H. M. Carter and Ethel Carter, HW</t>
  </si>
  <si>
    <t>E/2 NW/4, SE/4 NE/4, NE/4 SE/4, N/2 NE/4 SW/4 of 31-12N-24W, aol</t>
  </si>
  <si>
    <t>20/260 interest, being 20 NMA in 2 sections</t>
  </si>
  <si>
    <t>Marvin G. Mitchell and Carrie Lou Mitchell, HW, JTWROS</t>
  </si>
  <si>
    <t xml:space="preserve">E/2 NW/4, Lots 1, 2 of 31-12N-24W
</t>
  </si>
  <si>
    <t xml:space="preserve">SW/4 NE/4 SW/4 SE/4, SE/4 SE/4 of 31-12N-24W
</t>
  </si>
  <si>
    <t xml:space="preserve">SE/4 NE/4, NE/4 SE/4  of 31-12N-24W
</t>
  </si>
  <si>
    <t xml:space="preserve">E/2 NW/4, SE/4 NE/4, NE/4 SE/4, N/2 NE/4 SW/4 of 31-12N-24W, aol
</t>
  </si>
  <si>
    <t xml:space="preserve">ARTI, Except 1/2 of the ogms in the N/2 NE/4 
Corrects deed dated 2/21/1949
</t>
  </si>
  <si>
    <t>Surface Warranty Deed</t>
  </si>
  <si>
    <t>Marvin G. Mitchell and Carrie Lou Mitchell, HW</t>
  </si>
  <si>
    <t>Surface only, Grantors reserve all minerals</t>
  </si>
  <si>
    <t xml:space="preserve">Virginia Jaques and N. Virgina Jacques, one and the same person, a widow
</t>
  </si>
  <si>
    <t xml:space="preserve">ARTI
Subject to 1/2 of the royalty sold to Panhandle Co-Operative Royalty Company
</t>
  </si>
  <si>
    <t>Order and Final Decree</t>
  </si>
  <si>
    <t xml:space="preserve">Roger Mills County Court
RE: In the Matter of the Estate of Louis E. Jaques, deceased
</t>
  </si>
  <si>
    <t>Virginia Jaques, widow, 1/2,
Ethel Brister, 1/2</t>
  </si>
  <si>
    <t>E. T. Gamble and Zella M. Gamble, HW</t>
  </si>
  <si>
    <t>S/2 SW/4, S/2 N/2 SW/4 of 31-12N-24W</t>
  </si>
  <si>
    <t xml:space="preserve">Beckham County Court,
RE: In the Matter of the Estate of Benjamin H. Shotwell, Deceased
</t>
  </si>
  <si>
    <t xml:space="preserve">Maggie Bennett, 
Eli L. Shotwell,
Pearl L. Davis,
Roy T. Shotwell,
Ida M. Cuff
</t>
  </si>
  <si>
    <t>Elvin J. Ridling and Dorothy Jean Ridling, HW</t>
  </si>
  <si>
    <t>M. G. Mitchell and Carrie Lou Mitchell, HW, JTWROS</t>
  </si>
  <si>
    <t xml:space="preserve">E/2 NW/4, SE/4 NE/4, NE/4 SE/4, N/2 NE/4 SW/4, Lot 4, S/2 SW/4, SE/4 SW/4 of 31-12N-24W
</t>
  </si>
  <si>
    <t>W. L. Ayers and Hazel Ayers, HW</t>
  </si>
  <si>
    <t xml:space="preserve">Lot 4, S/2 of Lot 3, S/2 NE/4 SW/4, SE/4 SW/4 of 31-12N-24W
</t>
  </si>
  <si>
    <t>Surface only, 
To correct contract dated 1/24/1957</t>
  </si>
  <si>
    <t>Surface only</t>
  </si>
  <si>
    <t>55/115.34 interest, 55 NMA</t>
  </si>
  <si>
    <t>75/115.34 interest, 75 NMA</t>
  </si>
  <si>
    <t>10/115.34 interest, 10 NMA</t>
  </si>
  <si>
    <t>Robert O. Lister, Jr. and Marie Lister, HW</t>
  </si>
  <si>
    <t xml:space="preserve">E/2 NW/4, SE/4 NE/4, NE/4 SE/4, N/2 NE/4 SW/4, Lot 4, S/2 SW/4, SE/4 SW/4, Lot 4, S/2 of Lot 3, S/2 NE/4 SW/4, SE/4 SW/4 of 31-12N-24W, aol
</t>
  </si>
  <si>
    <t xml:space="preserve">Oklahoma County Court,
RE: In the Matter of the Estate of Kenneth A. Ellison, Deceased
</t>
  </si>
  <si>
    <t>Order Confirming Sale of Oil and Gas Leases</t>
  </si>
  <si>
    <t>Kiowa County Court,
RE: In the Matter of the Guardianship of the Estates of Nancy Susan Mitchell and Carrie Lee Ann Mitchell, Minors</t>
  </si>
  <si>
    <t xml:space="preserve">Kiowa County Court,
RE: In the Matter of the Guardianship of the Estates of Marvin Mitchell Williams and Gena Williams, Minors
</t>
  </si>
  <si>
    <t>Confirms Sale of Oil and Gas Leases</t>
  </si>
  <si>
    <t>Confirms Sale of 1/32 of 7/8 ORRI in Oil and Gas Leases</t>
  </si>
  <si>
    <t xml:space="preserve">J. B. Campbell and Lillie A. Campbell, a/k/a Lillie Hambrook, a/k/a Lillie A. Hambrook, HW
</t>
  </si>
  <si>
    <t>Elmo W. Kirk and Freeda Kirk, HW, JT</t>
  </si>
  <si>
    <t>Surface only, EXCEPTING and reserving unto Lillie Campbell, her heirs, executors, administrators and
assigns all interest in the oil, gas and other minerals in and under and that may be produced from said land with rights of ingress and egress.</t>
  </si>
  <si>
    <t>Beginning at the NW 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</si>
  <si>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L. E. Thurman and Veronica Thurman, HW</t>
  </si>
  <si>
    <t>60/260 interest in 2 sections</t>
  </si>
  <si>
    <t>E/2 NW/4, SE/4 NE/4, NE/4 SE/4, N/2 NE/4 SW/4, Lot 4, S/2 SW/4, SE/4 SW/4, S/2 of Lot 3, S/2 NE/4 SW/4, SE/4 SW/4 of 31-12N-24W, aol</t>
  </si>
  <si>
    <t xml:space="preserve">E/2 NW/4, SE/4 NE/4, NE/4 SE/4, N/2 NE/4 SW/4, Lot 4, S/2 SW/4, SE/4 SW/4, S/2 of Lot 3, S/2 NE/4 SW/4, SE/4 SW/4 of 31-12N-24W, aol
</t>
  </si>
  <si>
    <t>40/260 interest in 2 sections</t>
  </si>
  <si>
    <t>10/260 interest in 2 sections</t>
  </si>
  <si>
    <t xml:space="preserve">Elmo W. Kirk and Freeda Kirk, HW
</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</si>
  <si>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t>
  </si>
  <si>
    <t>Gordon E. Kirk and Ella Pearl Kirk, HW, JTWROS</t>
  </si>
  <si>
    <t xml:space="preserve">William C. Bain, a/k/a W. M. Bain, a/k/a W. C. Bain, and Eula Bain, HW
</t>
  </si>
  <si>
    <t>SW/4 NE/4, NW/4 SE/4, S/2 SE/4 of 31-12N-24W, aol</t>
  </si>
  <si>
    <t>40/791.47 interest in 2 sections</t>
  </si>
  <si>
    <t>Bliss Reeves and Valiria Reeves, HW</t>
  </si>
  <si>
    <t xml:space="preserve">Troy B. Reeves and Vera June Reeves, HW, JTWROS
</t>
  </si>
  <si>
    <t>Lots 3, 4, SE/4 SW/4 of 31-12N-24W, aol</t>
  </si>
  <si>
    <t>Surface only, EXCEPTING and reserving unto grantors, their heirs, executors, administrators and
assigns all interest in the oil, gas and other minerals in and under and that may be produced from said land with rights of ingress and egress.</t>
  </si>
  <si>
    <t>The North 40 acres of: A tract of land in 31-12N-24W., described as follows: Beginning at the NWCorner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acres, more or less, accord- ing to the Government Survey thereof</t>
  </si>
  <si>
    <t>Surface only, RESERVING AND EXCEPTING unto grantor, her heirs, executors, administrators, and assigns, all her right, title and interest in and to all of the oil, gas and other minerals in and under the surface of said land, to- gether with the full right to enter upon said premises and us so much of the surface thereof as may be reasonably necessary for operating, drilling and marketing the production thereof.</t>
  </si>
  <si>
    <t xml:space="preserve">Beckham County Court,
RE: In the Matter of the Estate of Lillie Campbell, Deceased 
</t>
  </si>
  <si>
    <t>Virgil Hambrook, 1/2,
Letty Atha, 1/2</t>
  </si>
  <si>
    <t>ARTI, 46 NMA</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</si>
  <si>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</si>
  <si>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 xml:space="preserve">Roger Mills County Court,
RE: In the Matter of the Judicial Determination of Death of Elmo W. Kirk, Joint Tenant
</t>
  </si>
  <si>
    <t>Order and Decree</t>
  </si>
  <si>
    <t>LESS AND EXCEPT all the oil, gas and other minerals:</t>
  </si>
  <si>
    <t xml:space="preserve">The North 40 acres of a tract of land in 31-12N-24W, described as follows: Beginning at the NW corner of the NW/4 of 31-12N-24W, Thence East on Section line 18.20 chains (or 72 8/10 rods); Thence South 50 chains (or 200 rods); Thence West 18.20 chains ins (or 72 8/10 rods) to Range line between Ranges 24 and 25; Thence North on Range line 50 chains (Or 200 rods) to point of beginning, containing 91 acres, more or less, accord- ing to the Government Survey thereof
</t>
  </si>
  <si>
    <t>RESERVING AND EXCEPTING unto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t>
  </si>
  <si>
    <t>A 7 acre tract out of the North 40 acres of a tract of land in 31-12N-24W, described as follows: Beginning at the NW Corner of the NW/4 of 31-12N-24W, Thence East on Section Line 18.20 chains, (or 72 8/10 rods); Thence South 50 chains (or 200 rods); Thence West 18.20 chains, (or 72 8/10 rods); Thence South 50 chains (or 200 rods); Thence West 18.20 chains, (or 72 8/10 rods)s) too Range line between Ranges 24 and
25; Thence North on Range line 50 chains (or 200 rods) to point of beginning containing 40 acres, more or less, according to the Government Survey thereof</t>
  </si>
  <si>
    <t>Corrective Joint Tenancy Warranty Deed</t>
  </si>
  <si>
    <t>A tract in Lot 1, in 31-12N-24W, described as follows: Beginning at the NW Corner of said Lot One 1, Thence East 420.58 feet; Thence South 725.00 feet; Thence West 420.58 feet; and Thence North 725.00 feet to point of beginning, containing 7 acres, more or less</t>
  </si>
  <si>
    <t xml:space="preserve">RESERVING ANC EXCEPTING unto the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
</t>
  </si>
  <si>
    <t>Herman M. Sidees and Laury C. Sidees, HW, JTWROS</t>
  </si>
  <si>
    <t>Herman M. Sidees and Laury C. Sidees, HW</t>
  </si>
  <si>
    <t>10/791.47 interest in 2 sections</t>
  </si>
  <si>
    <t>ARTI (60 ac.) see 838/162, 838/173</t>
  </si>
  <si>
    <t>Trust
An undivided 40/791.47 interest</t>
  </si>
  <si>
    <t>W. C. Bain Jr., Trustee</t>
  </si>
  <si>
    <t>The North 33 acres of:
part Roger Mills County,
A tract of land in 31-12N-24W, Described as follows: Beginning at the Northwest Corner of the Northwest Quarter (A) of 31-12N-24W, Thence East on Section Line 18.20 chains, (or 72 8/10 rods); Thence South 50 chains (or 200 rods); Thence West 18.20 chains, (or 72 8/10 rods) to Range line between Ranges 24 and 25; Thence North on Range line 50 chains (or 200 rods) to point of beginning containing 40 acres, more or less according to the Government Survey thereof;</t>
  </si>
  <si>
    <t>Moore-Stansberry, Inc.</t>
  </si>
  <si>
    <t>11 NMA</t>
  </si>
  <si>
    <t xml:space="preserve">Glenn D. Mitchel Hazel P. Mitchel, HW
</t>
  </si>
  <si>
    <t>5/260 interest in 2 sections</t>
  </si>
  <si>
    <t>10.725 NMA</t>
  </si>
  <si>
    <t>0.55 NMA</t>
  </si>
  <si>
    <t>Gordon E. Kirk, Ella Pearl Kirk, HW, JTWROS</t>
  </si>
  <si>
    <t xml:space="preserve">LESS and except all of the oil, gas and other minerals, which oil, gas and other minerals is owned by third parties of record.
</t>
  </si>
  <si>
    <t xml:space="preserve">Sorenson Oil &amp; Gas Trust,
Michelle Sorenson Johnson, Trustee,
Marchelle Sorenson Uaigle, Trustee
</t>
  </si>
  <si>
    <t>0.22 NMA</t>
  </si>
  <si>
    <t xml:space="preserve">LESS and except all of the oil, gas and other minerals, which oil, gas and other minerals </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</si>
  <si>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</si>
  <si>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</si>
  <si>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 xml:space="preserve">Billy W. Bain and Barbara J. Bain, HW
</t>
  </si>
  <si>
    <t>S/2 SE/4, NW/4 SE/4, SW/4 NE/4 of 31-12N-24W, aol</t>
  </si>
  <si>
    <t>1/791.47 interest in 2 sections</t>
  </si>
  <si>
    <t>Trust Agreement</t>
  </si>
  <si>
    <t xml:space="preserve">Billy Wayne Bain, Trustee for Hazel A. Hamilton under Trust Agreement dated January 29, 1983
</t>
  </si>
  <si>
    <t>3/791.47 interest in 2 sections</t>
  </si>
  <si>
    <t xml:space="preserve">Roger Mills County Court
RE: In the Matter of the Estate of Jesse G. French, Deceased
</t>
  </si>
  <si>
    <t>Lola B. French</t>
  </si>
  <si>
    <t>2/791.47 interest in 2 sections</t>
  </si>
  <si>
    <t xml:space="preserve">Robert H. Frazier, 1/3,
Clyde A. Pine, 1/3,
Charles D. Ray, 1/3
</t>
  </si>
  <si>
    <t>An undivided 15.789% of 11% of Grantor's interest in the oil, gas
and other minerals</t>
  </si>
  <si>
    <t>An undivided 89% of 25% of Grantor's interest in the oil, gas and other minerals</t>
  </si>
  <si>
    <t>E/2 NW/4, N/2 NE/4 SW/4, SE/4 NE/4, NE/4 SE/4 of 31-12N-24W</t>
  </si>
  <si>
    <t xml:space="preserve">E/2 NW/4, N/2 NE/4 SW/4, SE/4 NE/4, NE/4 SE/4 of 31-12N-24W
</t>
  </si>
  <si>
    <t>ARTI, See 417/121, 442/109, 426/103, 442/110, 442/105, 452/212, 428/244, 442/107</t>
  </si>
  <si>
    <t>Quitclaim Mineral Deed</t>
  </si>
  <si>
    <t xml:space="preserve">NE/4 SE/4, SE/4 NE/4, N/2 NE/4 SW/4, E/2 NW/4 of 31-12N-24W, aol
</t>
  </si>
  <si>
    <t>Sheriff's Deed</t>
  </si>
  <si>
    <t>A tract in Lot 1 in 31-12N-24W, described as follows: Beginning at the NW Corner of said Lot Is thence East 420.38 feets thence South 725 feets thence West 420.58 feet; thence North 725 feet to the point of beginning. containing 7 acres, more or less</t>
  </si>
  <si>
    <t xml:space="preserve">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t>
  </si>
  <si>
    <t>Trustee's Deed</t>
  </si>
  <si>
    <t>Darlene Hall Cox, 3/4,
Sunya Lee Westkaemper, 1/4</t>
  </si>
  <si>
    <t xml:space="preserve">Liberty National Bank &amp; Trust Company, Trustee of C. W. Hall, Deceased
</t>
  </si>
  <si>
    <t>31-12N-24W not found on document</t>
  </si>
  <si>
    <t xml:space="preserve">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t>
  </si>
  <si>
    <t xml:space="preserve">Mann Childrens Trust, by Walter J. Rusek, Trustee
</t>
  </si>
  <si>
    <t>2/260 interest in 2 sections
being the same property conveved in Mineral Deed dated May 24, 1974, from Marie Lister to Mann Children's Trust, recorded in Book 165, Page 87 of the Mineral Records of Roger Mills County, Oklahoma, containing 260 acres, more or less, to</t>
  </si>
  <si>
    <t xml:space="preserve">Paul R. and/or Deborah A. Deutsch
</t>
  </si>
  <si>
    <t xml:space="preserve">Paul R. and Deborah A. Deutsch
</t>
  </si>
  <si>
    <t>5/791.47 interest in 2 sections</t>
  </si>
  <si>
    <t>An undivided 16.385%t of all of GRANTOR'S interest in and to all of the oil, gas, and other minerals</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</si>
  <si>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</si>
  <si>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6/791.47 interest in 2 sections</t>
  </si>
  <si>
    <t>Non-Participating Royalty Deed</t>
  </si>
  <si>
    <t xml:space="preserve">First City National Bank of Midland, Trustee of the ETA-Flag Royalty Trust
</t>
  </si>
  <si>
    <t>An undivided 1/8 royalty as a free royalty in oil, gas and all other minerals</t>
  </si>
  <si>
    <t>THE SURFACE RIGHTS ONLY</t>
  </si>
  <si>
    <t>Parts of 31-12N-24W, aol</t>
  </si>
  <si>
    <t>George M. Bryan and Clara Mae Bryan, HW</t>
  </si>
  <si>
    <t>Beckham County Court,
RE: In the Matter of the Estate of Margaret Gray, Deceased</t>
  </si>
  <si>
    <t>Murrell A. Gray, 1/3,
Fred A. Standiford, Jr., 1/3,
Alfred W. Standiford, 1/3</t>
  </si>
  <si>
    <t>ARTI, An undivided 7/48ths interest
(5.8333 min. ac.)</t>
  </si>
  <si>
    <t xml:space="preserve">It is the intent to convey 8.0862 acres.
</t>
  </si>
  <si>
    <t>Dow C. Bain, (and OR) Edris O. Bain, JTWROS</t>
  </si>
  <si>
    <t>change of address</t>
  </si>
  <si>
    <t xml:space="preserve">1/6 of 7/40 interest (0.9722 NMA)
</t>
  </si>
  <si>
    <t xml:space="preserve">Beckham County Court,
RE: In the Matter of the Estate of Murrell A. Gray, Deceased
</t>
  </si>
  <si>
    <t xml:space="preserve">William Cobal Bain, Jr. and Billy Wayne Bain, Trustees of the Willaim C. Bain Trust </t>
  </si>
  <si>
    <t>An undivided 43.496666/791.47th interest in and to the oil, gas and other minerals</t>
  </si>
  <si>
    <t xml:space="preserve">Beckham County Court,
RE: In the Matter of the Estate of Eula M. Bain, Deceased
</t>
  </si>
  <si>
    <t>Ernest Jensen and Wilda Jensen, HW</t>
  </si>
  <si>
    <t>W. C. Bain Jr., as Trustee under the Trust Agreement executed by Crystal F. Pallo</t>
  </si>
  <si>
    <t>Trustee's Mineral Deed</t>
  </si>
  <si>
    <t>An undivided 3.33333/791.47 interest in 2 sections</t>
  </si>
  <si>
    <t>Beckham County Court,
RE: In the Matter of the Estate of Evan K. Fuchs, Deceased</t>
  </si>
  <si>
    <t xml:space="preserve">Clayton D. Fuchs, 1/4, 
Westal W. Fuchs, 1/4, 
Chloe Ellen Fuchs Davis, 1/4, 
Curtis Fuchs, 1/8,
Rita Wilson, 1/8
</t>
  </si>
  <si>
    <t xml:space="preserve">An undivided 2/160th (2 acres) in 31-12N-24W,
10/791.47 interest in 2 sections
</t>
  </si>
  <si>
    <t>An undivided 7/48ths interest
(5.8333 min. ac.)</t>
  </si>
  <si>
    <t xml:space="preserve">Beckham County Court,
RE: In the Matter of the Estate of Margaret Gray, Deceased
</t>
  </si>
  <si>
    <t>General Inventory and Appraisement</t>
  </si>
  <si>
    <t>Final Account</t>
  </si>
  <si>
    <t>Murrell A. Gray, 1/2,
Fred A. Standiford, Jr., 1/2</t>
  </si>
  <si>
    <t>Return of Sale</t>
  </si>
  <si>
    <t>Fred A. Standiford, Jr.</t>
  </si>
  <si>
    <t>Consent to Sell</t>
  </si>
  <si>
    <t>Order Confirming Sale</t>
  </si>
  <si>
    <t>Mineral Quit Claim Deed</t>
  </si>
  <si>
    <t>First State Bank &amp; Trust Company</t>
  </si>
  <si>
    <t>Federal Deposit Insurance Corporation</t>
  </si>
  <si>
    <t>State Bank &amp; Trust Company</t>
  </si>
  <si>
    <t xml:space="preserve">An undivided 1/3 of 7/48ths interest in all of the mineral interests or undivided interests in oil, gas and other minerals and mineral rights in real property </t>
  </si>
  <si>
    <t xml:space="preserve">Quit Claim Mineral Deed, Assignment and Conveyance </t>
  </si>
  <si>
    <t>The Hefner Corporation</t>
  </si>
  <si>
    <t xml:space="preserve">Charles O. Burckhalter, Trustee of the Burckhalter Family Trust dated July 9, 1990
</t>
  </si>
  <si>
    <t>Lot 1, S/2 of Lot 3, S/2 NE/4 SW/4, SE/4 SW/4 of 31-12N-24W, aol</t>
  </si>
  <si>
    <t xml:space="preserve">Beckham County Court,
RE: In the Matter of the Estate of Annie E. Mitchel, Deceased
</t>
  </si>
  <si>
    <t xml:space="preserve">Glenn D. Mitchel, 1/3,
Louise Ormand, 1/3,
Mattie Britton,  1/3
</t>
  </si>
  <si>
    <t xml:space="preserve">ARTI, An undivided 1/26th interest </t>
  </si>
  <si>
    <t xml:space="preserve">Estate of Dwight J. Wilson, deceased
</t>
  </si>
  <si>
    <t>UMC Petroleum Corp - Delaware</t>
  </si>
  <si>
    <t xml:space="preserve">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
</t>
  </si>
  <si>
    <t>Mary Margaret Devenas, f/k/a Mary Margaret Wilson</t>
  </si>
  <si>
    <t xml:space="preserve">Joseph Devenas and Mary Margaret Devenas, HW, JTWROS
</t>
  </si>
  <si>
    <t>S/2 N/2 SW/4, SW/4 SW/4, SE/4 SW/4 of 31-12N-24W</t>
  </si>
  <si>
    <t>ARTI, deed is given to remove cloud on title of above land, because of affidavit filed iin Book 12 Miscl. Page 119</t>
  </si>
  <si>
    <t>ARTI, to correct deed at 45/395</t>
  </si>
  <si>
    <t>Jack Brister and Ethel Brister , HW</t>
  </si>
  <si>
    <t xml:space="preserve">An undivided 7/48ths interest in all of the mineral interests or undivided interests in oil, gas and other minerals and mineral rights in real property (5.8333 min.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</si>
</sst>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0"/>
    <numFmt numFmtId="165" formatCode="0.000000"/>
    <numFmt numFmtId="166" formatCode="#\ ???/???"/>
    <numFmt numFmtId="167" formatCode="m/d/yy"/>
    <numFmt numFmtId="168" formatCode="mm/dd/yyyy"/>
    <numFmt numFmtId="169" formatCode="0.000000;\(0.000000\);&quot;&quot;"/>
    <numFmt numFmtId="170" formatCode="#,##0.00;\(#,##0.00\);&quot;&quot;"/>
    <numFmt numFmtId="171" formatCode="00"/>
  </numFmts>
  <fonts count="94" x14ac:knownFonts="1">
    <font>
      <sz val="11"/>
      <color theme="1"/>
      <name val="Calibri"/>
      <scheme val="minor"/>
    </font>
    <font>
      <sz val="11"/>
      <color theme="1"/>
      <name val="Calibri"/>
      <family val="2"/>
      <scheme val="minor"/>
    </font>
    <font>
      <sz val="11"/>
      <color theme="1"/>
      <name val="Calibri"/>
      <family val="2"/>
      <scheme val="minor"/>
    </font>
    <font>
      <b/>
      <sz val="9"/>
      <color theme="1"/>
      <name val="Calibri"/>
      <family val="2"/>
    </font>
    <font>
      <sz val="9"/>
      <color theme="1"/>
      <name val="Calibri"/>
      <family val="2"/>
    </font>
    <font>
      <sz val="9"/>
      <color theme="1"/>
      <name val="Arial"/>
      <family val="2"/>
    </font>
    <font>
      <sz val="10"/>
      <color theme="1"/>
      <name val="Arial"/>
      <family val="2"/>
    </font>
    <font>
      <sz val="9"/>
      <name val="Calibri"/>
      <family val="2"/>
      <scheme val="minor"/>
    </font>
    <font>
      <sz val="8"/>
      <name val="Calibri"/>
      <family val="2"/>
      <scheme val="minor"/>
    </font>
    <font>
      <sz val="10"/>
      <name val="Calibri"/>
      <family val="2"/>
      <scheme val="minor"/>
    </font>
    <font>
      <sz val="10"/>
      <name val="Times New Roman"/>
      <family val="1"/>
    </font>
    <font>
      <sz val="14"/>
      <name val="Calibri"/>
      <family val="2"/>
      <scheme val="minor"/>
    </font>
    <font>
      <b/>
      <sz val="16"/>
      <name val="Calibri"/>
      <family val="2"/>
      <scheme val="minor"/>
    </font>
    <font>
      <b/>
      <sz val="14"/>
      <name val="Calibri"/>
      <family val="2"/>
      <scheme val="minor"/>
    </font>
    <font>
      <b/>
      <u/>
      <sz val="16"/>
      <name val="Calibri"/>
      <family val="2"/>
      <scheme val="minor"/>
    </font>
    <font>
      <sz val="10"/>
      <name val="Verdana"/>
      <family val="2"/>
    </font>
    <font>
      <b/>
      <sz val="10"/>
      <name val="Calibri"/>
      <family val="2"/>
      <scheme val="minor"/>
    </font>
    <font>
      <b/>
      <sz val="12"/>
      <name val="Arial"/>
      <family val="2"/>
    </font>
    <font>
      <b/>
      <sz val="9.5"/>
      <name val="Calibri"/>
      <family val="2"/>
      <scheme val="minor"/>
    </font>
    <font>
      <b/>
      <sz val="10"/>
      <color indexed="8"/>
      <name val="Calibri"/>
      <family val="2"/>
      <scheme val="minor"/>
    </font>
    <font>
      <sz val="12"/>
      <name val="Times New Roman"/>
      <family val="1"/>
    </font>
    <font>
      <i/>
      <sz val="9"/>
      <name val="Calibri"/>
      <family val="2"/>
      <scheme val="minor"/>
    </font>
    <font>
      <sz val="10"/>
      <color indexed="8"/>
      <name val="Calibri"/>
      <family val="2"/>
      <scheme val="minor"/>
    </font>
    <font>
      <sz val="9"/>
      <color theme="1"/>
      <name val="Calibri"/>
      <family val="2"/>
      <scheme val="minor"/>
    </font>
    <font>
      <b/>
      <u/>
      <sz val="9"/>
      <color theme="1"/>
      <name val="Calibri"/>
      <family val="2"/>
    </font>
    <font>
      <sz val="9"/>
      <name val="Arial"/>
      <family val="2"/>
    </font>
    <font>
      <b/>
      <sz val="9"/>
      <name val="Arial"/>
      <family val="2"/>
    </font>
    <font>
      <sz val="10"/>
      <name val="Arial"/>
      <family val="2"/>
    </font>
    <font>
      <b/>
      <sz val="10"/>
      <color indexed="10"/>
      <name val="Arial"/>
      <family val="2"/>
    </font>
    <font>
      <sz val="10"/>
      <name val="Wingdings 2"/>
      <family val="1"/>
      <charset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b/>
      <sz val="9"/>
      <name val="Calibri"/>
      <family val="2"/>
      <scheme val="minor"/>
    </font>
    <font>
      <sz val="9"/>
      <name val="Calibri"/>
      <family val="2"/>
    </font>
    <font>
      <b/>
      <sz val="10"/>
      <color theme="4" tint="0.59999389629810485"/>
      <name val="Calibri"/>
      <family val="2"/>
      <scheme val="minor"/>
    </font>
    <font>
      <b/>
      <sz val="12"/>
      <color theme="4" tint="0.59999389629810485"/>
      <name val="Arial"/>
      <family val="2"/>
    </font>
    <font>
      <b/>
      <sz val="14"/>
      <color theme="4" tint="0.59999389629810485"/>
      <name val="Calibri"/>
      <family val="2"/>
      <scheme val="minor"/>
    </font>
    <font>
      <sz val="9"/>
      <color rgb="FFFF0000"/>
      <name val="Arial"/>
      <family val="2"/>
    </font>
    <font>
      <b/>
      <sz val="11"/>
      <color rgb="FFC00000"/>
      <name val="Calibri"/>
      <family val="2"/>
      <scheme val="minor"/>
    </font>
    <font>
      <b/>
      <sz val="9"/>
      <color rgb="FFC00000"/>
      <name val="Calibri"/>
      <family val="2"/>
    </font>
    <font>
      <u/>
      <sz val="11"/>
      <color theme="10"/>
      <name val="Calibri"/>
      <family val="2"/>
      <scheme val="minor"/>
    </font>
    <font>
      <b/>
      <sz val="10"/>
      <name val="Calibri"/>
      <family val="2"/>
    </font>
    <font>
      <b/>
      <sz val="14"/>
      <name val="Calibri"/>
      <family val="2"/>
    </font>
    <font>
      <sz val="10"/>
      <name val="Calibri"/>
      <family val="2"/>
    </font>
    <font>
      <sz val="9"/>
      <name val="Calibri"/>
      <family val="2"/>
    </font>
    <font>
      <sz val="10"/>
      <color theme="1"/>
      <name val="Calibri"/>
      <family val="2"/>
      <scheme val="minor"/>
    </font>
    <font>
      <b/>
      <sz val="11"/>
      <color rgb="FFFFFFFF"/>
      <name val="Calibri"/>
      <family val="2"/>
      <scheme val="minor"/>
    </font>
    <font>
      <b/>
      <sz val="11"/>
      <color theme="1"/>
      <name val="Calibri"/>
      <family val="2"/>
      <scheme val="minor"/>
    </font>
    <font>
      <sz val="10"/>
      <color rgb="FFC00000"/>
      <name val="Calibri"/>
      <family val="2"/>
      <scheme val="minor"/>
    </font>
    <font>
      <sz val="10"/>
      <name val="Calibri"/>
      <family val="2"/>
    </font>
    <font>
      <b/>
      <sz val="11"/>
      <color rgb="FFFFFFFF"/>
      <name val="Calibri"/>
      <family val="2"/>
    </font>
    <font>
      <sz val="10"/>
      <color rgb="FF222222"/>
      <name val="Calibri"/>
      <family val="2"/>
      <scheme val="minor"/>
    </font>
    <font>
      <sz val="10"/>
      <color rgb="FF222222"/>
      <name val="Calibri"/>
      <family val="2"/>
    </font>
    <font>
      <b/>
      <sz val="10"/>
      <color rgb="FFFFFFFF"/>
      <name val="Calibri"/>
      <family val="2"/>
    </font>
    <font>
      <b/>
      <sz val="10"/>
      <color rgb="FFFFFFFF"/>
      <name val="Calibri"/>
      <family val="2"/>
      <scheme val="minor"/>
    </font>
    <font>
      <sz val="10"/>
      <color rgb="FF222222"/>
      <name val="Calibri"/>
      <family val="2"/>
    </font>
    <font>
      <sz val="11"/>
      <name val="Calibri"/>
      <family val="2"/>
    </font>
    <font>
      <b/>
      <sz val="11"/>
      <color rgb="FFFFFFFF"/>
      <name val="Calibri"/>
      <family val="2"/>
      <charset val="1"/>
    </font>
    <font>
      <sz val="9"/>
      <color theme="1"/>
      <name val="Arial"/>
      <family val="2"/>
      <charset val="1"/>
    </font>
    <font>
      <sz val="10"/>
      <color theme="1"/>
      <name val="Arial"/>
      <family val="2"/>
      <charset val="1"/>
    </font>
    <font>
      <sz val="10"/>
      <name val="Calibri"/>
      <family val="2"/>
      <charset val="1"/>
    </font>
    <font>
      <sz val="10"/>
      <name val="Calibri"/>
      <family val="2"/>
    </font>
    <font>
      <sz val="10"/>
      <color rgb="FF222222"/>
      <name val="Calibri"/>
      <family val="2"/>
    </font>
    <font>
      <sz val="10"/>
      <color rgb="FF222222"/>
      <name val="Calibri"/>
      <family val="2"/>
      <charset val="1"/>
    </font>
    <font>
      <sz val="8"/>
      <color rgb="FFC00000"/>
      <name val="Arial"/>
      <family val="2"/>
    </font>
    <font>
      <sz val="8"/>
      <name val="Arial"/>
      <family val="2"/>
    </font>
    <font>
      <i/>
      <sz val="8"/>
      <color rgb="FFFF0000"/>
      <name val="Arial"/>
      <family val="2"/>
    </font>
    <font>
      <sz val="10"/>
      <color rgb="FF0000FF"/>
      <name val="Arial"/>
      <family val="2"/>
    </font>
    <font>
      <sz val="8"/>
      <name val="Calibri"/>
      <family val="2"/>
    </font>
    <font>
      <b/>
      <sz val="10"/>
      <color rgb="FFFF0000"/>
      <name val="Arial"/>
      <family val="2"/>
    </font>
    <font>
      <b/>
      <sz val="9"/>
      <color rgb="FFFF0000"/>
      <name val="Arial"/>
      <family val="2"/>
    </font>
    <font>
      <i/>
      <sz val="8"/>
      <name val="Arial"/>
      <family val="2"/>
    </font>
    <font>
      <sz val="10"/>
      <color rgb="FF808080"/>
      <name val="Arial"/>
      <family val="2"/>
    </font>
    <font>
      <sz val="10"/>
      <color rgb="FF222222"/>
      <name val="Calibri"/>
      <charset val="1"/>
    </font>
    <font>
      <u/>
      <sz val="10"/>
      <color theme="10"/>
      <name val="Calibri"/>
      <family val="2"/>
      <charset val="1"/>
    </font>
    <font>
      <sz val="9"/>
      <name val="Arial"/>
    </font>
    <font>
      <sz val="9"/>
      <color rgb="FFFF0000"/>
      <name val="Arial"/>
    </font>
    <font>
      <b/>
      <sz val="9"/>
      <name val="Arial"/>
    </font>
    <font>
      <b/>
      <sz val="12"/>
      <color theme="1"/>
      <name val="Arial"/>
    </font>
    <font>
      <i/>
      <sz val="9"/>
      <color rgb="FF595959"/>
      <name val="Arial"/>
    </font>
    <font>
      <b/>
      <sz val="10"/>
      <color theme="1"/>
      <name val="Arial"/>
    </font>
    <font>
      <b/>
      <sz val="9"/>
      <color rgb="FFFFFFFF"/>
      <name val="Arial"/>
    </font>
    <font>
      <sz val="9"/>
      <color theme="1"/>
      <name val="Arial"/>
    </font>
    <font>
      <b/>
      <sz val="11"/>
      <color theme="1"/>
      <name val="Calibri"/>
      <scheme val="minor"/>
    </font>
    <font>
      <b/>
      <sz val="14"/>
      <color rgb="FFFFFFFF"/>
      <name val="Calibri"/>
      <scheme val="minor"/>
    </font>
    <font>
      <sz val="10"/>
      <color theme="1"/>
      <name val="Calibri"/>
      <scheme val="minor"/>
    </font>
    <font>
      <b/>
      <sz val="10"/>
      <color theme="1"/>
      <name val="Calibri"/>
      <scheme val="minor"/>
    </font>
    <font>
      <b/>
      <sz val="11"/>
      <color rgb="FFFFFFFF"/>
      <name val="Calibri"/>
      <scheme val="minor"/>
    </font>
    <font>
      <sz val="9"/>
      <color theme="1"/>
      <name val="Calibri"/>
      <scheme val="minor"/>
    </font>
    <font>
      <sz val="9"/>
      <color indexed="81"/>
      <name val="Tahoma"/>
      <charset val="1"/>
    </font>
    <font>
      <b/>
      <sz val="9"/>
      <color indexed="81"/>
      <name val="Tahoma"/>
      <charset val="1"/>
    </font>
  </fonts>
  <fills count="43">
    <fill>
      <patternFill patternType="none"/>
    </fill>
    <fill>
      <patternFill patternType="gray125"/>
    </fill>
    <fill>
      <patternFill patternType="solid">
        <fgColor rgb="FFD8D8D8"/>
        <bgColor rgb="FFD8D8D8"/>
      </patternFill>
    </fill>
    <fill>
      <patternFill patternType="solid">
        <fgColor rgb="FFFFFF99"/>
        <bgColor rgb="FFFFFF99"/>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39997558519241921"/>
        <bgColor indexed="65"/>
      </patternFill>
    </fill>
    <fill>
      <patternFill patternType="solid">
        <fgColor rgb="FFFFFF00"/>
      </patternFill>
    </fill>
    <fill>
      <patternFill patternType="solid">
        <fgColor rgb="FFCC99FF"/>
        <bgColor indexed="64"/>
      </patternFill>
    </fill>
    <fill>
      <patternFill patternType="solid">
        <fgColor rgb="FFFF9999"/>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1D2330"/>
        <bgColor indexed="64"/>
      </patternFill>
    </fill>
    <fill>
      <patternFill patternType="solid">
        <fgColor rgb="FFE2E3E5"/>
        <bgColor indexed="64"/>
      </patternFill>
    </fill>
    <fill>
      <patternFill patternType="solid">
        <fgColor rgb="FF1F3864"/>
      </patternFill>
    </fill>
    <fill>
      <patternFill patternType="solid">
        <fgColor rgb="FF1F4E78"/>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2CC"/>
        <bgColor indexed="64"/>
      </patternFill>
    </fill>
    <fill>
      <patternFill patternType="solid">
        <fgColor theme="0"/>
        <bgColor rgb="FFEDEDED"/>
      </patternFill>
    </fill>
    <fill>
      <patternFill patternType="solid">
        <fgColor rgb="FFE2EFDA"/>
        <bgColor rgb="FFE6E6E6"/>
      </patternFill>
    </fill>
    <fill>
      <patternFill patternType="solid">
        <fgColor rgb="FFC6EFCE"/>
        <bgColor indexed="64"/>
      </patternFill>
    </fill>
    <fill>
      <patternFill patternType="solid">
        <fgColor rgb="FFFFC7CE"/>
        <bgColor indexed="64"/>
      </patternFill>
    </fill>
    <fill>
      <patternFill patternType="solid">
        <fgColor rgb="FFDDEBF7"/>
        <bgColor indexed="64"/>
      </patternFill>
    </fill>
    <fill>
      <patternFill patternType="solid">
        <fgColor rgb="FF44546A"/>
        <bgColor indexed="64"/>
      </patternFill>
    </fill>
    <fill>
      <patternFill patternType="solid">
        <fgColor rgb="FFD9D9D9"/>
        <bgColor indexed="64"/>
      </patternFill>
    </fill>
    <fill>
      <patternFill patternType="solid">
        <fgColor rgb="FFFFE699"/>
        <bgColor indexed="64"/>
      </patternFill>
    </fill>
    <fill>
      <patternFill patternType="solid">
        <fgColor rgb="FFBDD7EE"/>
        <bgColor indexed="64"/>
      </patternFill>
    </fill>
    <fill>
      <patternFill patternType="solid">
        <fgColor rgb="FFF8CBAD"/>
        <bgColor indexed="64"/>
      </patternFill>
    </fill>
    <fill>
      <patternFill patternType="solid">
        <fgColor rgb="FFC6E0B4"/>
        <bgColor indexed="64"/>
      </patternFill>
    </fill>
    <fill>
      <patternFill patternType="solid">
        <fgColor rgb="FF9DC3E6"/>
        <bgColor indexed="64"/>
      </patternFill>
    </fill>
    <fill>
      <patternFill patternType="solid">
        <fgColor rgb="FFC9B6E4"/>
        <bgColor indexed="64"/>
      </patternFill>
    </fill>
    <fill>
      <patternFill patternType="solid">
        <fgColor rgb="FFF4B183"/>
        <bgColor indexed="64"/>
      </patternFill>
    </fill>
    <fill>
      <patternFill patternType="solid">
        <fgColor rgb="FFFFC000"/>
        <bgColor indexed="64"/>
      </patternFill>
    </fill>
    <fill>
      <patternFill patternType="solid">
        <fgColor rgb="FF66FF99"/>
        <bgColor indexed="64"/>
      </patternFill>
    </fill>
  </fills>
  <borders count="9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style="thin">
        <color indexed="64"/>
      </left>
      <right style="thin">
        <color indexed="64"/>
      </right>
      <top style="thin">
        <color rgb="FFD9E2F3"/>
      </top>
      <bottom style="thin">
        <color indexed="64"/>
      </bottom>
      <diagonal/>
    </border>
    <border>
      <left style="thin">
        <color auto="1"/>
      </left>
      <right style="thin">
        <color rgb="FFD9E2F3"/>
      </right>
      <top style="thin">
        <color auto="1"/>
      </top>
      <bottom style="thin">
        <color auto="1"/>
      </bottom>
      <diagonal/>
    </border>
    <border>
      <left style="thin">
        <color rgb="FFD9E2F3"/>
      </left>
      <right style="thin">
        <color rgb="FFD9E2F3"/>
      </right>
      <top style="thin">
        <color rgb="FFD9E2F3"/>
      </top>
      <bottom/>
      <diagonal/>
    </border>
    <border>
      <left style="thin">
        <color rgb="FFD9E2F3"/>
      </left>
      <right style="thin">
        <color auto="1"/>
      </right>
      <top style="thin">
        <color auto="1"/>
      </top>
      <bottom style="thin">
        <color auto="1"/>
      </bottom>
      <diagonal/>
    </border>
    <border>
      <left style="thin">
        <color indexed="64"/>
      </left>
      <right style="thin">
        <color indexed="64"/>
      </right>
      <top style="thin">
        <color indexed="64"/>
      </top>
      <bottom style="thin">
        <color rgb="FFE6E6E6"/>
      </bottom>
      <diagonal/>
    </border>
    <border>
      <left style="thin">
        <color rgb="FFE6E6E6"/>
      </left>
      <right style="thin">
        <color indexed="64"/>
      </right>
      <top style="thin">
        <color rgb="FFD9E2F3"/>
      </top>
      <bottom style="thin">
        <color indexed="64"/>
      </bottom>
      <diagonal/>
    </border>
    <border>
      <left style="thin">
        <color rgb="FFE6E6E6"/>
      </left>
      <right style="thin">
        <color indexed="64"/>
      </right>
      <top style="thin">
        <color indexed="64"/>
      </top>
      <bottom style="thin">
        <color indexed="64"/>
      </bottom>
      <diagonal/>
    </border>
    <border>
      <left style="thin">
        <color rgb="FFE6E6E6"/>
      </left>
      <right style="thin">
        <color indexed="64"/>
      </right>
      <top style="thin">
        <color indexed="64"/>
      </top>
      <bottom style="thin">
        <color rgb="FFE6E6E6"/>
      </bottom>
      <diagonal/>
    </border>
    <border>
      <left style="thin">
        <color indexed="64"/>
      </left>
      <right style="thin">
        <color rgb="FFE6E6E6"/>
      </right>
      <top style="thin">
        <color indexed="64"/>
      </top>
      <bottom style="thin">
        <color indexed="64"/>
      </bottom>
      <diagonal/>
    </border>
    <border>
      <left style="thin">
        <color indexed="64"/>
      </left>
      <right style="thin">
        <color rgb="FFE6E6E6"/>
      </right>
      <top style="thin">
        <color indexed="64"/>
      </top>
      <bottom style="thin">
        <color rgb="FFE6E6E6"/>
      </bottom>
      <diagonal/>
    </border>
    <border>
      <left style="thin">
        <color indexed="64"/>
      </left>
      <right/>
      <top style="thin">
        <color rgb="FFD9E2F3"/>
      </top>
      <bottom style="thin">
        <color indexed="64"/>
      </bottom>
      <diagonal/>
    </border>
    <border>
      <left style="thin">
        <color indexed="64"/>
      </left>
      <right/>
      <top style="thin">
        <color indexed="64"/>
      </top>
      <bottom style="thin">
        <color rgb="FFE6E6E6"/>
      </bottom>
      <diagonal/>
    </border>
    <border>
      <left/>
      <right style="thin">
        <color indexed="64"/>
      </right>
      <top style="thin">
        <color rgb="FFD9E2F3"/>
      </top>
      <bottom style="thin">
        <color indexed="64"/>
      </bottom>
      <diagonal/>
    </border>
    <border>
      <left/>
      <right style="thin">
        <color indexed="64"/>
      </right>
      <top style="thin">
        <color indexed="64"/>
      </top>
      <bottom style="thin">
        <color rgb="FFE6E6E6"/>
      </bottom>
      <diagonal/>
    </border>
    <border>
      <left style="thin">
        <color rgb="FFE6E6E6"/>
      </left>
      <right style="thin">
        <color auto="1"/>
      </right>
      <top style="thin">
        <color rgb="FFE6E6E6"/>
      </top>
      <bottom style="thin">
        <color auto="1"/>
      </bottom>
      <diagonal/>
    </border>
    <border>
      <left style="thin">
        <color auto="1"/>
      </left>
      <right style="thin">
        <color rgb="FFE6E6E6"/>
      </right>
      <top style="thin">
        <color rgb="FFE6E6E6"/>
      </top>
      <bottom style="thin">
        <color auto="1"/>
      </bottom>
      <diagonal/>
    </border>
    <border>
      <left style="thin">
        <color indexed="55"/>
      </left>
      <right style="thin">
        <color indexed="55"/>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n">
        <color indexed="55"/>
      </left>
      <right style="thin">
        <color indexed="55"/>
      </right>
      <top style="thin">
        <color auto="1"/>
      </top>
      <bottom style="double">
        <color auto="1"/>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808080"/>
      </left>
      <right/>
      <top/>
      <bottom/>
      <diagonal/>
    </border>
    <border>
      <left/>
      <right style="thin">
        <color rgb="FF808080"/>
      </right>
      <top style="thin">
        <color rgb="FF808080"/>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1">
    <xf numFmtId="0" fontId="0" fillId="0" borderId="3"/>
    <xf numFmtId="0" fontId="2" fillId="0" borderId="3"/>
    <xf numFmtId="9" fontId="2" fillId="0" borderId="3"/>
    <xf numFmtId="0" fontId="15" fillId="0" borderId="3"/>
    <xf numFmtId="0" fontId="10" fillId="0" borderId="3"/>
    <xf numFmtId="0" fontId="15" fillId="0" borderId="3"/>
    <xf numFmtId="0" fontId="20" fillId="0" borderId="3"/>
    <xf numFmtId="0" fontId="2" fillId="0" borderId="3"/>
    <xf numFmtId="0" fontId="27" fillId="0" borderId="3"/>
    <xf numFmtId="0" fontId="27" fillId="0" borderId="3"/>
    <xf numFmtId="0" fontId="43" fillId="0" borderId="3"/>
  </cellStyleXfs>
  <cellXfs count="610">
    <xf numFmtId="0" fontId="0" fillId="0" borderId="0" xfId="0" applyBorder="1"/>
    <xf numFmtId="0" fontId="3" fillId="0" borderId="0" xfId="0" applyFont="1" applyBorder="1" applyAlignment="1">
      <alignment horizontal="right" vertical="top"/>
    </xf>
    <xf numFmtId="0" fontId="4" fillId="0" borderId="0" xfId="0" applyFont="1" applyBorder="1"/>
    <xf numFmtId="0" fontId="4" fillId="0" borderId="0" xfId="0" applyFont="1" applyBorder="1" applyAlignment="1">
      <alignment vertical="top" wrapText="1"/>
    </xf>
    <xf numFmtId="0" fontId="4" fillId="0" borderId="0" xfId="0" applyFont="1" applyBorder="1" applyAlignment="1">
      <alignment horizontal="right" vertical="top"/>
    </xf>
    <xf numFmtId="0" fontId="3" fillId="2" borderId="1" xfId="0" applyFont="1" applyFill="1" applyBorder="1" applyAlignment="1">
      <alignment horizontal="center"/>
    </xf>
    <xf numFmtId="164" fontId="3" fillId="3" borderId="1" xfId="0" applyNumberFormat="1" applyFont="1" applyFill="1" applyBorder="1"/>
    <xf numFmtId="164" fontId="3" fillId="0" borderId="5" xfId="0" applyNumberFormat="1" applyFont="1" applyBorder="1"/>
    <xf numFmtId="0" fontId="0" fillId="0" borderId="3" xfId="0"/>
    <xf numFmtId="0" fontId="9" fillId="0" borderId="3" xfId="3" applyFont="1"/>
    <xf numFmtId="0" fontId="11" fillId="0" borderId="3" xfId="4" applyFont="1"/>
    <xf numFmtId="0" fontId="12" fillId="0" borderId="3" xfId="4" applyFont="1" applyAlignment="1">
      <alignment horizontal="center"/>
    </xf>
    <xf numFmtId="0" fontId="12" fillId="0" borderId="3" xfId="4" applyFont="1" applyAlignment="1">
      <alignment vertical="center"/>
    </xf>
    <xf numFmtId="0" fontId="13" fillId="0" borderId="3" xfId="4" applyFont="1"/>
    <xf numFmtId="0" fontId="12" fillId="0" borderId="3" xfId="4" applyFont="1"/>
    <xf numFmtId="0" fontId="12" fillId="0" borderId="3" xfId="4" applyFont="1" applyAlignment="1" applyProtection="1">
      <alignment horizontal="center"/>
      <protection locked="0"/>
    </xf>
    <xf numFmtId="0" fontId="14" fillId="0" borderId="3" xfId="4" applyFont="1" applyProtection="1">
      <protection locked="0"/>
    </xf>
    <xf numFmtId="0" fontId="9" fillId="0" borderId="3" xfId="5" applyFont="1"/>
    <xf numFmtId="0" fontId="16" fillId="0" borderId="3" xfId="4" applyFont="1" applyAlignment="1">
      <alignment wrapText="1"/>
    </xf>
    <xf numFmtId="0" fontId="16" fillId="0" borderId="3" xfId="4" applyFont="1"/>
    <xf numFmtId="0" fontId="16" fillId="0" borderId="9" xfId="4" applyFont="1" applyBorder="1"/>
    <xf numFmtId="0" fontId="16" fillId="0" borderId="7" xfId="4" applyFont="1" applyBorder="1" applyAlignment="1" applyProtection="1">
      <alignment horizontal="center"/>
      <protection locked="0"/>
    </xf>
    <xf numFmtId="0" fontId="18" fillId="0" borderId="3" xfId="4" applyFont="1" applyAlignment="1">
      <alignment horizontal="left"/>
    </xf>
    <xf numFmtId="0" fontId="16" fillId="0" borderId="3" xfId="5" applyFont="1"/>
    <xf numFmtId="0" fontId="9" fillId="0" borderId="3" xfId="4" applyFont="1" applyProtection="1">
      <protection locked="0"/>
    </xf>
    <xf numFmtId="0" fontId="16" fillId="0" borderId="3" xfId="4" applyFont="1" applyAlignment="1">
      <alignment horizontal="left"/>
    </xf>
    <xf numFmtId="0" fontId="9" fillId="0" borderId="3" xfId="4" applyFont="1" applyAlignment="1" applyProtection="1">
      <alignment horizontal="center"/>
      <protection locked="0"/>
    </xf>
    <xf numFmtId="0" fontId="9" fillId="0" borderId="3" xfId="6" applyFont="1" applyAlignment="1">
      <alignment vertical="center" wrapText="1"/>
    </xf>
    <xf numFmtId="0" fontId="22" fillId="0" borderId="3" xfId="3" applyFont="1"/>
    <xf numFmtId="0" fontId="4" fillId="0" borderId="0" xfId="0" applyFont="1" applyBorder="1" applyAlignment="1">
      <alignment horizontal="left" vertical="top"/>
    </xf>
    <xf numFmtId="0" fontId="3" fillId="2" borderId="2" xfId="0" applyFont="1" applyFill="1" applyBorder="1" applyAlignment="1">
      <alignment horizontal="center"/>
    </xf>
    <xf numFmtId="164" fontId="3" fillId="3" borderId="4" xfId="0" applyNumberFormat="1" applyFont="1" applyFill="1" applyBorder="1" applyAlignment="1">
      <alignment horizontal="right"/>
    </xf>
    <xf numFmtId="0" fontId="5" fillId="0" borderId="7" xfId="0" applyFont="1" applyBorder="1" applyAlignment="1">
      <alignment horizontal="left" vertical="top" wrapText="1"/>
    </xf>
    <xf numFmtId="0" fontId="23" fillId="0" borderId="0" xfId="0" applyFont="1" applyBorder="1"/>
    <xf numFmtId="0" fontId="24" fillId="0" borderId="0" xfId="0" applyFont="1" applyBorder="1" applyAlignment="1">
      <alignment horizontal="left" vertical="top"/>
    </xf>
    <xf numFmtId="0" fontId="23" fillId="0" borderId="3" xfId="0" applyFont="1"/>
    <xf numFmtId="164" fontId="3" fillId="0" borderId="3" xfId="0" applyNumberFormat="1" applyFont="1"/>
    <xf numFmtId="0" fontId="25" fillId="0" borderId="3" xfId="7" applyFont="1" applyAlignment="1">
      <alignment horizontal="left" vertical="top" wrapText="1"/>
    </xf>
    <xf numFmtId="0" fontId="25" fillId="0" borderId="3" xfId="7" applyFont="1" applyAlignment="1">
      <alignment horizontal="left" vertical="center" wrapText="1"/>
    </xf>
    <xf numFmtId="14" fontId="25" fillId="0" borderId="3" xfId="7" applyNumberFormat="1" applyFont="1" applyAlignment="1">
      <alignment horizontal="center" vertical="center" wrapText="1"/>
    </xf>
    <xf numFmtId="0" fontId="25" fillId="0" borderId="3" xfId="7" applyFont="1" applyAlignment="1">
      <alignment horizontal="center" vertical="center" wrapText="1"/>
    </xf>
    <xf numFmtId="14" fontId="25" fillId="0" borderId="3" xfId="7" applyNumberFormat="1" applyFont="1" applyAlignment="1">
      <alignment horizontal="left" vertical="top" wrapText="1"/>
    </xf>
    <xf numFmtId="0" fontId="27" fillId="0" borderId="3" xfId="8" applyProtection="1">
      <protection locked="0"/>
    </xf>
    <xf numFmtId="0" fontId="27" fillId="4" borderId="3" xfId="8" applyFill="1" applyProtection="1">
      <protection locked="0"/>
    </xf>
    <xf numFmtId="164" fontId="27" fillId="0" borderId="3" xfId="8" applyNumberFormat="1" applyProtection="1">
      <protection locked="0"/>
    </xf>
    <xf numFmtId="0" fontId="27" fillId="0" borderId="3" xfId="8" applyAlignment="1" applyProtection="1">
      <alignment horizontal="left" wrapText="1"/>
      <protection locked="0"/>
    </xf>
    <xf numFmtId="164" fontId="27" fillId="0" borderId="3" xfId="8" applyNumberFormat="1" applyAlignment="1" applyProtection="1">
      <alignment horizontal="center"/>
      <protection locked="0"/>
    </xf>
    <xf numFmtId="0" fontId="27" fillId="0" borderId="3" xfId="8" applyAlignment="1" applyProtection="1">
      <alignment horizontal="center" wrapText="1"/>
      <protection locked="0"/>
    </xf>
    <xf numFmtId="0" fontId="27" fillId="0" borderId="3" xfId="8" applyAlignment="1" applyProtection="1">
      <alignment wrapText="1"/>
      <protection locked="0"/>
    </xf>
    <xf numFmtId="0" fontId="27" fillId="0" borderId="3" xfId="8" applyAlignment="1" applyProtection="1">
      <alignment horizontal="left" vertical="top" wrapText="1"/>
      <protection locked="0"/>
    </xf>
    <xf numFmtId="164" fontId="27" fillId="5" borderId="3" xfId="8" applyNumberFormat="1" applyFill="1" applyAlignment="1">
      <alignment vertical="top"/>
    </xf>
    <xf numFmtId="0" fontId="28" fillId="5" borderId="3" xfId="8" applyFont="1" applyFill="1" applyAlignment="1">
      <alignment horizontal="center" vertical="top"/>
    </xf>
    <xf numFmtId="164" fontId="28" fillId="5" borderId="3" xfId="8" applyNumberFormat="1" applyFont="1" applyFill="1" applyAlignment="1">
      <alignment horizontal="left" vertical="top"/>
    </xf>
    <xf numFmtId="0" fontId="27" fillId="5" borderId="3" xfId="8" applyFill="1" applyAlignment="1">
      <alignment horizontal="center" vertical="top" wrapText="1"/>
    </xf>
    <xf numFmtId="0" fontId="27" fillId="5" borderId="3" xfId="8" applyFill="1" applyAlignment="1">
      <alignment vertical="top" wrapText="1"/>
    </xf>
    <xf numFmtId="0" fontId="27" fillId="0" borderId="3" xfId="8" applyAlignment="1" applyProtection="1">
      <alignment horizontal="right"/>
      <protection locked="0"/>
    </xf>
    <xf numFmtId="165" fontId="27" fillId="0" borderId="3" xfId="8" applyNumberFormat="1" applyAlignment="1" applyProtection="1">
      <alignment horizontal="right"/>
      <protection locked="0"/>
    </xf>
    <xf numFmtId="165" fontId="27" fillId="0" borderId="3" xfId="8" applyNumberFormat="1" applyAlignment="1" applyProtection="1">
      <alignment horizontal="right" vertical="top"/>
      <protection locked="0"/>
    </xf>
    <xf numFmtId="0" fontId="27" fillId="6" borderId="3" xfId="8" applyFill="1" applyAlignment="1" applyProtection="1">
      <alignment horizontal="right"/>
      <protection locked="0"/>
    </xf>
    <xf numFmtId="164" fontId="27" fillId="5" borderId="13" xfId="8" applyNumberFormat="1" applyFill="1" applyBorder="1" applyAlignment="1">
      <alignment vertical="top"/>
    </xf>
    <xf numFmtId="0" fontId="28" fillId="5" borderId="13" xfId="8" applyFont="1" applyFill="1" applyBorder="1" applyAlignment="1">
      <alignment horizontal="center" vertical="top"/>
    </xf>
    <xf numFmtId="164" fontId="28" fillId="5" borderId="13" xfId="8" applyNumberFormat="1" applyFont="1" applyFill="1" applyBorder="1" applyAlignment="1">
      <alignment horizontal="left" vertical="top"/>
    </xf>
    <xf numFmtId="0" fontId="27" fillId="5" borderId="13" xfId="8" applyFill="1" applyBorder="1" applyAlignment="1">
      <alignment horizontal="center" vertical="top" wrapText="1"/>
    </xf>
    <xf numFmtId="0" fontId="27" fillId="5" borderId="13" xfId="8" applyFill="1" applyBorder="1" applyAlignment="1">
      <alignment vertical="top" wrapText="1"/>
    </xf>
    <xf numFmtId="166" fontId="27" fillId="0" borderId="14" xfId="8" applyNumberFormat="1" applyBorder="1" applyAlignment="1" applyProtection="1">
      <alignment horizontal="center" vertical="top"/>
      <protection locked="0"/>
    </xf>
    <xf numFmtId="164" fontId="27" fillId="7" borderId="15" xfId="8" applyNumberFormat="1" applyFill="1" applyBorder="1" applyAlignment="1">
      <alignment horizontal="right" vertical="top"/>
    </xf>
    <xf numFmtId="0" fontId="27" fillId="0" borderId="10" xfId="8" applyBorder="1" applyAlignment="1" applyProtection="1">
      <alignment horizontal="center" vertical="top" wrapText="1"/>
      <protection locked="0"/>
    </xf>
    <xf numFmtId="0" fontId="27" fillId="0" borderId="10" xfId="8" applyBorder="1" applyAlignment="1" applyProtection="1">
      <alignment horizontal="left" vertical="top" wrapText="1"/>
      <protection locked="0"/>
    </xf>
    <xf numFmtId="0" fontId="25" fillId="0" borderId="10" xfId="8" applyFont="1" applyBorder="1" applyAlignment="1" applyProtection="1">
      <alignment horizontal="center" vertical="top" wrapText="1"/>
      <protection locked="0"/>
    </xf>
    <xf numFmtId="0" fontId="27" fillId="4" borderId="8" xfId="8" applyFill="1" applyBorder="1" applyAlignment="1" applyProtection="1">
      <alignment horizontal="right"/>
      <protection locked="0"/>
    </xf>
    <xf numFmtId="165" fontId="27" fillId="4" borderId="16" xfId="8" applyNumberFormat="1" applyFill="1" applyBorder="1" applyAlignment="1">
      <alignment horizontal="right" vertical="top"/>
    </xf>
    <xf numFmtId="165" fontId="29" fillId="4" borderId="16" xfId="8" applyNumberFormat="1" applyFont="1" applyFill="1" applyBorder="1" applyAlignment="1">
      <alignment horizontal="right" vertical="top"/>
    </xf>
    <xf numFmtId="165" fontId="27" fillId="4" borderId="17" xfId="8" applyNumberFormat="1" applyFill="1" applyBorder="1" applyAlignment="1">
      <alignment horizontal="right" vertical="top"/>
    </xf>
    <xf numFmtId="166" fontId="27" fillId="4" borderId="18" xfId="8" applyNumberFormat="1" applyFill="1" applyBorder="1" applyAlignment="1">
      <alignment vertical="top"/>
    </xf>
    <xf numFmtId="164" fontId="27" fillId="4" borderId="19" xfId="8" applyNumberFormat="1" applyFill="1" applyBorder="1" applyAlignment="1">
      <alignment horizontal="right" vertical="top"/>
    </xf>
    <xf numFmtId="49" fontId="27" fillId="4" borderId="20" xfId="8" applyNumberFormat="1" applyFill="1" applyBorder="1" applyAlignment="1">
      <alignment horizontal="left" vertical="top" wrapText="1"/>
    </xf>
    <xf numFmtId="0" fontId="27" fillId="4" borderId="21" xfId="8" applyFill="1" applyBorder="1" applyAlignment="1">
      <alignment horizontal="center" vertical="top" wrapText="1"/>
    </xf>
    <xf numFmtId="0" fontId="27" fillId="4" borderId="12" xfId="8" applyFill="1" applyBorder="1" applyAlignment="1">
      <alignment vertical="top" wrapText="1"/>
    </xf>
    <xf numFmtId="164" fontId="30" fillId="7" borderId="25" xfId="8" applyNumberFormat="1" applyFont="1" applyFill="1" applyBorder="1" applyAlignment="1">
      <alignment horizontal="right" vertical="center"/>
    </xf>
    <xf numFmtId="0" fontId="30" fillId="7" borderId="25" xfId="8" applyFont="1" applyFill="1" applyBorder="1" applyAlignment="1">
      <alignment horizontal="center" vertical="center" wrapText="1"/>
    </xf>
    <xf numFmtId="164" fontId="30" fillId="7" borderId="26" xfId="8" applyNumberFormat="1" applyFont="1" applyFill="1" applyBorder="1" applyAlignment="1">
      <alignment horizontal="right" vertical="center"/>
    </xf>
    <xf numFmtId="0" fontId="30" fillId="7" borderId="28" xfId="8" applyFont="1" applyFill="1" applyBorder="1" applyAlignment="1">
      <alignment horizontal="center" vertical="center" wrapText="1"/>
    </xf>
    <xf numFmtId="0" fontId="27" fillId="7" borderId="29" xfId="8" applyFill="1" applyBorder="1" applyAlignment="1" applyProtection="1">
      <alignment horizontal="right"/>
      <protection locked="0"/>
    </xf>
    <xf numFmtId="0" fontId="27" fillId="4" borderId="10" xfId="8" applyFill="1" applyBorder="1" applyAlignment="1">
      <alignment vertical="top" wrapText="1"/>
    </xf>
    <xf numFmtId="0" fontId="27" fillId="8" borderId="3" xfId="8" applyFill="1" applyAlignment="1" applyProtection="1">
      <alignment horizontal="right"/>
      <protection locked="0"/>
    </xf>
    <xf numFmtId="14" fontId="27" fillId="8" borderId="3" xfId="8" applyNumberFormat="1" applyFill="1" applyAlignment="1" applyProtection="1">
      <alignment horizontal="center" vertical="top"/>
      <protection locked="0"/>
    </xf>
    <xf numFmtId="14" fontId="27" fillId="0" borderId="3" xfId="8" applyNumberFormat="1" applyAlignment="1" applyProtection="1">
      <alignment horizontal="center" vertical="top"/>
      <protection locked="0"/>
    </xf>
    <xf numFmtId="49" fontId="27" fillId="0" borderId="3" xfId="8" applyNumberFormat="1" applyAlignment="1" applyProtection="1">
      <alignment horizontal="center" vertical="top"/>
      <protection locked="0"/>
    </xf>
    <xf numFmtId="14" fontId="27" fillId="9" borderId="3" xfId="8" applyNumberFormat="1" applyFill="1" applyAlignment="1" applyProtection="1">
      <alignment horizontal="center" vertical="top"/>
      <protection locked="0"/>
    </xf>
    <xf numFmtId="49" fontId="27" fillId="8" borderId="3" xfId="8" applyNumberFormat="1" applyFill="1" applyAlignment="1" applyProtection="1">
      <alignment horizontal="center" vertical="top"/>
      <protection locked="0"/>
    </xf>
    <xf numFmtId="49" fontId="27" fillId="9" borderId="3" xfId="8" applyNumberFormat="1" applyFill="1" applyAlignment="1" applyProtection="1">
      <alignment horizontal="center" vertical="top"/>
      <protection locked="0"/>
    </xf>
    <xf numFmtId="14" fontId="28" fillId="4" borderId="34" xfId="8" applyNumberFormat="1" applyFont="1" applyFill="1" applyBorder="1" applyAlignment="1">
      <alignment horizontal="center" vertical="top"/>
    </xf>
    <xf numFmtId="165" fontId="30" fillId="4" borderId="7" xfId="8" applyNumberFormat="1" applyFont="1" applyFill="1" applyBorder="1" applyAlignment="1" applyProtection="1">
      <alignment horizontal="left"/>
      <protection locked="0"/>
    </xf>
    <xf numFmtId="0" fontId="25" fillId="0" borderId="3" xfId="8" applyFont="1" applyAlignment="1" applyProtection="1">
      <alignment horizontal="left" vertical="top" wrapText="1"/>
      <protection locked="0"/>
    </xf>
    <xf numFmtId="0" fontId="1" fillId="0" borderId="3" xfId="7" applyFont="1"/>
    <xf numFmtId="0" fontId="36" fillId="0" borderId="10" xfId="8" applyFont="1" applyBorder="1" applyAlignment="1" applyProtection="1">
      <alignment horizontal="center" vertical="top" wrapText="1"/>
      <protection locked="0"/>
    </xf>
    <xf numFmtId="165" fontId="27" fillId="0" borderId="31" xfId="8" applyNumberFormat="1" applyBorder="1" applyAlignment="1" applyProtection="1">
      <alignment horizontal="right"/>
      <protection locked="0"/>
    </xf>
    <xf numFmtId="0" fontId="27" fillId="0" borderId="3" xfId="8" applyAlignment="1" applyProtection="1">
      <alignment horizontal="center"/>
      <protection locked="0"/>
    </xf>
    <xf numFmtId="164" fontId="25" fillId="10" borderId="19" xfId="8" applyNumberFormat="1" applyFont="1" applyFill="1" applyBorder="1" applyAlignment="1">
      <alignment horizontal="right" vertical="top"/>
    </xf>
    <xf numFmtId="0" fontId="5" fillId="0" borderId="19" xfId="0" applyFont="1" applyBorder="1" applyAlignment="1">
      <alignment horizontal="center" vertical="top" wrapText="1"/>
    </xf>
    <xf numFmtId="0" fontId="1" fillId="0" borderId="3" xfId="7" applyFont="1" applyAlignment="1">
      <alignment horizontal="center"/>
    </xf>
    <xf numFmtId="164" fontId="27" fillId="7" borderId="35" xfId="8" applyNumberFormat="1" applyFill="1" applyBorder="1" applyAlignment="1">
      <alignment horizontal="right" vertical="top"/>
    </xf>
    <xf numFmtId="165" fontId="25" fillId="0" borderId="3" xfId="8" applyNumberFormat="1" applyFont="1" applyAlignment="1" applyProtection="1">
      <alignment horizontal="left" vertical="top"/>
      <protection locked="0"/>
    </xf>
    <xf numFmtId="0" fontId="25" fillId="0" borderId="3" xfId="8" applyFont="1" applyAlignment="1" applyProtection="1">
      <alignment horizontal="left" vertical="center" wrapText="1"/>
      <protection locked="0"/>
    </xf>
    <xf numFmtId="165" fontId="25" fillId="0" borderId="3" xfId="8" applyNumberFormat="1" applyFont="1" applyAlignment="1" applyProtection="1">
      <alignment horizontal="left" vertical="top" wrapText="1"/>
      <protection locked="0"/>
    </xf>
    <xf numFmtId="0" fontId="25" fillId="0" borderId="36" xfId="7" applyFont="1" applyBorder="1" applyAlignment="1">
      <alignment horizontal="left" vertical="top" wrapText="1"/>
    </xf>
    <xf numFmtId="164" fontId="5" fillId="0" borderId="19" xfId="0" applyNumberFormat="1" applyFont="1" applyBorder="1" applyAlignment="1">
      <alignment horizontal="right" vertical="top" wrapText="1"/>
    </xf>
    <xf numFmtId="0" fontId="23" fillId="0" borderId="0" xfId="0" applyFont="1" applyBorder="1" applyAlignment="1">
      <alignment vertical="top"/>
    </xf>
    <xf numFmtId="0" fontId="3" fillId="2" borderId="2" xfId="0" applyFont="1" applyFill="1" applyBorder="1" applyAlignment="1">
      <alignment horizontal="center" vertical="top"/>
    </xf>
    <xf numFmtId="0" fontId="3" fillId="3" borderId="4" xfId="0" applyFont="1" applyFill="1" applyBorder="1" applyAlignment="1">
      <alignment horizontal="right" vertical="top"/>
    </xf>
    <xf numFmtId="0" fontId="3" fillId="3" borderId="1" xfId="0" applyFont="1" applyFill="1" applyBorder="1" applyAlignment="1">
      <alignment horizontal="right" vertical="top"/>
    </xf>
    <xf numFmtId="0" fontId="3" fillId="0" borderId="5" xfId="0" applyFont="1" applyBorder="1" applyAlignment="1">
      <alignment horizontal="right" vertical="top"/>
    </xf>
    <xf numFmtId="0" fontId="3" fillId="0" borderId="3" xfId="0" applyFont="1" applyAlignment="1">
      <alignment horizontal="right" vertical="top"/>
    </xf>
    <xf numFmtId="0" fontId="25" fillId="0" borderId="19" xfId="7" applyFont="1" applyBorder="1" applyAlignment="1">
      <alignment horizontal="left" vertical="top" wrapText="1"/>
    </xf>
    <xf numFmtId="0" fontId="25" fillId="0" borderId="36" xfId="0" applyFont="1" applyBorder="1" applyAlignment="1">
      <alignment horizontal="left" vertical="top" wrapText="1"/>
    </xf>
    <xf numFmtId="165" fontId="3" fillId="3" borderId="4" xfId="0" applyNumberFormat="1" applyFont="1" applyFill="1" applyBorder="1" applyAlignment="1">
      <alignment horizontal="right"/>
    </xf>
    <xf numFmtId="14" fontId="25" fillId="0" borderId="36" xfId="7" applyNumberFormat="1" applyFont="1" applyBorder="1" applyAlignment="1">
      <alignment horizontal="left" vertical="top" wrapText="1"/>
    </xf>
    <xf numFmtId="164" fontId="27" fillId="7" borderId="37" xfId="8" applyNumberFormat="1" applyFill="1" applyBorder="1" applyAlignment="1">
      <alignment horizontal="right" vertical="top"/>
    </xf>
    <xf numFmtId="164" fontId="27" fillId="7" borderId="38" xfId="8" applyNumberFormat="1" applyFill="1" applyBorder="1" applyAlignment="1">
      <alignment horizontal="right" vertical="top"/>
    </xf>
    <xf numFmtId="49" fontId="27" fillId="4" borderId="39" xfId="8" applyNumberFormat="1" applyFill="1" applyBorder="1" applyAlignment="1">
      <alignment horizontal="left" vertical="top" wrapText="1"/>
    </xf>
    <xf numFmtId="0" fontId="25" fillId="0" borderId="3" xfId="0" applyFont="1" applyAlignment="1">
      <alignment horizontal="left" vertical="top" wrapText="1"/>
    </xf>
    <xf numFmtId="0" fontId="8" fillId="0" borderId="3" xfId="4" applyFont="1" applyAlignment="1">
      <alignment wrapText="1"/>
    </xf>
    <xf numFmtId="0" fontId="3" fillId="0" borderId="0" xfId="0" applyFont="1" applyBorder="1" applyAlignment="1">
      <alignment horizontal="left" vertical="top"/>
    </xf>
    <xf numFmtId="0" fontId="16" fillId="11" borderId="3" xfId="4" applyFont="1" applyFill="1" applyAlignment="1">
      <alignment vertical="center"/>
    </xf>
    <xf numFmtId="0" fontId="13" fillId="11" borderId="3" xfId="4" applyFont="1" applyFill="1" applyAlignment="1">
      <alignment vertical="center"/>
    </xf>
    <xf numFmtId="0" fontId="37" fillId="11" borderId="3" xfId="4" applyFont="1" applyFill="1" applyAlignment="1">
      <alignment vertical="center"/>
    </xf>
    <xf numFmtId="0" fontId="38" fillId="11" borderId="3" xfId="4" applyFont="1" applyFill="1" applyAlignment="1">
      <alignment vertical="center"/>
    </xf>
    <xf numFmtId="0" fontId="17" fillId="11" borderId="3" xfId="4" applyFont="1" applyFill="1" applyAlignment="1">
      <alignment vertical="center"/>
    </xf>
    <xf numFmtId="0" fontId="39" fillId="11" borderId="3" xfId="4" applyFont="1" applyFill="1" applyAlignment="1">
      <alignment vertical="center"/>
    </xf>
    <xf numFmtId="0" fontId="16" fillId="11" borderId="9" xfId="4" applyFont="1" applyFill="1" applyBorder="1" applyAlignment="1">
      <alignment vertical="center"/>
    </xf>
    <xf numFmtId="0" fontId="16" fillId="11" borderId="8" xfId="4" applyFont="1" applyFill="1" applyBorder="1" applyAlignment="1">
      <alignment vertical="center"/>
    </xf>
    <xf numFmtId="0" fontId="13" fillId="11" borderId="8" xfId="4" applyFont="1" applyFill="1" applyBorder="1" applyAlignment="1">
      <alignment vertical="center"/>
    </xf>
    <xf numFmtId="0" fontId="13" fillId="11" borderId="11" xfId="4" applyFont="1" applyFill="1" applyBorder="1" applyAlignment="1">
      <alignment vertical="center"/>
    </xf>
    <xf numFmtId="0" fontId="16" fillId="12" borderId="43" xfId="4" applyFont="1" applyFill="1" applyBorder="1" applyAlignment="1">
      <alignment vertical="center"/>
    </xf>
    <xf numFmtId="0" fontId="16" fillId="12" borderId="44" xfId="4" applyFont="1" applyFill="1" applyBorder="1" applyAlignment="1">
      <alignment vertical="center"/>
    </xf>
    <xf numFmtId="0" fontId="16" fillId="12" borderId="3" xfId="4" applyFont="1" applyFill="1" applyAlignment="1">
      <alignment vertical="center"/>
    </xf>
    <xf numFmtId="0" fontId="16" fillId="12" borderId="40" xfId="4" applyFont="1" applyFill="1" applyBorder="1" applyAlignment="1">
      <alignment vertical="center"/>
    </xf>
    <xf numFmtId="0" fontId="35" fillId="12" borderId="3" xfId="4" applyFont="1" applyFill="1" applyAlignment="1">
      <alignment vertical="center"/>
    </xf>
    <xf numFmtId="0" fontId="13" fillId="12" borderId="3" xfId="4" applyFont="1" applyFill="1" applyAlignment="1">
      <alignment vertical="center"/>
    </xf>
    <xf numFmtId="0" fontId="27" fillId="0" borderId="3" xfId="8" applyAlignment="1" applyProtection="1">
      <alignment horizontal="center" vertical="center"/>
      <protection locked="0"/>
    </xf>
    <xf numFmtId="49" fontId="27" fillId="0" borderId="3" xfId="8" applyNumberFormat="1" applyAlignment="1" applyProtection="1">
      <alignment horizontal="center" vertical="center"/>
      <protection locked="0"/>
    </xf>
    <xf numFmtId="14" fontId="27" fillId="0" borderId="3" xfId="8" applyNumberFormat="1" applyAlignment="1" applyProtection="1">
      <alignment horizontal="center" vertical="center"/>
      <protection locked="0"/>
    </xf>
    <xf numFmtId="14" fontId="28" fillId="4" borderId="34" xfId="8" applyNumberFormat="1" applyFont="1" applyFill="1" applyBorder="1" applyAlignment="1">
      <alignment horizontal="center" vertical="center"/>
    </xf>
    <xf numFmtId="165" fontId="27" fillId="4" borderId="16" xfId="8" applyNumberFormat="1" applyFill="1" applyBorder="1" applyAlignment="1">
      <alignment horizontal="center" vertical="center"/>
    </xf>
    <xf numFmtId="165" fontId="27" fillId="0" borderId="3" xfId="8" applyNumberFormat="1" applyAlignment="1" applyProtection="1">
      <alignment horizontal="center" vertical="center"/>
      <protection locked="0"/>
    </xf>
    <xf numFmtId="165" fontId="27" fillId="0" borderId="3" xfId="8" applyNumberFormat="1" applyAlignment="1">
      <alignment horizontal="center" vertical="center"/>
    </xf>
    <xf numFmtId="0" fontId="27" fillId="6" borderId="3" xfId="8" applyFill="1" applyAlignment="1" applyProtection="1">
      <alignment horizontal="center" vertical="center"/>
      <protection locked="0"/>
    </xf>
    <xf numFmtId="0" fontId="40" fillId="0" borderId="3" xfId="7" applyFont="1" applyAlignment="1">
      <alignment horizontal="left" vertical="center" wrapText="1"/>
    </xf>
    <xf numFmtId="0" fontId="40" fillId="0" borderId="3" xfId="7" applyFont="1" applyAlignment="1">
      <alignment horizontal="left" vertical="top" wrapText="1"/>
    </xf>
    <xf numFmtId="165" fontId="29" fillId="4" borderId="16" xfId="8" applyNumberFormat="1" applyFont="1" applyFill="1" applyBorder="1" applyAlignment="1">
      <alignment horizontal="center" vertical="center"/>
    </xf>
    <xf numFmtId="0" fontId="40" fillId="0" borderId="3" xfId="7" applyFont="1" applyAlignment="1">
      <alignment horizontal="center" vertical="center" wrapText="1"/>
    </xf>
    <xf numFmtId="0" fontId="27" fillId="0" borderId="3" xfId="7" applyFont="1" applyAlignment="1">
      <alignment horizontal="center" vertical="center" wrapText="1"/>
    </xf>
    <xf numFmtId="14" fontId="27" fillId="0" borderId="3" xfId="7" applyNumberFormat="1" applyFont="1" applyAlignment="1">
      <alignment horizontal="center" vertical="center" wrapText="1"/>
    </xf>
    <xf numFmtId="165" fontId="40" fillId="0" borderId="3" xfId="8" applyNumberFormat="1" applyFont="1" applyAlignment="1" applyProtection="1">
      <alignment horizontal="left" vertical="top"/>
      <protection locked="0"/>
    </xf>
    <xf numFmtId="165" fontId="27" fillId="0" borderId="3" xfId="8" applyNumberFormat="1" applyAlignment="1">
      <alignment horizontal="right" vertical="top"/>
    </xf>
    <xf numFmtId="0" fontId="5" fillId="0" borderId="36" xfId="0" applyFont="1" applyBorder="1" applyAlignment="1">
      <alignment horizontal="center" vertical="top" wrapText="1"/>
    </xf>
    <xf numFmtId="16" fontId="25" fillId="0" borderId="10" xfId="8" quotePrefix="1" applyNumberFormat="1" applyFont="1" applyBorder="1" applyAlignment="1" applyProtection="1">
      <alignment horizontal="center" vertical="top" wrapText="1"/>
      <protection locked="0"/>
    </xf>
    <xf numFmtId="164" fontId="5" fillId="0" borderId="19" xfId="0" applyNumberFormat="1" applyFont="1" applyBorder="1" applyAlignment="1">
      <alignment horizontal="center" vertical="top" wrapText="1"/>
    </xf>
    <xf numFmtId="167" fontId="5" fillId="0" borderId="36" xfId="0" applyNumberFormat="1" applyFont="1" applyBorder="1" applyAlignment="1">
      <alignment horizontal="center" vertical="top" wrapText="1"/>
    </xf>
    <xf numFmtId="164" fontId="5" fillId="0" borderId="7" xfId="0" applyNumberFormat="1" applyFont="1" applyBorder="1" applyAlignment="1">
      <alignment horizontal="center" vertical="top" wrapText="1"/>
    </xf>
    <xf numFmtId="167" fontId="5" fillId="0" borderId="7" xfId="0" applyNumberFormat="1" applyFont="1" applyBorder="1" applyAlignment="1">
      <alignment horizontal="center" vertical="top" wrapText="1"/>
    </xf>
    <xf numFmtId="167" fontId="5" fillId="0" borderId="19" xfId="0" applyNumberFormat="1" applyFont="1" applyBorder="1" applyAlignment="1">
      <alignment horizontal="center" vertical="top" wrapText="1"/>
    </xf>
    <xf numFmtId="164" fontId="5" fillId="0" borderId="36" xfId="0" applyNumberFormat="1" applyFont="1" applyBorder="1" applyAlignment="1">
      <alignment horizontal="center" vertical="top" wrapText="1"/>
    </xf>
    <xf numFmtId="164" fontId="25" fillId="10" borderId="36" xfId="8" applyNumberFormat="1" applyFont="1" applyFill="1" applyBorder="1" applyAlignment="1">
      <alignment horizontal="right" vertical="top"/>
    </xf>
    <xf numFmtId="16" fontId="5" fillId="0" borderId="19" xfId="0" quotePrefix="1" applyNumberFormat="1" applyFont="1" applyBorder="1" applyAlignment="1">
      <alignment horizontal="center" vertical="top" wrapText="1"/>
    </xf>
    <xf numFmtId="164" fontId="5" fillId="0" borderId="19" xfId="0" applyNumberFormat="1" applyFont="1" applyBorder="1" applyAlignment="1">
      <alignment horizontal="left" vertical="top" wrapText="1"/>
    </xf>
    <xf numFmtId="0" fontId="5" fillId="0" borderId="19" xfId="0" applyFont="1" applyBorder="1" applyAlignment="1">
      <alignment horizontal="left" vertical="top" wrapText="1"/>
    </xf>
    <xf numFmtId="164" fontId="25" fillId="10" borderId="36" xfId="8" applyNumberFormat="1" applyFont="1" applyFill="1" applyBorder="1" applyAlignment="1">
      <alignment horizontal="right" vertical="top" wrapText="1"/>
    </xf>
    <xf numFmtId="16" fontId="5" fillId="0" borderId="36" xfId="0" quotePrefix="1" applyNumberFormat="1" applyFont="1" applyBorder="1" applyAlignment="1">
      <alignment horizontal="center" vertical="top" wrapText="1"/>
    </xf>
    <xf numFmtId="0" fontId="5" fillId="0" borderId="36" xfId="0" applyFont="1" applyBorder="1" applyAlignment="1">
      <alignment horizontal="left" vertical="top" wrapText="1"/>
    </xf>
    <xf numFmtId="0" fontId="25" fillId="0" borderId="3" xfId="8" applyFont="1" applyAlignment="1" applyProtection="1">
      <alignment horizontal="center" vertical="center"/>
      <protection locked="0"/>
    </xf>
    <xf numFmtId="49" fontId="25" fillId="0" borderId="3" xfId="8" applyNumberFormat="1" applyFont="1" applyAlignment="1" applyProtection="1">
      <alignment horizontal="center" vertical="center"/>
      <protection locked="0"/>
    </xf>
    <xf numFmtId="14" fontId="25" fillId="0" borderId="3" xfId="8" applyNumberFormat="1" applyFont="1" applyAlignment="1" applyProtection="1">
      <alignment horizontal="center" vertical="center"/>
      <protection locked="0"/>
    </xf>
    <xf numFmtId="165" fontId="25" fillId="0" borderId="3" xfId="8" applyNumberFormat="1" applyFont="1" applyAlignment="1" applyProtection="1">
      <alignment horizontal="right" vertical="top"/>
      <protection locked="0"/>
    </xf>
    <xf numFmtId="165" fontId="25" fillId="0" borderId="3" xfId="8" applyNumberFormat="1" applyFont="1" applyAlignment="1" applyProtection="1">
      <alignment horizontal="right"/>
      <protection locked="0"/>
    </xf>
    <xf numFmtId="165" fontId="25" fillId="0" borderId="3" xfId="8" applyNumberFormat="1" applyFont="1" applyAlignment="1" applyProtection="1">
      <alignment horizontal="center" vertical="center"/>
      <protection locked="0"/>
    </xf>
    <xf numFmtId="165" fontId="25" fillId="0" borderId="3" xfId="8" applyNumberFormat="1" applyFont="1" applyAlignment="1">
      <alignment horizontal="center" vertical="center"/>
    </xf>
    <xf numFmtId="0" fontId="25" fillId="0" borderId="10" xfId="8" applyFont="1" applyBorder="1" applyAlignment="1" applyProtection="1">
      <alignment horizontal="left" vertical="top" wrapText="1"/>
      <protection locked="0"/>
    </xf>
    <xf numFmtId="166" fontId="25" fillId="0" borderId="14" xfId="8" applyNumberFormat="1" applyFont="1" applyBorder="1" applyAlignment="1" applyProtection="1">
      <alignment horizontal="center" vertical="top"/>
      <protection locked="0"/>
    </xf>
    <xf numFmtId="165" fontId="25" fillId="0" borderId="31" xfId="8" applyNumberFormat="1" applyFont="1" applyBorder="1" applyAlignment="1" applyProtection="1">
      <alignment horizontal="right"/>
      <protection locked="0"/>
    </xf>
    <xf numFmtId="165" fontId="25" fillId="0" borderId="3" xfId="8" applyNumberFormat="1" applyFont="1" applyAlignment="1">
      <alignment horizontal="right"/>
    </xf>
    <xf numFmtId="165" fontId="25" fillId="0" borderId="3" xfId="8" applyNumberFormat="1" applyFont="1" applyAlignment="1">
      <alignment horizontal="right" vertical="top"/>
    </xf>
    <xf numFmtId="0" fontId="41" fillId="0" borderId="0" xfId="0" applyFont="1" applyBorder="1" applyAlignment="1">
      <alignment wrapText="1"/>
    </xf>
    <xf numFmtId="0" fontId="26" fillId="0" borderId="7" xfId="7" applyFont="1" applyBorder="1" applyAlignment="1">
      <alignment horizontal="center" wrapText="1"/>
    </xf>
    <xf numFmtId="0" fontId="0" fillId="0" borderId="7" xfId="0" applyBorder="1"/>
    <xf numFmtId="0" fontId="25" fillId="0" borderId="7" xfId="7" applyFont="1" applyBorder="1" applyAlignment="1">
      <alignment wrapText="1"/>
    </xf>
    <xf numFmtId="0" fontId="25" fillId="0" borderId="7" xfId="7" applyFont="1" applyBorder="1" applyAlignment="1">
      <alignment horizontal="left" vertical="top" wrapText="1"/>
    </xf>
    <xf numFmtId="0" fontId="25" fillId="0" borderId="7" xfId="7" applyFont="1" applyBorder="1" applyAlignment="1">
      <alignment horizontal="center" vertical="center" wrapText="1"/>
    </xf>
    <xf numFmtId="14" fontId="25" fillId="0" borderId="7" xfId="7" applyNumberFormat="1" applyFont="1" applyBorder="1" applyAlignment="1">
      <alignment horizontal="center" vertical="center" wrapText="1"/>
    </xf>
    <xf numFmtId="0" fontId="25" fillId="0" borderId="7" xfId="7" applyFont="1" applyBorder="1" applyAlignment="1">
      <alignment horizontal="left" vertical="center" wrapText="1"/>
    </xf>
    <xf numFmtId="0" fontId="44" fillId="14" borderId="43" xfId="4" applyFont="1" applyFill="1" applyBorder="1" applyAlignment="1">
      <alignment vertical="center"/>
    </xf>
    <xf numFmtId="0" fontId="44" fillId="14" borderId="41" xfId="4" applyFont="1" applyFill="1" applyBorder="1" applyAlignment="1">
      <alignment vertical="center"/>
    </xf>
    <xf numFmtId="0" fontId="44" fillId="14" borderId="3" xfId="4" applyFont="1" applyFill="1" applyAlignment="1">
      <alignment vertical="center"/>
    </xf>
    <xf numFmtId="0" fontId="44" fillId="13" borderId="3" xfId="4" applyFont="1" applyFill="1" applyAlignment="1">
      <alignment vertical="center"/>
    </xf>
    <xf numFmtId="0" fontId="44" fillId="13" borderId="9" xfId="4" applyFont="1" applyFill="1" applyBorder="1" applyAlignment="1">
      <alignment vertical="center"/>
    </xf>
    <xf numFmtId="0" fontId="45" fillId="14" borderId="3" xfId="4" applyFont="1" applyFill="1" applyAlignment="1">
      <alignment vertical="center"/>
    </xf>
    <xf numFmtId="0" fontId="45" fillId="13" borderId="3" xfId="4" applyFont="1" applyFill="1" applyAlignment="1">
      <alignment vertical="center"/>
    </xf>
    <xf numFmtId="0" fontId="45" fillId="13" borderId="9" xfId="4" applyFont="1" applyFill="1" applyBorder="1" applyAlignment="1">
      <alignment vertical="center"/>
    </xf>
    <xf numFmtId="0" fontId="46" fillId="14" borderId="41" xfId="4" applyFont="1" applyFill="1" applyBorder="1" applyAlignment="1">
      <alignment vertical="center"/>
    </xf>
    <xf numFmtId="0" fontId="46" fillId="14" borderId="3" xfId="4" applyFont="1" applyFill="1" applyAlignment="1">
      <alignment vertical="center"/>
    </xf>
    <xf numFmtId="0" fontId="46" fillId="14" borderId="45" xfId="4" applyFont="1" applyFill="1" applyBorder="1"/>
    <xf numFmtId="0" fontId="46" fillId="14" borderId="6" xfId="4" applyFont="1" applyFill="1" applyBorder="1"/>
    <xf numFmtId="0" fontId="44" fillId="13" borderId="6" xfId="4" applyFont="1" applyFill="1" applyBorder="1" applyAlignment="1">
      <alignment vertical="center"/>
    </xf>
    <xf numFmtId="0" fontId="47" fillId="13" borderId="6" xfId="4" applyFont="1" applyFill="1" applyBorder="1"/>
    <xf numFmtId="0" fontId="45" fillId="13" borderId="6" xfId="4" applyFont="1" applyFill="1" applyBorder="1" applyAlignment="1">
      <alignment vertical="center"/>
    </xf>
    <xf numFmtId="0" fontId="45" fillId="13" borderId="48" xfId="4" applyFont="1" applyFill="1" applyBorder="1" applyAlignment="1">
      <alignment vertical="center"/>
    </xf>
    <xf numFmtId="0" fontId="16" fillId="15" borderId="3" xfId="4" applyFont="1" applyFill="1" applyAlignment="1">
      <alignment vertical="center"/>
    </xf>
    <xf numFmtId="0" fontId="16" fillId="15" borderId="40" xfId="4" applyFont="1" applyFill="1" applyBorder="1" applyAlignment="1">
      <alignment vertical="center"/>
    </xf>
    <xf numFmtId="0" fontId="9" fillId="15" borderId="3" xfId="4" applyFont="1" applyFill="1" applyAlignment="1">
      <alignment vertical="center"/>
    </xf>
    <xf numFmtId="0" fontId="13" fillId="15" borderId="3" xfId="4" applyFont="1" applyFill="1" applyAlignment="1">
      <alignment vertical="center"/>
    </xf>
    <xf numFmtId="0" fontId="13" fillId="15" borderId="6" xfId="4" applyFont="1" applyFill="1" applyBorder="1" applyAlignment="1">
      <alignment vertical="center"/>
    </xf>
    <xf numFmtId="0" fontId="16" fillId="15" borderId="6" xfId="4" applyFont="1" applyFill="1" applyBorder="1" applyAlignment="1">
      <alignment vertical="center"/>
    </xf>
    <xf numFmtId="0" fontId="9" fillId="15" borderId="6" xfId="4" applyFont="1" applyFill="1" applyBorder="1"/>
    <xf numFmtId="0" fontId="16" fillId="15" borderId="46" xfId="4" applyFont="1" applyFill="1" applyBorder="1" applyAlignment="1">
      <alignment vertical="center"/>
    </xf>
    <xf numFmtId="0" fontId="37" fillId="16" borderId="3" xfId="4" applyFont="1" applyFill="1" applyAlignment="1">
      <alignment vertical="center"/>
    </xf>
    <xf numFmtId="0" fontId="38" fillId="16" borderId="3" xfId="4" applyFont="1" applyFill="1" applyAlignment="1">
      <alignment vertical="center"/>
    </xf>
    <xf numFmtId="0" fontId="17" fillId="16" borderId="3" xfId="4" applyFont="1" applyFill="1" applyAlignment="1">
      <alignment vertical="center"/>
    </xf>
    <xf numFmtId="0" fontId="16" fillId="16" borderId="3" xfId="4" applyFont="1" applyFill="1" applyAlignment="1">
      <alignment vertical="center"/>
    </xf>
    <xf numFmtId="0" fontId="16" fillId="16" borderId="9" xfId="4" applyFont="1" applyFill="1" applyBorder="1" applyAlignment="1">
      <alignment vertical="center"/>
    </xf>
    <xf numFmtId="0" fontId="39" fillId="16" borderId="3" xfId="4" applyFont="1" applyFill="1" applyAlignment="1">
      <alignment vertical="center"/>
    </xf>
    <xf numFmtId="0" fontId="13" fillId="16" borderId="3" xfId="4" applyFont="1" applyFill="1" applyAlignment="1">
      <alignment vertical="center"/>
    </xf>
    <xf numFmtId="0" fontId="16" fillId="16" borderId="8" xfId="4" applyFont="1" applyFill="1" applyBorder="1" applyAlignment="1">
      <alignment vertical="center"/>
    </xf>
    <xf numFmtId="0" fontId="13" fillId="16" borderId="8" xfId="4" applyFont="1" applyFill="1" applyBorder="1" applyAlignment="1">
      <alignment vertical="center"/>
    </xf>
    <xf numFmtId="0" fontId="13" fillId="16" borderId="11" xfId="4" applyFont="1" applyFill="1" applyBorder="1" applyAlignment="1">
      <alignment vertical="center"/>
    </xf>
    <xf numFmtId="0" fontId="44" fillId="17" borderId="43" xfId="4" applyFont="1" applyFill="1" applyBorder="1" applyAlignment="1">
      <alignment vertical="center"/>
    </xf>
    <xf numFmtId="0" fontId="44" fillId="17" borderId="47" xfId="4" applyFont="1" applyFill="1" applyBorder="1" applyAlignment="1">
      <alignment vertical="center"/>
    </xf>
    <xf numFmtId="0" fontId="37" fillId="17" borderId="3" xfId="4" applyFont="1" applyFill="1" applyAlignment="1">
      <alignment vertical="center"/>
    </xf>
    <xf numFmtId="0" fontId="16" fillId="17" borderId="3" xfId="4" applyFont="1" applyFill="1" applyAlignment="1">
      <alignment vertical="center"/>
    </xf>
    <xf numFmtId="0" fontId="16" fillId="17" borderId="9" xfId="4" applyFont="1" applyFill="1" applyBorder="1" applyAlignment="1">
      <alignment vertical="center"/>
    </xf>
    <xf numFmtId="0" fontId="39" fillId="17" borderId="3" xfId="4" applyFont="1" applyFill="1" applyAlignment="1">
      <alignment vertical="center"/>
    </xf>
    <xf numFmtId="0" fontId="13" fillId="17" borderId="3" xfId="4" applyFont="1" applyFill="1" applyAlignment="1">
      <alignment vertical="center"/>
    </xf>
    <xf numFmtId="0" fontId="16" fillId="17" borderId="8" xfId="4" applyFont="1" applyFill="1" applyBorder="1" applyAlignment="1">
      <alignment vertical="center"/>
    </xf>
    <xf numFmtId="0" fontId="13" fillId="17" borderId="8" xfId="4" applyFont="1" applyFill="1" applyBorder="1" applyAlignment="1">
      <alignment vertical="center"/>
    </xf>
    <xf numFmtId="0" fontId="13" fillId="17" borderId="11" xfId="4" applyFont="1" applyFill="1" applyBorder="1" applyAlignment="1">
      <alignment vertical="center"/>
    </xf>
    <xf numFmtId="0" fontId="9" fillId="15" borderId="3" xfId="3" applyFont="1" applyFill="1"/>
    <xf numFmtId="0" fontId="37" fillId="18" borderId="3" xfId="4" applyFont="1" applyFill="1" applyAlignment="1">
      <alignment vertical="center"/>
    </xf>
    <xf numFmtId="0" fontId="38" fillId="18" borderId="3" xfId="4" applyFont="1" applyFill="1" applyAlignment="1">
      <alignment vertical="center"/>
    </xf>
    <xf numFmtId="0" fontId="17" fillId="18" borderId="3" xfId="4" applyFont="1" applyFill="1" applyAlignment="1">
      <alignment vertical="center"/>
    </xf>
    <xf numFmtId="0" fontId="16" fillId="18" borderId="3" xfId="4" applyFont="1" applyFill="1" applyAlignment="1">
      <alignment vertical="center"/>
    </xf>
    <xf numFmtId="0" fontId="16" fillId="18" borderId="9" xfId="4" applyFont="1" applyFill="1" applyBorder="1" applyAlignment="1">
      <alignment vertical="center"/>
    </xf>
    <xf numFmtId="0" fontId="39" fillId="18" borderId="3" xfId="4" applyFont="1" applyFill="1" applyAlignment="1">
      <alignment vertical="center"/>
    </xf>
    <xf numFmtId="0" fontId="13" fillId="18" borderId="3" xfId="4" applyFont="1" applyFill="1" applyAlignment="1">
      <alignment vertical="center"/>
    </xf>
    <xf numFmtId="0" fontId="16" fillId="18" borderId="8" xfId="4" applyFont="1" applyFill="1" applyBorder="1" applyAlignment="1">
      <alignment vertical="center"/>
    </xf>
    <xf numFmtId="0" fontId="13" fillId="18" borderId="8" xfId="4" applyFont="1" applyFill="1" applyBorder="1" applyAlignment="1">
      <alignment vertical="center"/>
    </xf>
    <xf numFmtId="0" fontId="13" fillId="18" borderId="11" xfId="4" applyFont="1" applyFill="1" applyBorder="1" applyAlignment="1">
      <alignment vertical="center"/>
    </xf>
    <xf numFmtId="0" fontId="49" fillId="19" borderId="3" xfId="0" applyFont="1" applyFill="1" applyAlignment="1">
      <alignment horizontal="left" vertical="top"/>
    </xf>
    <xf numFmtId="0" fontId="50" fillId="20" borderId="3" xfId="0" applyFont="1" applyFill="1"/>
    <xf numFmtId="0" fontId="6" fillId="0" borderId="7" xfId="7" applyFont="1" applyBorder="1" applyAlignment="1">
      <alignment horizontal="center" vertical="center"/>
    </xf>
    <xf numFmtId="0" fontId="5" fillId="0" borderId="7" xfId="7" applyFont="1" applyBorder="1" applyAlignment="1">
      <alignment vertical="top"/>
    </xf>
    <xf numFmtId="0" fontId="6" fillId="0" borderId="7" xfId="7" applyFont="1" applyBorder="1" applyAlignment="1">
      <alignment horizontal="center" vertical="top" wrapText="1"/>
    </xf>
    <xf numFmtId="0" fontId="6" fillId="0" borderId="7" xfId="7" applyFont="1" applyBorder="1" applyAlignment="1">
      <alignment vertical="top"/>
    </xf>
    <xf numFmtId="14" fontId="6" fillId="0" borderId="7" xfId="7" applyNumberFormat="1" applyFont="1" applyBorder="1" applyAlignment="1">
      <alignment horizontal="center" vertical="top" wrapText="1"/>
    </xf>
    <xf numFmtId="165" fontId="6" fillId="0" borderId="7" xfId="7" applyNumberFormat="1" applyFont="1" applyBorder="1" applyAlignment="1">
      <alignment horizontal="center" vertical="top" wrapText="1"/>
    </xf>
    <xf numFmtId="0" fontId="53" fillId="21" borderId="59" xfId="0" applyFont="1" applyFill="1" applyBorder="1" applyAlignment="1">
      <alignment horizontal="center" vertical="center" wrapText="1"/>
    </xf>
    <xf numFmtId="0" fontId="52" fillId="0" borderId="59" xfId="0" applyFont="1" applyBorder="1" applyAlignment="1">
      <alignment vertical="top" wrapText="1"/>
    </xf>
    <xf numFmtId="168" fontId="52" fillId="0" borderId="59" xfId="0" applyNumberFormat="1" applyFont="1" applyBorder="1" applyAlignment="1">
      <alignment vertical="top" wrapText="1"/>
    </xf>
    <xf numFmtId="0" fontId="1" fillId="0" borderId="3" xfId="7" applyFont="1" applyAlignment="1">
      <alignment horizontal="left"/>
    </xf>
    <xf numFmtId="0" fontId="53" fillId="21" borderId="7" xfId="0" applyFont="1" applyFill="1" applyBorder="1" applyAlignment="1">
      <alignment horizontal="center" vertical="center" wrapText="1"/>
    </xf>
    <xf numFmtId="0" fontId="52" fillId="0" borderId="7" xfId="0" applyFont="1" applyBorder="1" applyAlignment="1">
      <alignment vertical="top" wrapText="1"/>
    </xf>
    <xf numFmtId="0" fontId="43" fillId="0" borderId="3" xfId="10"/>
    <xf numFmtId="14" fontId="25" fillId="0" borderId="7" xfId="7" applyNumberFormat="1" applyFont="1" applyBorder="1" applyAlignment="1">
      <alignment horizontal="left" vertical="center" wrapText="1"/>
    </xf>
    <xf numFmtId="14" fontId="54" fillId="23" borderId="7" xfId="0" applyNumberFormat="1" applyFont="1" applyFill="1" applyBorder="1" applyAlignment="1">
      <alignment horizontal="center" vertical="top"/>
    </xf>
    <xf numFmtId="0" fontId="57" fillId="22" borderId="63" xfId="0" applyFont="1" applyFill="1" applyBorder="1" applyAlignment="1">
      <alignment horizontal="center" vertical="center"/>
    </xf>
    <xf numFmtId="0" fontId="56" fillId="22" borderId="63" xfId="0" applyFont="1" applyFill="1" applyBorder="1" applyAlignment="1">
      <alignment horizontal="center" vertical="center"/>
    </xf>
    <xf numFmtId="0" fontId="54" fillId="23" borderId="7" xfId="0" applyFont="1" applyFill="1" applyBorder="1" applyAlignment="1">
      <alignment horizontal="left" vertical="top"/>
    </xf>
    <xf numFmtId="0" fontId="54" fillId="23" borderId="7" xfId="0" applyFont="1" applyFill="1" applyBorder="1" applyAlignment="1">
      <alignment horizontal="left" vertical="top" wrapText="1"/>
    </xf>
    <xf numFmtId="0" fontId="55" fillId="23" borderId="7" xfId="0" applyFont="1" applyFill="1" applyBorder="1" applyAlignment="1">
      <alignment horizontal="left" vertical="top"/>
    </xf>
    <xf numFmtId="14" fontId="55" fillId="23" borderId="7" xfId="0" applyNumberFormat="1" applyFont="1" applyFill="1" applyBorder="1" applyAlignment="1">
      <alignment horizontal="center" vertical="top"/>
    </xf>
    <xf numFmtId="0" fontId="55" fillId="23" borderId="7" xfId="0" applyFont="1" applyFill="1" applyBorder="1" applyAlignment="1">
      <alignment horizontal="left" vertical="top" wrapText="1"/>
    </xf>
    <xf numFmtId="0" fontId="54" fillId="23" borderId="64" xfId="0" applyFont="1" applyFill="1" applyBorder="1" applyAlignment="1">
      <alignment horizontal="left" vertical="top"/>
    </xf>
    <xf numFmtId="0" fontId="55" fillId="23" borderId="64" xfId="0" applyFont="1" applyFill="1" applyBorder="1" applyAlignment="1">
      <alignment horizontal="left" vertical="top"/>
    </xf>
    <xf numFmtId="0" fontId="55" fillId="23" borderId="64" xfId="7" applyFont="1" applyFill="1" applyBorder="1" applyAlignment="1">
      <alignment horizontal="left" vertical="top"/>
    </xf>
    <xf numFmtId="0" fontId="54" fillId="23" borderId="61" xfId="0" applyFont="1" applyFill="1" applyBorder="1" applyAlignment="1">
      <alignment horizontal="left" vertical="top"/>
    </xf>
    <xf numFmtId="0" fontId="54" fillId="23" borderId="61" xfId="0" applyFont="1" applyFill="1" applyBorder="1" applyAlignment="1">
      <alignment horizontal="left" vertical="top" wrapText="1"/>
    </xf>
    <xf numFmtId="0" fontId="55" fillId="23" borderId="65" xfId="0" applyFont="1" applyFill="1" applyBorder="1" applyAlignment="1">
      <alignment horizontal="left" vertical="top"/>
    </xf>
    <xf numFmtId="0" fontId="55" fillId="23" borderId="65" xfId="0" applyFont="1" applyFill="1" applyBorder="1" applyAlignment="1">
      <alignment horizontal="left" vertical="top" wrapText="1"/>
    </xf>
    <xf numFmtId="0" fontId="54" fillId="23" borderId="66" xfId="0" applyFont="1" applyFill="1" applyBorder="1" applyAlignment="1">
      <alignment horizontal="left" vertical="top"/>
    </xf>
    <xf numFmtId="0" fontId="54" fillId="23" borderId="67" xfId="0" applyFont="1" applyFill="1" applyBorder="1" applyAlignment="1">
      <alignment horizontal="left" vertical="top"/>
    </xf>
    <xf numFmtId="0" fontId="55" fillId="23" borderId="67" xfId="0" applyFont="1" applyFill="1" applyBorder="1" applyAlignment="1">
      <alignment horizontal="left" vertical="top"/>
    </xf>
    <xf numFmtId="0" fontId="55" fillId="23" borderId="67" xfId="7" applyFont="1" applyFill="1" applyBorder="1" applyAlignment="1">
      <alignment horizontal="left" vertical="top"/>
    </xf>
    <xf numFmtId="0" fontId="55" fillId="23" borderId="68" xfId="0" applyFont="1" applyFill="1" applyBorder="1" applyAlignment="1">
      <alignment horizontal="left" vertical="top"/>
    </xf>
    <xf numFmtId="0" fontId="54" fillId="23" borderId="71" xfId="0" applyFont="1" applyFill="1" applyBorder="1" applyAlignment="1">
      <alignment horizontal="left" vertical="top"/>
    </xf>
    <xf numFmtId="0" fontId="54" fillId="23" borderId="12" xfId="0" applyFont="1" applyFill="1" applyBorder="1" applyAlignment="1">
      <alignment horizontal="left" vertical="top"/>
    </xf>
    <xf numFmtId="0" fontId="55" fillId="23" borderId="12" xfId="0" applyFont="1" applyFill="1" applyBorder="1" applyAlignment="1">
      <alignment horizontal="left" vertical="top"/>
    </xf>
    <xf numFmtId="0" fontId="55" fillId="23" borderId="72" xfId="0" applyFont="1" applyFill="1" applyBorder="1" applyAlignment="1">
      <alignment horizontal="left" vertical="top"/>
    </xf>
    <xf numFmtId="0" fontId="54" fillId="23" borderId="73" xfId="0" applyFont="1" applyFill="1" applyBorder="1" applyAlignment="1">
      <alignment horizontal="left" vertical="top"/>
    </xf>
    <xf numFmtId="0" fontId="54" fillId="23" borderId="60" xfId="0" applyFont="1" applyFill="1" applyBorder="1" applyAlignment="1">
      <alignment horizontal="left" vertical="top"/>
    </xf>
    <xf numFmtId="0" fontId="55" fillId="23" borderId="60" xfId="0" applyFont="1" applyFill="1" applyBorder="1" applyAlignment="1">
      <alignment horizontal="left" vertical="top"/>
    </xf>
    <xf numFmtId="0" fontId="55" fillId="23" borderId="74" xfId="0" applyFont="1" applyFill="1" applyBorder="1" applyAlignment="1">
      <alignment horizontal="left" vertical="top"/>
    </xf>
    <xf numFmtId="14" fontId="54" fillId="23" borderId="75" xfId="0" applyNumberFormat="1" applyFont="1" applyFill="1" applyBorder="1" applyAlignment="1">
      <alignment horizontal="center" vertical="top"/>
    </xf>
    <xf numFmtId="14" fontId="54" fillId="23" borderId="67" xfId="0" applyNumberFormat="1" applyFont="1" applyFill="1" applyBorder="1" applyAlignment="1">
      <alignment horizontal="center" vertical="top"/>
    </xf>
    <xf numFmtId="14" fontId="55" fillId="23" borderId="67" xfId="0" applyNumberFormat="1" applyFont="1" applyFill="1" applyBorder="1" applyAlignment="1">
      <alignment horizontal="center" vertical="top"/>
    </xf>
    <xf numFmtId="14" fontId="55" fillId="23" borderId="68" xfId="0" applyNumberFormat="1" applyFont="1" applyFill="1" applyBorder="1" applyAlignment="1">
      <alignment horizontal="center" vertical="top"/>
    </xf>
    <xf numFmtId="14" fontId="54" fillId="23" borderId="76" xfId="0" applyNumberFormat="1" applyFont="1" applyFill="1" applyBorder="1" applyAlignment="1">
      <alignment horizontal="center" vertical="top"/>
    </xf>
    <xf numFmtId="14" fontId="54" fillId="23" borderId="69" xfId="0" applyNumberFormat="1" applyFont="1" applyFill="1" applyBorder="1" applyAlignment="1">
      <alignment horizontal="center" vertical="top"/>
    </xf>
    <xf numFmtId="14" fontId="55" fillId="23" borderId="69" xfId="0" applyNumberFormat="1" applyFont="1" applyFill="1" applyBorder="1" applyAlignment="1">
      <alignment horizontal="center" vertical="top"/>
    </xf>
    <xf numFmtId="14" fontId="55" fillId="23" borderId="70" xfId="0" applyNumberFormat="1" applyFont="1" applyFill="1" applyBorder="1" applyAlignment="1">
      <alignment horizontal="center" vertical="top"/>
    </xf>
    <xf numFmtId="0" fontId="54" fillId="23" borderId="71" xfId="0" applyFont="1" applyFill="1" applyBorder="1" applyAlignment="1">
      <alignment horizontal="left" vertical="top" wrapText="1"/>
    </xf>
    <xf numFmtId="0" fontId="54" fillId="23" borderId="12" xfId="0" applyFont="1" applyFill="1" applyBorder="1" applyAlignment="1">
      <alignment horizontal="left" vertical="top" wrapText="1"/>
    </xf>
    <xf numFmtId="0" fontId="55" fillId="23" borderId="12" xfId="0" applyFont="1" applyFill="1" applyBorder="1" applyAlignment="1">
      <alignment horizontal="left" vertical="top" wrapText="1"/>
    </xf>
    <xf numFmtId="0" fontId="55" fillId="23" borderId="72" xfId="0" applyFont="1" applyFill="1" applyBorder="1" applyAlignment="1">
      <alignment horizontal="left" vertical="top" wrapText="1"/>
    </xf>
    <xf numFmtId="0" fontId="58" fillId="23" borderId="7" xfId="0" applyFont="1" applyFill="1" applyBorder="1" applyAlignment="1">
      <alignment horizontal="left" vertical="top" wrapText="1"/>
    </xf>
    <xf numFmtId="0" fontId="25" fillId="0" borderId="3" xfId="8" applyFont="1" applyAlignment="1" applyProtection="1">
      <alignment horizontal="center" wrapText="1"/>
      <protection locked="0"/>
    </xf>
    <xf numFmtId="0" fontId="25" fillId="0" borderId="3" xfId="8" applyFont="1" applyAlignment="1" applyProtection="1">
      <alignment horizontal="center" vertical="center" wrapText="1"/>
      <protection locked="0"/>
    </xf>
    <xf numFmtId="49" fontId="25" fillId="0" borderId="3" xfId="8" applyNumberFormat="1" applyFont="1" applyAlignment="1" applyProtection="1">
      <alignment horizontal="center" vertical="top" wrapText="1"/>
      <protection locked="0"/>
    </xf>
    <xf numFmtId="49" fontId="25" fillId="0" borderId="3" xfId="8" applyNumberFormat="1" applyFont="1" applyAlignment="1" applyProtection="1">
      <alignment horizontal="center" vertical="center" wrapText="1"/>
      <protection locked="0"/>
    </xf>
    <xf numFmtId="0" fontId="27" fillId="0" borderId="3" xfId="8" applyAlignment="1" applyProtection="1">
      <alignment horizontal="center" vertical="center" wrapText="1"/>
      <protection locked="0"/>
    </xf>
    <xf numFmtId="49" fontId="27" fillId="0" borderId="3" xfId="8" applyNumberFormat="1" applyAlignment="1" applyProtection="1">
      <alignment horizontal="center" vertical="center" wrapText="1"/>
      <protection locked="0"/>
    </xf>
    <xf numFmtId="164" fontId="3" fillId="24" borderId="1" xfId="0" applyNumberFormat="1" applyFont="1" applyFill="1" applyBorder="1"/>
    <xf numFmtId="164" fontId="3" fillId="24" borderId="4" xfId="0" applyNumberFormat="1" applyFont="1" applyFill="1" applyBorder="1" applyAlignment="1">
      <alignment horizontal="right"/>
    </xf>
    <xf numFmtId="165" fontId="3" fillId="24" borderId="4" xfId="0" applyNumberFormat="1" applyFont="1" applyFill="1" applyBorder="1" applyAlignment="1">
      <alignment horizontal="right"/>
    </xf>
    <xf numFmtId="0" fontId="59" fillId="14" borderId="42" xfId="4" applyFont="1" applyFill="1" applyBorder="1" applyAlignment="1">
      <alignment vertical="center"/>
    </xf>
    <xf numFmtId="0" fontId="59" fillId="14" borderId="43" xfId="4" applyFont="1" applyFill="1" applyBorder="1" applyAlignment="1">
      <alignment vertical="center"/>
    </xf>
    <xf numFmtId="0" fontId="59" fillId="14" borderId="41" xfId="4" applyFont="1" applyFill="1" applyBorder="1" applyAlignment="1">
      <alignment vertical="center"/>
    </xf>
    <xf numFmtId="0" fontId="59" fillId="14" borderId="3" xfId="4" applyFont="1" applyFill="1" applyAlignment="1">
      <alignment vertical="center"/>
    </xf>
    <xf numFmtId="0" fontId="59" fillId="14" borderId="3" xfId="4" applyFont="1" applyFill="1" applyAlignment="1">
      <alignment horizontal="right" vertical="center"/>
    </xf>
    <xf numFmtId="0" fontId="59" fillId="14" borderId="41" xfId="4" applyFont="1" applyFill="1" applyBorder="1" applyAlignment="1">
      <alignment horizontal="center" vertical="center"/>
    </xf>
    <xf numFmtId="3" fontId="59" fillId="14" borderId="3" xfId="4" applyNumberFormat="1" applyFont="1" applyFill="1" applyAlignment="1">
      <alignment vertical="center"/>
    </xf>
    <xf numFmtId="0" fontId="0" fillId="0" borderId="7" xfId="0" applyBorder="1" applyAlignment="1">
      <alignment horizontal="left"/>
    </xf>
    <xf numFmtId="14" fontId="0" fillId="0" borderId="7" xfId="0" applyNumberFormat="1" applyBorder="1" applyAlignment="1">
      <alignment horizontal="left"/>
    </xf>
    <xf numFmtId="0" fontId="60" fillId="0" borderId="7" xfId="0" applyFont="1" applyBorder="1" applyAlignment="1">
      <alignment horizontal="center" vertical="center" wrapText="1"/>
    </xf>
    <xf numFmtId="14" fontId="0" fillId="0" borderId="7" xfId="0" applyNumberFormat="1" applyBorder="1"/>
    <xf numFmtId="0" fontId="61" fillId="0" borderId="7" xfId="0" applyFont="1" applyBorder="1" applyAlignment="1">
      <alignment vertical="top"/>
    </xf>
    <xf numFmtId="0" fontId="62" fillId="0" borderId="7" xfId="0" applyFont="1" applyBorder="1" applyAlignment="1">
      <alignment horizontal="center" vertical="top" wrapText="1"/>
    </xf>
    <xf numFmtId="0" fontId="63" fillId="0" borderId="7" xfId="0" applyFont="1" applyBorder="1" applyAlignment="1">
      <alignment vertical="top" wrapText="1"/>
    </xf>
    <xf numFmtId="0" fontId="64" fillId="0" borderId="7" xfId="0" applyFont="1" applyBorder="1" applyAlignment="1">
      <alignment vertical="top" wrapText="1"/>
    </xf>
    <xf numFmtId="167" fontId="0" fillId="0" borderId="7" xfId="0" applyNumberFormat="1" applyBorder="1"/>
    <xf numFmtId="168" fontId="0" fillId="0" borderId="7" xfId="0" applyNumberFormat="1" applyBorder="1"/>
    <xf numFmtId="165" fontId="29" fillId="4" borderId="77" xfId="8" applyNumberFormat="1" applyFont="1" applyFill="1" applyBorder="1" applyAlignment="1">
      <alignment horizontal="right" vertical="top"/>
    </xf>
    <xf numFmtId="0" fontId="0" fillId="25" borderId="0" xfId="0" applyFill="1" applyBorder="1"/>
    <xf numFmtId="0" fontId="25" fillId="25" borderId="7" xfId="7" applyFont="1" applyFill="1" applyBorder="1" applyAlignment="1">
      <alignment horizontal="left" vertical="top" wrapText="1"/>
    </xf>
    <xf numFmtId="168" fontId="25" fillId="0" borderId="3" xfId="7" applyNumberFormat="1" applyFont="1" applyAlignment="1">
      <alignment horizontal="center" vertical="center" wrapText="1"/>
    </xf>
    <xf numFmtId="168" fontId="25" fillId="0" borderId="3" xfId="8" applyNumberFormat="1" applyFont="1" applyAlignment="1" applyProtection="1">
      <alignment horizontal="center" vertical="center"/>
      <protection locked="0"/>
    </xf>
    <xf numFmtId="168" fontId="27" fillId="0" borderId="3" xfId="7" applyNumberFormat="1" applyFont="1" applyAlignment="1">
      <alignment horizontal="center" vertical="center" wrapText="1"/>
    </xf>
    <xf numFmtId="168" fontId="27" fillId="0" borderId="3" xfId="8" applyNumberFormat="1" applyAlignment="1" applyProtection="1">
      <alignment horizontal="center" vertical="center"/>
      <protection locked="0"/>
    </xf>
    <xf numFmtId="164" fontId="27" fillId="4" borderId="7" xfId="8" applyNumberFormat="1" applyFill="1" applyBorder="1" applyAlignment="1">
      <alignment horizontal="right" vertical="top"/>
    </xf>
    <xf numFmtId="165" fontId="27" fillId="4" borderId="77" xfId="8" applyNumberFormat="1" applyFill="1" applyBorder="1" applyAlignment="1">
      <alignment horizontal="right" vertical="top"/>
    </xf>
    <xf numFmtId="0" fontId="67" fillId="0" borderId="10" xfId="8" applyFont="1" applyBorder="1" applyAlignment="1" applyProtection="1">
      <alignment horizontal="left" vertical="top" wrapText="1"/>
      <protection locked="0"/>
    </xf>
    <xf numFmtId="165" fontId="68" fillId="0" borderId="3" xfId="8" applyNumberFormat="1" applyFont="1" applyAlignment="1" applyProtection="1">
      <alignment horizontal="right"/>
      <protection locked="0"/>
    </xf>
    <xf numFmtId="165" fontId="27" fillId="0" borderId="57" xfId="8" applyNumberFormat="1" applyBorder="1" applyAlignment="1" applyProtection="1">
      <alignment horizontal="right"/>
      <protection locked="0"/>
    </xf>
    <xf numFmtId="0" fontId="69" fillId="0" borderId="10" xfId="8" applyFont="1" applyBorder="1" applyAlignment="1" applyProtection="1">
      <alignment horizontal="left" vertical="top" wrapText="1"/>
      <protection locked="0"/>
    </xf>
    <xf numFmtId="165" fontId="70" fillId="26" borderId="77" xfId="8" applyNumberFormat="1" applyFont="1" applyFill="1" applyBorder="1" applyAlignment="1">
      <alignment horizontal="center" vertical="top"/>
    </xf>
    <xf numFmtId="0" fontId="71" fillId="0" borderId="10" xfId="8" applyFont="1" applyBorder="1" applyAlignment="1" applyProtection="1">
      <alignment horizontal="center" vertical="top" wrapText="1"/>
      <protection locked="0"/>
    </xf>
    <xf numFmtId="0" fontId="68" fillId="0" borderId="10" xfId="8" applyFont="1" applyBorder="1" applyAlignment="1" applyProtection="1">
      <alignment horizontal="left" vertical="top" wrapText="1"/>
      <protection locked="0"/>
    </xf>
    <xf numFmtId="0" fontId="73" fillId="0" borderId="3" xfId="7" applyFont="1" applyAlignment="1">
      <alignment horizontal="left" vertical="center" wrapText="1"/>
    </xf>
    <xf numFmtId="165" fontId="74" fillId="0" borderId="3" xfId="8" applyNumberFormat="1" applyFont="1" applyAlignment="1" applyProtection="1">
      <alignment horizontal="right"/>
      <protection locked="0"/>
    </xf>
    <xf numFmtId="165" fontId="30" fillId="4" borderId="36" xfId="8" applyNumberFormat="1" applyFont="1" applyFill="1" applyBorder="1" applyAlignment="1" applyProtection="1">
      <alignment horizontal="left"/>
      <protection locked="0"/>
    </xf>
    <xf numFmtId="14" fontId="28" fillId="4" borderId="82" xfId="8" applyNumberFormat="1" applyFont="1" applyFill="1" applyBorder="1" applyAlignment="1">
      <alignment horizontal="center" vertical="top"/>
    </xf>
    <xf numFmtId="164" fontId="27" fillId="4" borderId="36" xfId="8" applyNumberFormat="1" applyFill="1" applyBorder="1" applyAlignment="1">
      <alignment horizontal="right" vertical="top"/>
    </xf>
    <xf numFmtId="164" fontId="72" fillId="24" borderId="37" xfId="8" applyNumberFormat="1" applyFont="1" applyFill="1" applyBorder="1" applyAlignment="1">
      <alignment horizontal="center" vertical="top"/>
    </xf>
    <xf numFmtId="164" fontId="75" fillId="7" borderId="37" xfId="8" applyNumberFormat="1" applyFont="1" applyFill="1" applyBorder="1" applyAlignment="1">
      <alignment horizontal="center" vertical="top"/>
    </xf>
    <xf numFmtId="0" fontId="76" fillId="27" borderId="7" xfId="0" applyFont="1" applyFill="1" applyBorder="1" applyAlignment="1">
      <alignment horizontal="left" vertical="top"/>
    </xf>
    <xf numFmtId="14" fontId="76" fillId="28" borderId="7" xfId="0" applyNumberFormat="1" applyFont="1" applyFill="1" applyBorder="1" applyAlignment="1">
      <alignment horizontal="center" vertical="top"/>
    </xf>
    <xf numFmtId="0" fontId="76" fillId="27" borderId="7" xfId="0" applyFont="1" applyFill="1" applyBorder="1" applyAlignment="1">
      <alignment horizontal="left" vertical="top" wrapText="1"/>
    </xf>
    <xf numFmtId="0" fontId="77" fillId="23" borderId="7" xfId="0" applyFont="1" applyFill="1" applyBorder="1" applyAlignment="1">
      <alignment horizontal="left" vertical="top" wrapText="1"/>
    </xf>
    <xf numFmtId="0" fontId="65" fillId="29" borderId="7" xfId="0" applyFont="1" applyFill="1" applyBorder="1" applyAlignment="1">
      <alignment horizontal="left" vertical="top"/>
    </xf>
    <xf numFmtId="14" fontId="65" fillId="29" borderId="7" xfId="0" applyNumberFormat="1" applyFont="1" applyFill="1" applyBorder="1" applyAlignment="1">
      <alignment horizontal="center" vertical="top"/>
    </xf>
    <xf numFmtId="0" fontId="65" fillId="29" borderId="7" xfId="0" applyFont="1" applyFill="1" applyBorder="1" applyAlignment="1">
      <alignment horizontal="left" vertical="top" wrapText="1"/>
    </xf>
    <xf numFmtId="0" fontId="55" fillId="29" borderId="7" xfId="0" applyFont="1" applyFill="1" applyBorder="1" applyAlignment="1">
      <alignment horizontal="left" vertical="top" wrapText="1"/>
    </xf>
    <xf numFmtId="49" fontId="65" fillId="29" borderId="7" xfId="0" applyNumberFormat="1" applyFont="1" applyFill="1" applyBorder="1" applyAlignment="1">
      <alignment horizontal="left" vertical="top"/>
    </xf>
    <xf numFmtId="0" fontId="65" fillId="30" borderId="7" xfId="0" applyFont="1" applyFill="1" applyBorder="1" applyAlignment="1">
      <alignment horizontal="left" vertical="top"/>
    </xf>
    <xf numFmtId="14" fontId="65" fillId="30" borderId="7" xfId="0" applyNumberFormat="1" applyFont="1" applyFill="1" applyBorder="1" applyAlignment="1">
      <alignment horizontal="center" vertical="top"/>
    </xf>
    <xf numFmtId="0" fontId="65" fillId="30" borderId="7" xfId="0" applyFont="1" applyFill="1" applyBorder="1" applyAlignment="1">
      <alignment horizontal="left" vertical="top" wrapText="1"/>
    </xf>
    <xf numFmtId="49" fontId="65" fillId="30" borderId="7" xfId="0" applyNumberFormat="1" applyFont="1" applyFill="1" applyBorder="1" applyAlignment="1">
      <alignment horizontal="left" vertical="top"/>
    </xf>
    <xf numFmtId="0" fontId="76" fillId="27" borderId="7" xfId="7" applyFont="1" applyFill="1" applyBorder="1" applyAlignment="1">
      <alignment horizontal="left" vertical="top"/>
    </xf>
    <xf numFmtId="14" fontId="76" fillId="27" borderId="7" xfId="7" applyNumberFormat="1" applyFont="1" applyFill="1" applyBorder="1" applyAlignment="1">
      <alignment horizontal="left" vertical="top"/>
    </xf>
    <xf numFmtId="14" fontId="76" fillId="28" borderId="7" xfId="7" applyNumberFormat="1" applyFont="1" applyFill="1" applyBorder="1" applyAlignment="1">
      <alignment horizontal="center" vertical="top"/>
    </xf>
    <xf numFmtId="0" fontId="76" fillId="27" borderId="7" xfId="7" applyFont="1" applyFill="1" applyBorder="1" applyAlignment="1">
      <alignment horizontal="left" vertical="top" wrapText="1"/>
    </xf>
    <xf numFmtId="0" fontId="77" fillId="23" borderId="7" xfId="7" applyFont="1" applyFill="1" applyBorder="1" applyAlignment="1">
      <alignment horizontal="left" vertical="top" wrapText="1"/>
    </xf>
    <xf numFmtId="49" fontId="78" fillId="0" borderId="3" xfId="8" applyNumberFormat="1" applyFont="1" applyAlignment="1" applyProtection="1">
      <alignment horizontal="center" vertical="top"/>
      <protection locked="0"/>
    </xf>
    <xf numFmtId="0" fontId="78" fillId="0" borderId="3" xfId="7" applyFont="1" applyAlignment="1">
      <alignment horizontal="center" vertical="center" wrapText="1"/>
    </xf>
    <xf numFmtId="49" fontId="78" fillId="0" borderId="3" xfId="7" applyNumberFormat="1" applyFont="1" applyAlignment="1">
      <alignment horizontal="center" vertical="center" wrapText="1"/>
    </xf>
    <xf numFmtId="168" fontId="78" fillId="0" borderId="3" xfId="7" applyNumberFormat="1" applyFont="1" applyAlignment="1">
      <alignment horizontal="center" vertical="top" wrapText="1"/>
    </xf>
    <xf numFmtId="49" fontId="78" fillId="0" borderId="3" xfId="7" applyNumberFormat="1" applyFont="1" applyAlignment="1">
      <alignment horizontal="center" vertical="top" wrapText="1"/>
    </xf>
    <xf numFmtId="168" fontId="78" fillId="0" borderId="3" xfId="7" applyNumberFormat="1" applyFont="1" applyAlignment="1">
      <alignment horizontal="center" wrapText="1"/>
    </xf>
    <xf numFmtId="165" fontId="78" fillId="0" borderId="3" xfId="8" applyNumberFormat="1" applyFont="1" applyAlignment="1" applyProtection="1">
      <alignment horizontal="right"/>
      <protection locked="0"/>
    </xf>
    <xf numFmtId="165" fontId="78" fillId="0" borderId="3" xfId="8" applyNumberFormat="1" applyFont="1" applyAlignment="1">
      <alignment horizontal="right"/>
    </xf>
    <xf numFmtId="165" fontId="78" fillId="0" borderId="3" xfId="8" applyNumberFormat="1" applyFont="1" applyAlignment="1">
      <alignment horizontal="right" vertical="top"/>
    </xf>
    <xf numFmtId="165" fontId="78" fillId="0" borderId="3" xfId="8" applyNumberFormat="1" applyFont="1" applyAlignment="1" applyProtection="1">
      <alignment horizontal="right" vertical="top"/>
      <protection locked="0"/>
    </xf>
    <xf numFmtId="0" fontId="78" fillId="0" borderId="3" xfId="7" applyFont="1" applyAlignment="1">
      <alignment horizontal="left" vertical="top" wrapText="1"/>
    </xf>
    <xf numFmtId="0" fontId="78" fillId="0" borderId="3" xfId="8" applyFont="1" applyAlignment="1" applyProtection="1">
      <alignment horizontal="center" vertical="center"/>
      <protection locked="0"/>
    </xf>
    <xf numFmtId="49" fontId="78" fillId="0" borderId="3" xfId="8" applyNumberFormat="1" applyFont="1" applyAlignment="1" applyProtection="1">
      <alignment horizontal="center" vertical="center"/>
      <protection locked="0"/>
    </xf>
    <xf numFmtId="168" fontId="78" fillId="0" borderId="3" xfId="7" applyNumberFormat="1" applyFont="1" applyAlignment="1">
      <alignment horizontal="center" vertical="center" wrapText="1"/>
    </xf>
    <xf numFmtId="168" fontId="78" fillId="0" borderId="3" xfId="8" applyNumberFormat="1" applyFont="1" applyAlignment="1" applyProtection="1">
      <alignment horizontal="center" vertical="top"/>
      <protection locked="0"/>
    </xf>
    <xf numFmtId="0" fontId="79" fillId="0" borderId="3" xfId="0" applyFont="1" applyAlignment="1">
      <alignment horizontal="left" vertical="top" wrapText="1"/>
    </xf>
    <xf numFmtId="0" fontId="78" fillId="0" borderId="3" xfId="0" applyFont="1" applyAlignment="1">
      <alignment horizontal="left" vertical="top" wrapText="1"/>
    </xf>
    <xf numFmtId="0" fontId="79" fillId="0" borderId="3" xfId="7" applyFont="1" applyAlignment="1">
      <alignment horizontal="left" vertical="top" wrapText="1"/>
    </xf>
    <xf numFmtId="14" fontId="78" fillId="0" borderId="3" xfId="7" applyNumberFormat="1" applyFont="1" applyAlignment="1">
      <alignment horizontal="left" vertical="top" wrapText="1"/>
    </xf>
    <xf numFmtId="164" fontId="27" fillId="7" borderId="37" xfId="8" applyNumberFormat="1" applyFill="1" applyBorder="1" applyAlignment="1">
      <alignment horizontal="center" vertical="top"/>
    </xf>
    <xf numFmtId="165" fontId="80" fillId="0" borderId="3" xfId="8" applyNumberFormat="1" applyFont="1" applyAlignment="1" applyProtection="1">
      <alignment horizontal="right"/>
      <protection locked="0"/>
    </xf>
    <xf numFmtId="0" fontId="81" fillId="0" borderId="0" xfId="0" applyFont="1" applyBorder="1"/>
    <xf numFmtId="0" fontId="84" fillId="32" borderId="83" xfId="0" applyFont="1" applyFill="1" applyBorder="1" applyAlignment="1">
      <alignment horizontal="center"/>
    </xf>
    <xf numFmtId="0" fontId="85" fillId="0" borderId="83" xfId="0" applyFont="1" applyBorder="1" applyAlignment="1">
      <alignment horizontal="center"/>
    </xf>
    <xf numFmtId="49" fontId="85" fillId="0" borderId="83" xfId="0" applyNumberFormat="1" applyFont="1" applyBorder="1" applyAlignment="1">
      <alignment horizontal="center"/>
    </xf>
    <xf numFmtId="0" fontId="85" fillId="0" borderId="83" xfId="0" applyFont="1" applyBorder="1"/>
    <xf numFmtId="168" fontId="85" fillId="0" borderId="83" xfId="0" applyNumberFormat="1" applyFont="1" applyBorder="1" applyAlignment="1">
      <alignment horizontal="center"/>
    </xf>
    <xf numFmtId="1" fontId="85" fillId="0" borderId="83" xfId="0" applyNumberFormat="1" applyFont="1" applyBorder="1" applyAlignment="1">
      <alignment horizontal="center"/>
    </xf>
    <xf numFmtId="10" fontId="85" fillId="0" borderId="83" xfId="0" applyNumberFormat="1" applyFont="1" applyBorder="1" applyAlignment="1">
      <alignment horizontal="center"/>
    </xf>
    <xf numFmtId="3" fontId="85" fillId="0" borderId="83" xfId="0" applyNumberFormat="1" applyFont="1" applyBorder="1" applyAlignment="1">
      <alignment horizontal="center"/>
    </xf>
    <xf numFmtId="0" fontId="48" fillId="0" borderId="3" xfId="0" applyFont="1" applyAlignment="1">
      <alignment vertical="top"/>
    </xf>
    <xf numFmtId="14" fontId="48" fillId="0" borderId="3" xfId="0" applyNumberFormat="1" applyFont="1"/>
    <xf numFmtId="0" fontId="48" fillId="0" borderId="3" xfId="0" applyFont="1"/>
    <xf numFmtId="0" fontId="51" fillId="0" borderId="3" xfId="0" applyFont="1"/>
    <xf numFmtId="14" fontId="0" fillId="0" borderId="3" xfId="0" applyNumberFormat="1"/>
    <xf numFmtId="0" fontId="54" fillId="23" borderId="62" xfId="10" applyFont="1" applyFill="1" applyBorder="1" applyAlignment="1">
      <alignment horizontal="left" vertical="top"/>
    </xf>
    <xf numFmtId="0" fontId="54" fillId="23" borderId="62" xfId="0" applyFont="1" applyFill="1" applyBorder="1" applyAlignment="1">
      <alignment horizontal="left" vertical="top"/>
    </xf>
    <xf numFmtId="0" fontId="55" fillId="23" borderId="62" xfId="0" applyFont="1" applyFill="1" applyBorder="1" applyAlignment="1">
      <alignment horizontal="left" vertical="top"/>
    </xf>
    <xf numFmtId="169" fontId="25" fillId="0" borderId="3" xfId="8" applyNumberFormat="1" applyFont="1" applyAlignment="1" applyProtection="1">
      <alignment horizontal="center" vertical="center"/>
      <protection locked="0"/>
    </xf>
    <xf numFmtId="169" fontId="25" fillId="0" borderId="3" xfId="8" applyNumberFormat="1" applyFont="1" applyAlignment="1" applyProtection="1">
      <alignment horizontal="right" vertical="top"/>
      <protection locked="0"/>
    </xf>
    <xf numFmtId="169" fontId="25" fillId="0" borderId="3" xfId="8" applyNumberFormat="1" applyFont="1" applyAlignment="1">
      <alignment horizontal="right" vertical="top"/>
    </xf>
    <xf numFmtId="169" fontId="25" fillId="0" borderId="3" xfId="8" applyNumberFormat="1" applyFont="1" applyAlignment="1" applyProtection="1">
      <alignment horizontal="right"/>
      <protection locked="0"/>
    </xf>
    <xf numFmtId="169" fontId="29" fillId="4" borderId="16" xfId="8" applyNumberFormat="1" applyFont="1" applyFill="1" applyBorder="1" applyAlignment="1">
      <alignment horizontal="right" vertical="top"/>
    </xf>
    <xf numFmtId="169" fontId="27" fillId="4" borderId="16" xfId="8" applyNumberFormat="1" applyFill="1" applyBorder="1" applyAlignment="1">
      <alignment horizontal="right" vertical="top"/>
    </xf>
    <xf numFmtId="49" fontId="78" fillId="0" borderId="3" xfId="8" applyNumberFormat="1" applyFont="1" applyAlignment="1" applyProtection="1">
      <alignment horizontal="center" vertical="top" wrapText="1"/>
      <protection locked="0"/>
    </xf>
    <xf numFmtId="49" fontId="78" fillId="0" borderId="3" xfId="8" applyNumberFormat="1" applyFont="1" applyAlignment="1" applyProtection="1">
      <alignment horizontal="center" vertical="center" wrapText="1"/>
      <protection locked="0"/>
    </xf>
    <xf numFmtId="0" fontId="80" fillId="0" borderId="3" xfId="7" applyFont="1" applyAlignment="1">
      <alignment horizontal="left" vertical="center" wrapText="1"/>
    </xf>
    <xf numFmtId="4" fontId="80" fillId="7" borderId="35" xfId="8" applyNumberFormat="1" applyFont="1" applyFill="1" applyBorder="1" applyAlignment="1">
      <alignment horizontal="right" vertical="top"/>
    </xf>
    <xf numFmtId="0" fontId="80" fillId="0" borderId="3" xfId="7" applyFont="1" applyAlignment="1">
      <alignment horizontal="left" vertical="top" wrapText="1"/>
    </xf>
    <xf numFmtId="4" fontId="80" fillId="7" borderId="57" xfId="8" applyNumberFormat="1" applyFont="1" applyFill="1" applyBorder="1" applyAlignment="1">
      <alignment horizontal="right" vertical="top"/>
    </xf>
    <xf numFmtId="170" fontId="27" fillId="7" borderId="15" xfId="8" applyNumberFormat="1" applyFill="1" applyBorder="1" applyAlignment="1">
      <alignment horizontal="right" vertical="top"/>
    </xf>
    <xf numFmtId="170" fontId="27" fillId="7" borderId="35" xfId="8" applyNumberFormat="1" applyFill="1" applyBorder="1" applyAlignment="1">
      <alignment horizontal="right" vertical="top"/>
    </xf>
    <xf numFmtId="0" fontId="3" fillId="3" borderId="3" xfId="0" applyFont="1" applyFill="1" applyAlignment="1">
      <alignment horizontal="right" vertical="top"/>
    </xf>
    <xf numFmtId="164" fontId="3" fillId="24" borderId="3" xfId="0" applyNumberFormat="1" applyFont="1" applyFill="1"/>
    <xf numFmtId="0" fontId="86" fillId="33" borderId="83" xfId="0" applyFont="1" applyFill="1" applyBorder="1" applyAlignment="1">
      <alignment horizontal="left" vertical="center" wrapText="1"/>
    </xf>
    <xf numFmtId="0" fontId="0" fillId="0" borderId="83" xfId="0" applyBorder="1" applyAlignment="1">
      <alignment horizontal="left" vertical="center" wrapText="1"/>
    </xf>
    <xf numFmtId="0" fontId="55" fillId="29" borderId="7" xfId="0" applyFont="1" applyFill="1" applyBorder="1" applyAlignment="1">
      <alignment horizontal="left" vertical="top"/>
    </xf>
    <xf numFmtId="0" fontId="77" fillId="29" borderId="7" xfId="0" applyFont="1" applyFill="1" applyBorder="1" applyAlignment="1">
      <alignment horizontal="left"/>
    </xf>
    <xf numFmtId="0" fontId="77" fillId="30" borderId="7" xfId="0" applyFont="1" applyFill="1" applyBorder="1" applyAlignment="1">
      <alignment horizontal="left"/>
    </xf>
    <xf numFmtId="0" fontId="65" fillId="24" borderId="7" xfId="0" applyFont="1" applyFill="1" applyBorder="1" applyAlignment="1">
      <alignment horizontal="left" vertical="top" wrapText="1"/>
    </xf>
    <xf numFmtId="164" fontId="25" fillId="24" borderId="19" xfId="8" applyNumberFormat="1" applyFont="1" applyFill="1" applyBorder="1" applyAlignment="1">
      <alignment horizontal="right" vertical="top"/>
    </xf>
    <xf numFmtId="0" fontId="5" fillId="24" borderId="19" xfId="0" applyFont="1" applyFill="1" applyBorder="1" applyAlignment="1">
      <alignment horizontal="left" vertical="top" wrapText="1"/>
    </xf>
    <xf numFmtId="165" fontId="25" fillId="24" borderId="3" xfId="8" applyNumberFormat="1" applyFont="1" applyFill="1" applyAlignment="1" applyProtection="1">
      <alignment horizontal="right"/>
      <protection locked="0"/>
    </xf>
    <xf numFmtId="165" fontId="25" fillId="24"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center" vertical="center"/>
    </xf>
    <xf numFmtId="0" fontId="25" fillId="41" borderId="3" xfId="8" applyFont="1" applyFill="1" applyAlignment="1" applyProtection="1">
      <alignment horizontal="center" wrapText="1"/>
      <protection locked="0"/>
    </xf>
    <xf numFmtId="49" fontId="25" fillId="41"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right"/>
    </xf>
    <xf numFmtId="165" fontId="25" fillId="24" borderId="3" xfId="8" applyNumberFormat="1" applyFont="1" applyFill="1" applyAlignment="1" applyProtection="1">
      <alignment horizontal="right" vertical="top"/>
      <protection locked="0"/>
    </xf>
    <xf numFmtId="165" fontId="27" fillId="24" borderId="3" xfId="8" applyNumberFormat="1" applyFill="1" applyAlignment="1" applyProtection="1">
      <alignment horizontal="right" vertical="top"/>
      <protection locked="0"/>
    </xf>
    <xf numFmtId="165" fontId="27" fillId="24" borderId="3" xfId="8" applyNumberFormat="1" applyFill="1" applyAlignment="1" applyProtection="1">
      <alignment horizontal="center" vertical="center"/>
      <protection locked="0"/>
    </xf>
    <xf numFmtId="165" fontId="27" fillId="24" borderId="3" xfId="8" applyNumberFormat="1" applyFill="1" applyAlignment="1" applyProtection="1">
      <alignment horizontal="right"/>
      <protection locked="0"/>
    </xf>
    <xf numFmtId="0" fontId="27" fillId="41" borderId="3" xfId="8" applyFill="1" applyAlignment="1" applyProtection="1">
      <alignment horizontal="center" vertical="center" wrapText="1"/>
      <protection locked="0"/>
    </xf>
    <xf numFmtId="0" fontId="27" fillId="41" borderId="3" xfId="8" applyFill="1" applyAlignment="1" applyProtection="1">
      <alignment horizontal="center" vertical="center"/>
      <protection locked="0"/>
    </xf>
    <xf numFmtId="49" fontId="27" fillId="41" borderId="3" xfId="8" applyNumberFormat="1" applyFill="1" applyAlignment="1" applyProtection="1">
      <alignment horizontal="center" vertical="center"/>
      <protection locked="0"/>
    </xf>
    <xf numFmtId="49" fontId="27" fillId="41" borderId="3" xfId="8" applyNumberFormat="1" applyFill="1" applyAlignment="1" applyProtection="1">
      <alignment horizontal="center" vertical="top"/>
      <protection locked="0"/>
    </xf>
    <xf numFmtId="165" fontId="25" fillId="24" borderId="3" xfId="8" applyNumberFormat="1" applyFont="1" applyFill="1" applyAlignment="1">
      <alignment horizontal="right" vertical="top"/>
    </xf>
    <xf numFmtId="0" fontId="25" fillId="41" borderId="3" xfId="8" applyFont="1" applyFill="1" applyAlignment="1" applyProtection="1">
      <alignment horizontal="center" vertical="center" wrapText="1"/>
      <protection locked="0"/>
    </xf>
    <xf numFmtId="0" fontId="78" fillId="41" borderId="3" xfId="8" applyFont="1" applyFill="1" applyAlignment="1" applyProtection="1">
      <alignment horizontal="center" wrapText="1"/>
      <protection locked="0"/>
    </xf>
    <xf numFmtId="0" fontId="78" fillId="41" borderId="3" xfId="8" applyFont="1" applyFill="1" applyAlignment="1" applyProtection="1">
      <alignment horizontal="center" vertical="center" wrapText="1"/>
      <protection locked="0"/>
    </xf>
    <xf numFmtId="49" fontId="78" fillId="41" borderId="3" xfId="8" applyNumberFormat="1" applyFont="1" applyFill="1" applyAlignment="1" applyProtection="1">
      <alignment horizontal="center" vertical="center"/>
      <protection locked="0"/>
    </xf>
    <xf numFmtId="165" fontId="78" fillId="24" borderId="3" xfId="8" applyNumberFormat="1" applyFont="1" applyFill="1" applyAlignment="1" applyProtection="1">
      <alignment horizontal="right" vertical="top"/>
      <protection locked="0"/>
    </xf>
    <xf numFmtId="165" fontId="78" fillId="24" borderId="3" xfId="8" applyNumberFormat="1" applyFont="1" applyFill="1" applyAlignment="1" applyProtection="1">
      <alignment horizontal="right"/>
      <protection locked="0"/>
    </xf>
    <xf numFmtId="165" fontId="78" fillId="24" borderId="3" xfId="8" applyNumberFormat="1" applyFont="1" applyFill="1" applyAlignment="1">
      <alignment horizontal="right" vertical="top"/>
    </xf>
    <xf numFmtId="165" fontId="78" fillId="24" borderId="3" xfId="8" applyNumberFormat="1" applyFont="1" applyFill="1" applyAlignment="1">
      <alignment horizontal="right"/>
    </xf>
    <xf numFmtId="49" fontId="78" fillId="41" borderId="3" xfId="8" applyNumberFormat="1" applyFont="1" applyFill="1" applyAlignment="1" applyProtection="1">
      <alignment horizontal="center" vertical="top"/>
      <protection locked="0"/>
    </xf>
    <xf numFmtId="0" fontId="25" fillId="24" borderId="19" xfId="7" applyFont="1" applyFill="1" applyBorder="1" applyAlignment="1">
      <alignment horizontal="left" vertical="top" wrapText="1"/>
    </xf>
    <xf numFmtId="0" fontId="25" fillId="24" borderId="36" xfId="7" applyFont="1" applyFill="1" applyBorder="1" applyAlignment="1">
      <alignment horizontal="left" vertical="top" wrapText="1"/>
    </xf>
    <xf numFmtId="14" fontId="25" fillId="24" borderId="36" xfId="7" applyNumberFormat="1" applyFont="1" applyFill="1" applyBorder="1" applyAlignment="1">
      <alignment horizontal="left" vertical="top" wrapText="1"/>
    </xf>
    <xf numFmtId="14" fontId="63" fillId="24" borderId="7" xfId="0" applyNumberFormat="1" applyFont="1" applyFill="1" applyBorder="1" applyAlignment="1">
      <alignment vertical="top" wrapText="1"/>
    </xf>
    <xf numFmtId="14" fontId="64" fillId="24" borderId="7" xfId="0" applyNumberFormat="1" applyFont="1" applyFill="1" applyBorder="1" applyAlignment="1">
      <alignment vertical="top" wrapText="1"/>
    </xf>
    <xf numFmtId="14" fontId="65" fillId="24" borderId="7" xfId="0" applyNumberFormat="1" applyFont="1" applyFill="1" applyBorder="1" applyAlignment="1">
      <alignment horizontal="center" vertical="top"/>
    </xf>
    <xf numFmtId="0" fontId="4" fillId="0" borderId="3" xfId="0" applyFont="1" applyAlignment="1">
      <alignment horizontal="right" vertical="top"/>
    </xf>
    <xf numFmtId="0" fontId="3" fillId="2" borderId="1" xfId="0" applyFont="1" applyFill="1" applyBorder="1" applyAlignment="1">
      <alignment horizontal="center" vertical="top"/>
    </xf>
    <xf numFmtId="164" fontId="3" fillId="3" borderId="1" xfId="0" applyNumberFormat="1" applyFont="1" applyFill="1" applyBorder="1" applyAlignment="1">
      <alignment horizontal="right"/>
    </xf>
    <xf numFmtId="164" fontId="25" fillId="24" borderId="1" xfId="8" applyNumberFormat="1" applyFont="1" applyFill="1" applyBorder="1" applyAlignment="1">
      <alignment horizontal="right" vertical="top"/>
    </xf>
    <xf numFmtId="0" fontId="5" fillId="24" borderId="1" xfId="0" applyFont="1" applyFill="1" applyBorder="1" applyAlignment="1">
      <alignment horizontal="center" vertical="top" wrapText="1"/>
    </xf>
    <xf numFmtId="164" fontId="5" fillId="0" borderId="1" xfId="0" applyNumberFormat="1" applyFont="1" applyBorder="1" applyAlignment="1">
      <alignment horizontal="center" vertical="top" wrapText="1"/>
    </xf>
    <xf numFmtId="167"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164" fontId="5" fillId="24" borderId="1" xfId="0" applyNumberFormat="1" applyFont="1" applyFill="1" applyBorder="1" applyAlignment="1">
      <alignment horizontal="right" vertical="top" wrapText="1"/>
    </xf>
    <xf numFmtId="0" fontId="23" fillId="0" borderId="1" xfId="0" applyFont="1" applyBorder="1"/>
    <xf numFmtId="0" fontId="25" fillId="24" borderId="1" xfId="7" applyFont="1" applyFill="1" applyBorder="1" applyAlignment="1">
      <alignment horizontal="left" vertical="top" wrapText="1"/>
    </xf>
    <xf numFmtId="0" fontId="5" fillId="0" borderId="1" xfId="0" applyFont="1" applyBorder="1" applyAlignment="1">
      <alignment horizontal="left" vertical="top" wrapText="1"/>
    </xf>
    <xf numFmtId="49" fontId="16" fillId="24" borderId="8" xfId="5" applyNumberFormat="1" applyFont="1" applyFill="1" applyBorder="1" applyAlignment="1" applyProtection="1">
      <alignment horizontal="center"/>
      <protection locked="0"/>
    </xf>
    <xf numFmtId="0" fontId="0" fillId="0" borderId="8" xfId="0" applyBorder="1" applyProtection="1">
      <protection locked="0"/>
    </xf>
    <xf numFmtId="0" fontId="7" fillId="0" borderId="3" xfId="3" applyFont="1" applyAlignment="1">
      <alignment horizontal="justify" vertical="top" wrapText="1"/>
    </xf>
    <xf numFmtId="0" fontId="9" fillId="0" borderId="3" xfId="3" applyFont="1"/>
    <xf numFmtId="0" fontId="44" fillId="14" borderId="3" xfId="4" applyFont="1" applyFill="1" applyAlignment="1">
      <alignment horizontal="center" vertical="center"/>
    </xf>
    <xf numFmtId="0" fontId="12" fillId="0" borderId="3" xfId="4" applyFont="1" applyAlignment="1">
      <alignment horizontal="center"/>
    </xf>
    <xf numFmtId="0" fontId="12" fillId="0" borderId="8" xfId="4" applyFont="1" applyBorder="1" applyAlignment="1" applyProtection="1">
      <alignment horizontal="center"/>
      <protection locked="0"/>
    </xf>
    <xf numFmtId="0" fontId="12" fillId="0" borderId="8" xfId="4" applyFont="1" applyBorder="1" applyAlignment="1">
      <alignment horizontal="center" vertical="center"/>
    </xf>
    <xf numFmtId="0" fontId="0" fillId="0" borderId="8" xfId="0" applyBorder="1"/>
    <xf numFmtId="0" fontId="16" fillId="11" borderId="3" xfId="4" applyFont="1" applyFill="1" applyAlignment="1">
      <alignment horizontal="center" vertical="center"/>
    </xf>
    <xf numFmtId="0" fontId="16" fillId="17" borderId="3" xfId="4" applyFont="1" applyFill="1" applyAlignment="1">
      <alignment horizontal="center" vertical="center"/>
    </xf>
    <xf numFmtId="49" fontId="16" fillId="24" borderId="8" xfId="4" applyNumberFormat="1" applyFont="1" applyFill="1" applyBorder="1" applyAlignment="1" applyProtection="1">
      <alignment horizontal="center"/>
      <protection locked="0"/>
    </xf>
    <xf numFmtId="49" fontId="16" fillId="0" borderId="8" xfId="5" applyNumberFormat="1" applyFont="1" applyBorder="1" applyAlignment="1" applyProtection="1">
      <alignment horizontal="center"/>
      <protection locked="0"/>
    </xf>
    <xf numFmtId="171" fontId="12" fillId="0" borderId="8" xfId="4" applyNumberFormat="1" applyFont="1" applyBorder="1" applyAlignment="1" applyProtection="1">
      <alignment horizontal="center"/>
      <protection locked="0"/>
    </xf>
    <xf numFmtId="0" fontId="16" fillId="16" borderId="3" xfId="4" applyFont="1" applyFill="1" applyAlignment="1">
      <alignment horizontal="center" vertical="center"/>
    </xf>
    <xf numFmtId="0" fontId="19" fillId="0" borderId="3" xfId="3" applyFont="1" applyAlignment="1">
      <alignment horizontal="left"/>
    </xf>
    <xf numFmtId="0" fontId="12" fillId="0" borderId="8" xfId="4" applyFont="1" applyBorder="1" applyAlignment="1">
      <alignment horizontal="center"/>
    </xf>
    <xf numFmtId="0" fontId="19" fillId="0" borderId="3" xfId="3" applyFont="1" applyAlignment="1">
      <alignment horizontal="center" vertical="top"/>
    </xf>
    <xf numFmtId="0" fontId="9" fillId="0" borderId="3" xfId="3" applyFont="1" applyAlignment="1">
      <alignment horizontal="center"/>
    </xf>
    <xf numFmtId="49" fontId="16" fillId="0" borderId="8" xfId="4" applyNumberFormat="1" applyFont="1" applyBorder="1" applyAlignment="1" applyProtection="1">
      <alignment horizontal="center"/>
      <protection locked="0"/>
    </xf>
    <xf numFmtId="0" fontId="9" fillId="0" borderId="3" xfId="3" applyFont="1" applyAlignment="1">
      <alignment horizontal="left"/>
    </xf>
    <xf numFmtId="0" fontId="14" fillId="0" borderId="3" xfId="4" applyFont="1" applyAlignment="1" applyProtection="1">
      <alignment horizontal="center"/>
      <protection locked="0"/>
    </xf>
    <xf numFmtId="0" fontId="0" fillId="0" borderId="0" xfId="0" applyBorder="1" applyProtection="1">
      <protection locked="0"/>
    </xf>
    <xf numFmtId="0" fontId="21" fillId="0" borderId="3" xfId="3" applyFont="1" applyAlignment="1">
      <alignment horizontal="justify" vertical="top" wrapText="1"/>
    </xf>
    <xf numFmtId="0" fontId="16" fillId="18" borderId="3" xfId="4" applyFont="1" applyFill="1" applyAlignment="1">
      <alignment horizontal="center" vertical="center"/>
    </xf>
    <xf numFmtId="0" fontId="4" fillId="0" borderId="3" xfId="0" applyFont="1" applyAlignment="1">
      <alignment horizontal="left" vertical="top"/>
    </xf>
    <xf numFmtId="0" fontId="23" fillId="0" borderId="0" xfId="0" applyFont="1" applyBorder="1"/>
    <xf numFmtId="0" fontId="4" fillId="0" borderId="3" xfId="0" applyFont="1" applyAlignment="1">
      <alignment horizontal="left" vertical="top" wrapText="1"/>
    </xf>
    <xf numFmtId="0" fontId="42" fillId="0" borderId="3" xfId="0" applyFont="1" applyAlignment="1">
      <alignment horizontal="left" vertical="top" wrapText="1"/>
    </xf>
    <xf numFmtId="0" fontId="24" fillId="0" borderId="3" xfId="0" applyFont="1" applyAlignment="1">
      <alignment horizontal="left" vertical="center"/>
    </xf>
    <xf numFmtId="0" fontId="86" fillId="0" borderId="3" xfId="0" applyFont="1" applyAlignment="1">
      <alignment horizontal="center" vertical="center" wrapText="1"/>
    </xf>
    <xf numFmtId="0" fontId="0" fillId="0" borderId="0" xfId="0" applyBorder="1"/>
    <xf numFmtId="0" fontId="91" fillId="0" borderId="83" xfId="0" applyFont="1" applyBorder="1" applyAlignment="1">
      <alignment horizontal="left" vertical="center" wrapText="1"/>
    </xf>
    <xf numFmtId="0" fontId="0" fillId="0" borderId="90" xfId="0" applyBorder="1"/>
    <xf numFmtId="0" fontId="0" fillId="0" borderId="91" xfId="0" applyBorder="1"/>
    <xf numFmtId="0" fontId="90" fillId="22" borderId="3" xfId="0" applyFont="1" applyFill="1" applyAlignment="1">
      <alignment horizontal="left" vertical="center" wrapText="1"/>
    </xf>
    <xf numFmtId="0" fontId="88" fillId="39" borderId="84" xfId="0" applyFont="1" applyFill="1" applyBorder="1" applyAlignment="1">
      <alignment horizontal="center" vertical="center" wrapText="1"/>
    </xf>
    <xf numFmtId="0" fontId="0" fillId="0" borderId="86" xfId="0" applyBorder="1"/>
    <xf numFmtId="0" fontId="0" fillId="0" borderId="85" xfId="0" applyBorder="1"/>
    <xf numFmtId="0" fontId="0" fillId="0" borderId="87" xfId="0" applyBorder="1"/>
    <xf numFmtId="0" fontId="0" fillId="0" borderId="88" xfId="0" applyBorder="1"/>
    <xf numFmtId="0" fontId="0" fillId="0" borderId="89" xfId="0" applyBorder="1"/>
    <xf numFmtId="0" fontId="88" fillId="38" borderId="84" xfId="0" applyFont="1" applyFill="1" applyBorder="1" applyAlignment="1">
      <alignment horizontal="center" vertical="center" wrapText="1"/>
    </xf>
    <xf numFmtId="0" fontId="86" fillId="33" borderId="83" xfId="0" applyFont="1" applyFill="1" applyBorder="1" applyAlignment="1">
      <alignment horizontal="left" vertical="center" wrapText="1"/>
    </xf>
    <xf numFmtId="0" fontId="89" fillId="23" borderId="84" xfId="0" applyFont="1" applyFill="1" applyBorder="1" applyAlignment="1">
      <alignment horizontal="center" vertical="center" wrapText="1"/>
    </xf>
    <xf numFmtId="0" fontId="86" fillId="0" borderId="3" xfId="0" applyFont="1" applyAlignment="1">
      <alignment horizontal="left" vertical="center" wrapText="1"/>
    </xf>
    <xf numFmtId="0" fontId="88" fillId="34" borderId="84" xfId="0" applyFont="1" applyFill="1" applyBorder="1" applyAlignment="1">
      <alignment horizontal="center" vertical="center" wrapText="1"/>
    </xf>
    <xf numFmtId="0" fontId="88" fillId="33" borderId="84" xfId="0" applyFont="1" applyFill="1" applyBorder="1" applyAlignment="1">
      <alignment horizontal="center" vertical="center" wrapText="1"/>
    </xf>
    <xf numFmtId="0" fontId="88" fillId="37" borderId="84" xfId="0" applyFont="1" applyFill="1" applyBorder="1" applyAlignment="1">
      <alignment horizontal="center" vertical="center" wrapText="1"/>
    </xf>
    <xf numFmtId="0" fontId="87" fillId="22" borderId="3" xfId="0" applyFont="1" applyFill="1" applyAlignment="1">
      <alignment horizontal="center" vertical="center" wrapText="1"/>
    </xf>
    <xf numFmtId="0" fontId="88" fillId="0" borderId="3" xfId="0" applyFont="1" applyAlignment="1">
      <alignment horizontal="left" vertical="center" wrapText="1"/>
    </xf>
    <xf numFmtId="0" fontId="88" fillId="35" borderId="84" xfId="0" applyFont="1" applyFill="1" applyBorder="1" applyAlignment="1">
      <alignment horizontal="center" vertical="center" wrapText="1"/>
    </xf>
    <xf numFmtId="0" fontId="88" fillId="36" borderId="84" xfId="0" applyFont="1" applyFill="1" applyBorder="1" applyAlignment="1">
      <alignment horizontal="center" vertical="center" wrapText="1"/>
    </xf>
    <xf numFmtId="0" fontId="0" fillId="0" borderId="3" xfId="0" applyAlignment="1">
      <alignment horizontal="center" vertical="center" wrapText="1"/>
    </xf>
    <xf numFmtId="0" fontId="88" fillId="40" borderId="84" xfId="0" applyFont="1" applyFill="1" applyBorder="1" applyAlignment="1">
      <alignment horizontal="center" vertical="center" wrapText="1"/>
    </xf>
    <xf numFmtId="165" fontId="27" fillId="7" borderId="49" xfId="8" applyNumberFormat="1" applyFill="1" applyBorder="1" applyAlignment="1">
      <alignment horizontal="center" vertical="center"/>
    </xf>
    <xf numFmtId="0" fontId="0" fillId="0" borderId="22" xfId="0" applyBorder="1"/>
    <xf numFmtId="164" fontId="30" fillId="0" borderId="3" xfId="8" applyNumberFormat="1" applyFont="1" applyAlignment="1" applyProtection="1">
      <alignment horizontal="right"/>
      <protection locked="0"/>
    </xf>
    <xf numFmtId="49" fontId="27" fillId="4" borderId="7" xfId="8" applyNumberFormat="1" applyFill="1" applyBorder="1" applyAlignment="1" applyProtection="1">
      <alignment horizontal="left" vertical="top" wrapText="1"/>
      <protection locked="0"/>
    </xf>
    <xf numFmtId="0" fontId="0" fillId="0" borderId="31" xfId="0" applyBorder="1" applyProtection="1">
      <protection locked="0"/>
    </xf>
    <xf numFmtId="0" fontId="0" fillId="0" borderId="78" xfId="0" applyBorder="1" applyProtection="1">
      <protection locked="0"/>
    </xf>
    <xf numFmtId="49" fontId="32" fillId="7" borderId="81" xfId="8" applyNumberFormat="1" applyFont="1" applyFill="1" applyBorder="1" applyAlignment="1">
      <alignment horizontal="center" vertical="center" textRotation="180"/>
    </xf>
    <xf numFmtId="0" fontId="0" fillId="0" borderId="30" xfId="0" applyBorder="1"/>
    <xf numFmtId="0" fontId="0" fillId="0" borderId="24" xfId="0" applyBorder="1"/>
    <xf numFmtId="164" fontId="30" fillId="4" borderId="80" xfId="8" applyNumberFormat="1" applyFont="1" applyFill="1" applyBorder="1" applyAlignment="1">
      <alignment horizontal="center" vertical="center"/>
    </xf>
    <xf numFmtId="0" fontId="0" fillId="0" borderId="27" xfId="0" applyBorder="1"/>
    <xf numFmtId="49" fontId="30" fillId="0" borderId="54" xfId="8" applyNumberFormat="1" applyFont="1" applyBorder="1" applyAlignment="1">
      <alignment horizontal="right" vertical="top"/>
    </xf>
    <xf numFmtId="0" fontId="0" fillId="0" borderId="14" xfId="0" applyBorder="1"/>
    <xf numFmtId="49" fontId="30" fillId="0" borderId="53" xfId="8" applyNumberFormat="1" applyFont="1" applyBorder="1" applyAlignment="1">
      <alignment horizontal="right"/>
    </xf>
    <xf numFmtId="0" fontId="0" fillId="0" borderId="9" xfId="0" applyBorder="1"/>
    <xf numFmtId="49" fontId="33" fillId="0" borderId="52" xfId="8" applyNumberFormat="1" applyFont="1" applyBorder="1" applyAlignment="1" applyProtection="1">
      <alignment horizontal="center" vertical="center" wrapText="1"/>
      <protection locked="0"/>
    </xf>
    <xf numFmtId="0" fontId="0" fillId="0" borderId="33" xfId="0" applyBorder="1" applyProtection="1">
      <protection locked="0"/>
    </xf>
    <xf numFmtId="0" fontId="0" fillId="0" borderId="32" xfId="0" applyBorder="1" applyProtection="1">
      <protection locked="0"/>
    </xf>
    <xf numFmtId="14" fontId="30" fillId="0" borderId="18" xfId="8" applyNumberFormat="1" applyFont="1" applyBorder="1" applyAlignment="1">
      <alignment horizontal="right" vertical="top"/>
    </xf>
    <xf numFmtId="0" fontId="0" fillId="0" borderId="18" xfId="0" applyBorder="1"/>
    <xf numFmtId="165" fontId="27" fillId="7" borderId="50" xfId="8" applyNumberFormat="1" applyFill="1" applyBorder="1" applyAlignment="1">
      <alignment horizontal="right" vertical="center"/>
    </xf>
    <xf numFmtId="0" fontId="0" fillId="0" borderId="23" xfId="0" applyBorder="1"/>
    <xf numFmtId="49" fontId="30" fillId="0" borderId="14" xfId="8" applyNumberFormat="1" applyFont="1" applyBorder="1" applyAlignment="1">
      <alignment horizontal="right" vertical="top"/>
    </xf>
    <xf numFmtId="49" fontId="30" fillId="0" borderId="53" xfId="8" applyNumberFormat="1" applyFont="1" applyBorder="1" applyAlignment="1">
      <alignment horizontal="right" vertical="top"/>
    </xf>
    <xf numFmtId="49" fontId="30" fillId="0" borderId="55" xfId="8" applyNumberFormat="1" applyFont="1" applyBorder="1" applyAlignment="1">
      <alignment horizontal="right" wrapText="1"/>
    </xf>
    <xf numFmtId="0" fontId="0" fillId="0" borderId="56" xfId="0" applyBorder="1"/>
    <xf numFmtId="0" fontId="31" fillId="0" borderId="80" xfId="8" applyFont="1" applyBorder="1" applyAlignment="1">
      <alignment horizontal="center" vertical="center"/>
    </xf>
    <xf numFmtId="49" fontId="32" fillId="7" borderId="79" xfId="8" applyNumberFormat="1" applyFont="1" applyFill="1" applyBorder="1" applyAlignment="1">
      <alignment horizontal="center" vertical="center" textRotation="180"/>
    </xf>
    <xf numFmtId="0" fontId="0" fillId="0" borderId="51" xfId="0" applyBorder="1"/>
    <xf numFmtId="0" fontId="34" fillId="0" borderId="53" xfId="8" applyFont="1" applyBorder="1" applyAlignment="1">
      <alignment horizontal="center" vertical="center" wrapText="1"/>
    </xf>
    <xf numFmtId="49" fontId="30" fillId="0" borderId="14" xfId="9" applyNumberFormat="1" applyFont="1" applyBorder="1" applyAlignment="1">
      <alignment horizontal="right" vertical="top"/>
    </xf>
    <xf numFmtId="165" fontId="27" fillId="7" borderId="49" xfId="8" applyNumberFormat="1" applyFill="1" applyBorder="1" applyAlignment="1">
      <alignment horizontal="right" vertical="center"/>
    </xf>
    <xf numFmtId="164" fontId="72" fillId="24" borderId="80" xfId="8" applyNumberFormat="1" applyFont="1" applyFill="1" applyBorder="1" applyAlignment="1">
      <alignment horizontal="center" vertical="center"/>
    </xf>
    <xf numFmtId="49" fontId="27" fillId="4" borderId="36" xfId="8" applyNumberFormat="1" applyFill="1" applyBorder="1" applyAlignment="1" applyProtection="1">
      <alignment horizontal="left" vertical="top" wrapText="1"/>
      <protection locked="0"/>
    </xf>
    <xf numFmtId="0" fontId="0" fillId="0" borderId="57" xfId="0" applyBorder="1" applyProtection="1">
      <protection locked="0"/>
    </xf>
    <xf numFmtId="0" fontId="0" fillId="0" borderId="58" xfId="0" applyBorder="1" applyProtection="1">
      <protection locked="0"/>
    </xf>
    <xf numFmtId="0" fontId="82" fillId="0" borderId="3" xfId="0" applyFont="1" applyAlignment="1">
      <alignment wrapText="1"/>
    </xf>
    <xf numFmtId="49" fontId="27" fillId="8" borderId="3" xfId="8" applyNumberFormat="1" applyFill="1" applyAlignment="1" applyProtection="1">
      <alignment horizontal="center" vertical="top"/>
      <protection locked="0"/>
    </xf>
    <xf numFmtId="0" fontId="85" fillId="0" borderId="3" xfId="0" applyFont="1" applyAlignment="1">
      <alignment wrapText="1"/>
    </xf>
    <xf numFmtId="165" fontId="27" fillId="0" borderId="3" xfId="8" applyNumberFormat="1" applyAlignment="1" applyProtection="1">
      <alignment horizontal="right"/>
      <protection locked="0"/>
    </xf>
    <xf numFmtId="0" fontId="83" fillId="31" borderId="3" xfId="0" applyFont="1" applyFill="1"/>
    <xf numFmtId="0" fontId="83" fillId="26" borderId="3" xfId="0" applyFont="1" applyFill="1"/>
    <xf numFmtId="14" fontId="27" fillId="8" borderId="3" xfId="8" applyNumberFormat="1" applyFill="1" applyAlignment="1" applyProtection="1">
      <alignment horizontal="center" vertical="top"/>
      <protection locked="0"/>
    </xf>
    <xf numFmtId="0" fontId="77" fillId="29" borderId="3" xfId="0" applyFont="1" applyFill="1" applyBorder="1" applyAlignment="1">
      <alignment horizontal="left"/>
    </xf>
    <xf numFmtId="14" fontId="63" fillId="0" borderId="7" xfId="0" applyNumberFormat="1" applyFont="1" applyBorder="1" applyAlignment="1">
      <alignment vertical="top" wrapText="1"/>
    </xf>
    <xf numFmtId="14" fontId="64" fillId="0" borderId="7" xfId="0" applyNumberFormat="1" applyFont="1" applyBorder="1" applyAlignment="1">
      <alignment vertical="top" wrapText="1"/>
    </xf>
    <xf numFmtId="0" fontId="0" fillId="0" borderId="3" xfId="0" applyBorder="1"/>
    <xf numFmtId="167" fontId="0" fillId="0" borderId="3" xfId="0" applyNumberFormat="1" applyBorder="1"/>
    <xf numFmtId="0" fontId="61" fillId="0" borderId="3" xfId="0" applyFont="1" applyBorder="1" applyAlignment="1">
      <alignment vertical="top"/>
    </xf>
    <xf numFmtId="49" fontId="64" fillId="0" borderId="7" xfId="0" applyNumberFormat="1" applyFont="1" applyBorder="1" applyAlignment="1">
      <alignment vertical="top" wrapText="1"/>
    </xf>
    <xf numFmtId="49" fontId="63" fillId="0" borderId="7" xfId="0" applyNumberFormat="1" applyFont="1" applyBorder="1" applyAlignment="1">
      <alignment vertical="top" wrapText="1"/>
    </xf>
    <xf numFmtId="49" fontId="0" fillId="0" borderId="7" xfId="0" applyNumberFormat="1" applyBorder="1"/>
    <xf numFmtId="0" fontId="65" fillId="42" borderId="7" xfId="0" applyFont="1" applyFill="1" applyBorder="1" applyAlignment="1">
      <alignment horizontal="left" vertical="top"/>
    </xf>
    <xf numFmtId="0" fontId="55" fillId="42" borderId="7" xfId="0" applyFont="1" applyFill="1" applyBorder="1" applyAlignment="1">
      <alignment horizontal="left" vertical="top"/>
    </xf>
    <xf numFmtId="14" fontId="65" fillId="42" borderId="7" xfId="0" applyNumberFormat="1" applyFont="1" applyFill="1" applyBorder="1" applyAlignment="1">
      <alignment horizontal="center" vertical="top"/>
    </xf>
    <xf numFmtId="0" fontId="55" fillId="42" borderId="7" xfId="0" applyFont="1" applyFill="1" applyBorder="1" applyAlignment="1">
      <alignment horizontal="left" vertical="top" wrapText="1"/>
    </xf>
    <xf numFmtId="0" fontId="77" fillId="42" borderId="7" xfId="0" applyFont="1" applyFill="1" applyBorder="1" applyAlignment="1">
      <alignment horizontal="left"/>
    </xf>
    <xf numFmtId="0" fontId="0" fillId="42" borderId="0" xfId="0" applyFill="1" applyBorder="1"/>
    <xf numFmtId="0" fontId="65" fillId="41" borderId="7" xfId="0" applyFont="1" applyFill="1" applyBorder="1" applyAlignment="1">
      <alignment horizontal="left" vertical="top"/>
    </xf>
    <xf numFmtId="0" fontId="55" fillId="41" borderId="7" xfId="0" applyFont="1" applyFill="1" applyBorder="1" applyAlignment="1">
      <alignment horizontal="left" vertical="top"/>
    </xf>
    <xf numFmtId="14" fontId="65" fillId="41" borderId="7" xfId="0" applyNumberFormat="1" applyFont="1" applyFill="1" applyBorder="1" applyAlignment="1">
      <alignment horizontal="center" vertical="top"/>
    </xf>
    <xf numFmtId="0" fontId="77" fillId="41" borderId="7" xfId="0" applyFont="1" applyFill="1" applyBorder="1" applyAlignment="1">
      <alignment horizontal="left"/>
    </xf>
    <xf numFmtId="0" fontId="56" fillId="22" borderId="63" xfId="0" applyFont="1" applyFill="1" applyBorder="1" applyAlignment="1">
      <alignment horizontal="center" vertical="center" wrapText="1"/>
    </xf>
    <xf numFmtId="0" fontId="25" fillId="42" borderId="7" xfId="7" applyFont="1" applyFill="1" applyBorder="1" applyAlignment="1">
      <alignment wrapText="1"/>
    </xf>
    <xf numFmtId="0" fontId="0" fillId="42" borderId="3" xfId="0" applyFill="1"/>
    <xf numFmtId="0" fontId="0" fillId="41" borderId="3" xfId="0" applyFill="1"/>
    <xf numFmtId="0" fontId="0" fillId="41" borderId="3" xfId="0" applyFill="1" applyAlignment="1"/>
    <xf numFmtId="0" fontId="43" fillId="41" borderId="3" xfId="10" applyFill="1" applyAlignment="1"/>
    <xf numFmtId="0" fontId="0" fillId="42" borderId="3" xfId="0" applyFill="1" applyAlignment="1"/>
    <xf numFmtId="0" fontId="25" fillId="42" borderId="7" xfId="7" applyFont="1" applyFill="1" applyBorder="1" applyAlignment="1">
      <alignment horizontal="left" vertical="top"/>
    </xf>
    <xf numFmtId="0" fontId="0" fillId="42" borderId="0" xfId="0" applyFill="1" applyBorder="1" applyAlignment="1"/>
    <xf numFmtId="0" fontId="25" fillId="41" borderId="7" xfId="7" applyFont="1" applyFill="1" applyBorder="1" applyAlignment="1">
      <alignment horizontal="left" vertical="top"/>
    </xf>
    <xf numFmtId="0" fontId="25" fillId="42" borderId="7" xfId="7" applyFont="1" applyFill="1" applyBorder="1" applyAlignment="1"/>
    <xf numFmtId="0" fontId="0" fillId="41" borderId="0" xfId="0" applyFill="1" applyBorder="1" applyAlignment="1"/>
    <xf numFmtId="0" fontId="25" fillId="41" borderId="7" xfId="7" applyFont="1" applyFill="1" applyBorder="1" applyAlignment="1"/>
    <xf numFmtId="0" fontId="55" fillId="30" borderId="7" xfId="0" applyFont="1" applyFill="1" applyBorder="1" applyAlignment="1">
      <alignment horizontal="left" vertical="top"/>
    </xf>
    <xf numFmtId="0" fontId="0" fillId="0" borderId="3" xfId="0" applyAlignment="1"/>
    <xf numFmtId="0" fontId="55" fillId="24" borderId="7" xfId="0" applyFont="1" applyFill="1" applyBorder="1" applyAlignment="1">
      <alignment horizontal="left" vertical="top"/>
    </xf>
    <xf numFmtId="0" fontId="65" fillId="24" borderId="7" xfId="0" applyFont="1" applyFill="1" applyBorder="1" applyAlignment="1">
      <alignment horizontal="left" vertical="top"/>
    </xf>
    <xf numFmtId="0" fontId="43" fillId="0" borderId="7" xfId="10" applyBorder="1" applyAlignment="1"/>
    <xf numFmtId="0" fontId="66" fillId="29" borderId="7" xfId="0" applyFont="1" applyFill="1" applyBorder="1" applyAlignment="1">
      <alignment horizontal="left" vertical="top"/>
    </xf>
    <xf numFmtId="0" fontId="77" fillId="23" borderId="7" xfId="0" applyFont="1" applyFill="1" applyBorder="1" applyAlignment="1">
      <alignment horizontal="left" vertical="top"/>
    </xf>
  </cellXfs>
  <cellStyles count="11">
    <cellStyle name="Hyperlink" xfId="10" builtinId="8"/>
    <cellStyle name="Normal" xfId="0" builtinId="0"/>
    <cellStyle name="Normal 2" xfId="3" xr:uid="{00000000-0005-0000-0000-000003000000}"/>
    <cellStyle name="Normal 2 2" xfId="6" xr:uid="{00000000-0005-0000-0000-000006000000}"/>
    <cellStyle name="Normal 2 3" xfId="9" xr:uid="{00000000-0005-0000-0000-000009000000}"/>
    <cellStyle name="Normal 3" xfId="5" xr:uid="{00000000-0005-0000-0000-000005000000}"/>
    <cellStyle name="Normal 3 2" xfId="8" xr:uid="{00000000-0005-0000-0000-000008000000}"/>
    <cellStyle name="Normal 4" xfId="1" xr:uid="{00000000-0005-0000-0000-000001000000}"/>
    <cellStyle name="Normal 5" xfId="7" xr:uid="{00000000-0005-0000-0000-000007000000}"/>
    <cellStyle name="Normal_08N-26E-22 SECTION PLAT" xfId="4" xr:uid="{00000000-0005-0000-0000-000004000000}"/>
    <cellStyle name="Percent 3" xfId="2" xr:uid="{00000000-0005-0000-0000-000002000000}"/>
  </cellStyles>
  <dxfs count="31">
    <dxf>
      <font>
        <strike val="0"/>
        <condense val="0"/>
        <extend val="0"/>
        <outline val="0"/>
        <shadow val="0"/>
        <u/>
        <vertAlign val="baseline"/>
        <sz val="10"/>
        <color rgb="FF0563C1"/>
        <name val="Calibri"/>
      </font>
      <fill>
        <patternFill patternType="solid">
          <fgColor indexed="64"/>
          <bgColor rgb="FFFFFFFF"/>
        </patternFill>
      </fill>
      <alignment horizontal="left" vertical="top" wrapText="1"/>
      <border>
        <left style="thin">
          <color rgb="FFE6E6E6"/>
        </left>
        <right style="thin">
          <color rgb="FFE6E6E6"/>
        </right>
        <top/>
        <bottom/>
        <vertical/>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rgb="FFE6E6E6"/>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auto="1"/>
        </left>
        <right style="thin">
          <color rgb="FFE6E6E6"/>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rgb="FFE6E6E6"/>
        </left>
        <right style="thin">
          <color auto="1"/>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rgb="FFE6E6E6"/>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font>
        <strike val="0"/>
        <condense val="0"/>
        <extend val="0"/>
        <outline val="0"/>
        <shadow val="0"/>
        <vertAlign val="baseline"/>
        <sz val="10"/>
        <color rgb="FF222222"/>
        <name val="Calibri"/>
      </font>
      <fill>
        <patternFill patternType="solid">
          <fgColor rgb="FF000000"/>
          <bgColor rgb="FFFFFFFF"/>
        </patternFill>
      </fill>
      <alignment horizontal="left" vertical="top"/>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
      <font>
        <strike val="0"/>
        <condense val="0"/>
        <extend val="0"/>
        <outline val="0"/>
        <shadow val="0"/>
        <u/>
        <vertAlign val="baseline"/>
        <sz val="10"/>
        <color theme="10"/>
        <name val="Calibri"/>
        <family val="2"/>
        <charset val="1"/>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s>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62150" y="0"/>
          <a:ext cx="2537033" cy="158564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50800</xdr:rowOff>
    </xdr:from>
    <xdr:to>
      <xdr:col>7</xdr:col>
      <xdr:colOff>95250</xdr:colOff>
      <xdr:row>64</xdr:row>
      <xdr:rowOff>22225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04800" y="8318500"/>
          <a:ext cx="5257800" cy="530542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nsheet_Clean" displayName="Runsheet_Clean" ref="A1:K1110" totalsRowShown="0" headerRowDxfId="30" headerRowBorderDxfId="29" tableBorderDxfId="28" totalsRowBorderDxfId="27">
  <autoFilter ref="A1:K1110" xr:uid="{00000000-0009-0000-0100-000001000000}">
    <filterColumn colId="9">
      <filters blank="1">
        <filter val="20/260 interest, being 20 NMA in 2 sections"/>
        <filter val="ARTI"/>
        <filter val="ARTI_x000a_Subject to 1/2 of the royalty sold to Panhandle Co-Operative Royalty Company_x000a_"/>
        <filter val="ARTI, Except 1/2 of the ogms in the N/2 NE/4 _x000a_Corrects deed dated 2/21/1949_x000a_"/>
        <filter val="Change of address of record only; affects lands in 11-12N-21W (outside subject section); no effect on title to Section 31-12N-24W."/>
        <filter val="Change of address of record only; no effect on mineral or title ownership."/>
        <filter val="Conveys mineral fee"/>
        <filter val="Conveys/clarifies mineral interest"/>
        <filter val="Conveys/clarifies mineral interest | Garbled party text (OCR) — verify against instrument"/>
        <filter val="Creates oil &amp; gas leasehold burden"/>
        <filter val="Creates oil &amp; gas leasehold burden | OCR variant? 'Deutseh' cf. 'Deutsch'"/>
        <filter val="Duplicate source instrument (per source index)"/>
        <filter val="Evidences heirship; curative"/>
        <filter val="Fee / as stated"/>
        <filter val="Fee / as stated | OCR variant? 'Carder' cf. 'Carter'"/>
        <filter val="Fee / as stated | OCR variant? 'Dovenas' cf. 'Devenas'"/>
        <filter val="Fee / as stated | OCR variant? 'Herzperg' cf. 'Herzberg'"/>
        <filter val="Fee / as stated | OCR variant? 'Jacques' cf. 'Jaques'"/>
        <filter val="Fee / as stated | OCR variant? 'Mitchel' cf. 'Mitchell'"/>
        <filter val="Fee / as stated | OCR variant? 'Sitzman' cf. 'Sitzmann'"/>
        <filter val="Governs WI parties"/>
        <filter val="Homestead/Patent record; no instrument # of record"/>
        <filter val="Identifies same party under new name"/>
        <filter val="Index row only reviewed. Mortgage/release scope requires full image and collateral exhibit review to confirm whether Section 31-12N-24W is released or still encumbered."/>
        <filter val="Mineral"/>
        <filter val="Mineral | OCR variant? 'Jansen' cf. 'Jensen'"/>
        <filter val="Mineral | OCR variant? 'Mitchel' cf. 'Mitchell'"/>
        <filter val="Mineral | OCR variant? 'Ricards' cf. 'Richards'"/>
        <filter val="Primary term expired; HBP status uncertain*_x000a_Recorded 2000-03-27. Leasing era 2000-2006; presumed expired absent production/HBP._x000a_Merged duplicate rows: 779"/>
        <filter val="Primary term expired; HBP status uncertain*_x000a_Recorded 2000-03-28. Leasing era 2000-2006; presumed expired absent production/HBP."/>
        <filter val="Primary term expired; HBP status uncertain*_x000a_Recorded 2002-04-26. Leasing era 2000-2006; presumed expired absent production/HBP."/>
        <filter val="Primary term expired; HBP status uncertain*_x000a_Recorded 2002-05-13. Leasing era 2000-2006; presumed expired absent production/HBP."/>
        <filter val="Primary term expired; HBP status uncertain*_x000a_Recorded 2002-06-26. Leasing era 2000-2006; presumed expired absent production/HBP. | OCR variant? 'Deutseh' cf. 'Deutsch'"/>
        <filter val="Primary term expired; HBP status uncertain*_x000a_Recorded 2002-08-16. Leasing era 2000-2006; presumed expired absent production/HBP."/>
        <filter val="Primary term expired; HBP status uncertain*_x000a_Recorded 2002-09-04. Leasing era 2000-2006; presumed expired absent production/HBP."/>
        <filter val="Primary term expired; HBP status uncertain*_x000a_Recorded 2002-09-26. Leasing era 2000-2006; presumed expired absent production/HBP."/>
        <filter val="Primary term expired; HBP status uncertain*_x000a_Recorded 2004-02-10. Leasing era 2000-2006; presumed expired absent production/HBP."/>
        <filter val="Primary term expired; HBP status uncertain*_x000a_Recorded 2004-02-12. Leasing era 2000-2006; presumed expired absent production/HBP."/>
        <filter val="Primary term expired; HBP status uncertain*_x000a_Recorded 2004-03-03. Leasing era 2000-2006; presumed expired absent production/HBP."/>
        <filter val="Primary term expired; HBP status uncertain*_x000a_Recorded 2005-06-01. Leasing era 2000-2006; presumed expired absent production/HBP."/>
        <filter val="Primary term expired; HBP status uncertain*_x000a_Recorded 2005-07-08. Leasing era 2000-2006; presumed expired absent production/HBP."/>
        <filter val="Primary term expired; HBP status uncertain*_x000a_Recorded 2005-07-18. Leasing era 2000-2006; presumed expired absent production/HBP."/>
        <filter val="Primary term expired; HBP status uncertain*_x000a_Recorded 2005-12-15. Leasing era 2000-2006; presumed expired absent production/HBP."/>
        <filter val="Primary term expired; HBP status uncertain*_x000a_Recorded 2005-12-23. Leasing era 2000-2006; presumed expired absent production/HBP."/>
        <filter val="Primary term expired; HBP status uncertain*_x000a_Recorded 2006-01-16. Leasing era 2000-2006; presumed expired absent production/HBP."/>
        <filter val="Primary term expired; HBP status uncertain*_x000a_Recorded 2006-01-25. Leasing era 2000-2006; presumed expired absent production/HBP."/>
        <filter val="Primary term expired; HBP status uncertain*_x000a_Recorded 2006-01-30. Leasing era 2000-2006; presumed expired absent production/HBP."/>
        <filter val="Primary term expired; HBP status uncertain*_x000a_Recorded 2006-02-06. Leasing era 2000-2006; presumed expired absent production/HBP."/>
        <filter val="Primary term expired; HBP status uncertain*_x000a_Recorded 2026-04-10. Leasing era 2000-2006; presumed expired absent production/HBP."/>
        <filter val="Primary term expired; HBP status uncertain*_x000a_Recorded 2026-05-01. Leasing era 2000-2006; presumed expired absent production/HBP."/>
        <filter val="Primary term expired; HBP status uncertain*_x000a_Recorded 2026-05-28. Leasing era 2000-2006; presumed expired absent production/HBP."/>
        <filter val="Provides record notice of lease"/>
        <filter val="See instrument"/>
        <filter val="See instrument | OCR variant? 'Klipfenstein' cf. 'Klopfenstein'"/>
        <filter val="See instrument | OCR variant? 'Mitchel' cf. 'Mitchell'"/>
        <filter val="Successor entity holds interest"/>
        <filter val="Supports/curative record"/>
        <filter val="Surface only, Grantors reserve all minerals"/>
        <filter val="Transfers interest"/>
        <filter val="Transfers leasehold/WI in chain"/>
        <filter val="Transfers leasehold/WI in chain | Garbled party text (OCR) — verify against instrument"/>
        <filter val="Transfers wellbore-only rights"/>
        <filter val="Vests title per probate"/>
      </filters>
    </filterColumn>
  </autoFilter>
  <sortState xmlns:xlrd2="http://schemas.microsoft.com/office/spreadsheetml/2017/richdata2" ref="A2:K1110">
    <sortCondition ref="E1:E1110"/>
  </sortState>
  <tableColumns count="11">
    <tableColumn id="1" xr3:uid="{00000000-0010-0000-0000-000001000000}" name="Instrument #" dataDxfId="26"/>
    <tableColumn id="2" xr3:uid="{00000000-0010-0000-0000-000002000000}" name="OGL" dataDxfId="25"/>
    <tableColumn id="3" xr3:uid="{00000000-0010-0000-0000-000003000000}" name="Doc Type" dataDxfId="24"/>
    <tableColumn id="4" xr3:uid="{00000000-0010-0000-0000-000004000000}" name="Bk/Pg." dataDxfId="23"/>
    <tableColumn id="5" xr3:uid="{00000000-0010-0000-0000-000005000000}" name="Effective Date" dataDxfId="22"/>
    <tableColumn id="6" xr3:uid="{00000000-0010-0000-0000-000006000000}" name="Recorded Date" dataDxfId="21"/>
    <tableColumn id="7" xr3:uid="{00000000-0010-0000-0000-000007000000}" name="Grantor" dataDxfId="20"/>
    <tableColumn id="8" xr3:uid="{00000000-0010-0000-0000-000008000000}" name="Grantee" dataDxfId="19"/>
    <tableColumn id="9" xr3:uid="{00000000-0010-0000-0000-000009000000}" name="Legal Description" dataDxfId="18"/>
    <tableColumn id="10" xr3:uid="{00000000-0010-0000-0000-00000A000000}" name="Notes" dataDxfId="17"/>
    <tableColumn id="11" xr3:uid="{00000000-0010-0000-0000-00000B000000}" name="Document Link" dataDxfId="1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nsheet_Clean3" displayName="Runsheet_Clean3" ref="A1:K1771" totalsRowShown="0" headerRowDxfId="15" dataDxfId="13" headerRowBorderDxfId="14" tableBorderDxfId="12" totalsRowBorderDxfId="11">
  <autoFilter ref="A1:K1771" xr:uid="{00000000-0009-0000-0100-000002000000}"/>
  <tableColumns count="11">
    <tableColumn id="1" xr3:uid="{00000000-0010-0000-0100-000001000000}" name="Instrument #" dataDxfId="10"/>
    <tableColumn id="2" xr3:uid="{00000000-0010-0000-0100-000002000000}" name="OGL" dataDxfId="9"/>
    <tableColumn id="3" xr3:uid="{00000000-0010-0000-0100-000003000000}" name="Doc Type" dataDxfId="8"/>
    <tableColumn id="4" xr3:uid="{00000000-0010-0000-0100-000004000000}" name="Bk/Pg." dataDxfId="7"/>
    <tableColumn id="5" xr3:uid="{00000000-0010-0000-0100-000005000000}" name="Effective Date" dataDxfId="6"/>
    <tableColumn id="6" xr3:uid="{00000000-0010-0000-0100-000006000000}" name="Recorded Date" dataDxfId="5"/>
    <tableColumn id="7" xr3:uid="{00000000-0010-0000-0100-000007000000}" name="Grantor" dataDxfId="4"/>
    <tableColumn id="8" xr3:uid="{00000000-0010-0000-0100-000008000000}" name="Grantee" dataDxfId="3"/>
    <tableColumn id="9" xr3:uid="{00000000-0010-0000-0100-000009000000}" name="Legal Description" dataDxfId="2"/>
    <tableColumn id="10" xr3:uid="{00000000-0010-0000-0100-00000A000000}" name="Notes" dataDxfId="1"/>
    <tableColumn id="11" xr3:uid="{00000000-0010-0000-0100-00000B000000}" name="Document Link"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C29742-F8E5-4D11-A20D-108E714D3B9D}">
  <we:reference id="wa200009404" version="1.0.0.8" store="en-US" storeType="OMEX"/>
  <we:alternateReferences>
    <we:reference id="WA200009404" version="1.0.0.8" store="" storeType="OMEX"/>
  </we:alternateReferences>
  <we:properties>
    <we:property name="claude.fileId" value="&quot;f7be8c14-876a-4e2f-bd6c-15bb1a2ad0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1994-007204" TargetMode="External"/><Relationship Id="rId7" Type="http://schemas.openxmlformats.org/officeDocument/2006/relationships/hyperlink" Target="https://okcountyrecords.com/detail/roger+mills/2026-003315/35464678" TargetMode="External"/><Relationship Id="rId2" Type="http://schemas.openxmlformats.org/officeDocument/2006/relationships/hyperlink" Target="12N%2024W%2031%20-%20Index.pdf,%20PDF%20page%2024%20/%20printed%20report%20page%201" TargetMode="External"/><Relationship Id="rId1" Type="http://schemas.openxmlformats.org/officeDocument/2006/relationships/hyperlink" Target="https://okcountyrecords.com/detail/roger+mills/1994-007065" TargetMode="External"/><Relationship Id="rId6"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1994-007245" TargetMode="External"/><Relationship Id="rId4" Type="http://schemas.openxmlformats.org/officeDocument/2006/relationships/hyperlink" Target="https://okcountyrecords.com/detail/roger+mills/1994-007244" TargetMode="External"/><Relationship Id="rId9"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6" Type="http://schemas.openxmlformats.org/officeDocument/2006/relationships/hyperlink" Target="https://okcountyrecords.com/detail/roger+mills/2017-002694"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47" Type="http://schemas.openxmlformats.org/officeDocument/2006/relationships/hyperlink" Target="https://okcountyrecords.com/detail/roger+mills/2024-007198" TargetMode="External"/><Relationship Id="rId63" Type="http://schemas.openxmlformats.org/officeDocument/2006/relationships/hyperlink" Target="https://okcountyrecords.com/detail/roger+mills/2026-002509/35346709" TargetMode="External"/><Relationship Id="rId68" Type="http://schemas.openxmlformats.org/officeDocument/2006/relationships/hyperlink" Target="https://okcountyrecords.com/detail/roger+mills/2026-002877/35377759" TargetMode="External"/><Relationship Id="rId84" Type="http://schemas.openxmlformats.org/officeDocument/2006/relationships/hyperlink" Target="https://okcountyrecords.com/detail/roger+mills/2026-003315/35464678" TargetMode="External"/><Relationship Id="rId89"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37" Type="http://schemas.openxmlformats.org/officeDocument/2006/relationships/hyperlink" Target="https://okcountyrecords.com/detail/roger+mills/2021-001559" TargetMode="External"/><Relationship Id="rId53" Type="http://schemas.openxmlformats.org/officeDocument/2006/relationships/hyperlink" Target="https://okcountyrecords.com/detail/roger+mills/2025-002463/34027439" TargetMode="External"/><Relationship Id="rId58" Type="http://schemas.openxmlformats.org/officeDocument/2006/relationships/hyperlink" Target="https://okcountyrecords.com/detail/roger+mills/2026-001884" TargetMode="External"/><Relationship Id="rId74" Type="http://schemas.openxmlformats.org/officeDocument/2006/relationships/hyperlink" Target="https://okcountyrecords.com/detail/roger+mills/2026-003315/35464678"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0" Type="http://schemas.openxmlformats.org/officeDocument/2006/relationships/hyperlink" Target="https://okcountyrecords.com/detail/roger+mills/2026-003315/35464678" TargetMode="External"/><Relationship Id="rId95"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27" Type="http://schemas.openxmlformats.org/officeDocument/2006/relationships/hyperlink" Target="https://okcountyrecords.com/detail/roger+mills/2018-000119/20639253" TargetMode="External"/><Relationship Id="rId43" Type="http://schemas.openxmlformats.org/officeDocument/2006/relationships/hyperlink" Target="https://okcountyrecords.com/detail/roger+mills/2023-003598" TargetMode="External"/><Relationship Id="rId48" Type="http://schemas.openxmlformats.org/officeDocument/2006/relationships/hyperlink" Target="https://okcountyrecords.com/detail/roger+mills/2024-007203" TargetMode="External"/><Relationship Id="rId64" Type="http://schemas.openxmlformats.org/officeDocument/2006/relationships/hyperlink" Target="https://okcountyrecords.com/detail/roger+mills/2026-002511/35346711" TargetMode="External"/><Relationship Id="rId69" Type="http://schemas.openxmlformats.org/officeDocument/2006/relationships/hyperlink" Target="https://okcountyrecords.com/detail/roger+mills/2026-003143/35404149" TargetMode="External"/><Relationship Id="rId80"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17" Type="http://schemas.openxmlformats.org/officeDocument/2006/relationships/hyperlink" Target="https://okcountyrecords.com/detail/roger+mills/2007-008043" TargetMode="External"/><Relationship Id="rId33" Type="http://schemas.openxmlformats.org/officeDocument/2006/relationships/hyperlink" Target="https://okcountyrecords.com/detail/roger+mills/2020-001577"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08"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0" Type="http://schemas.openxmlformats.org/officeDocument/2006/relationships/hyperlink" Target="https://okcountyrecords.com/detail/roger+mills/2026-003142/35404150" TargetMode="External"/><Relationship Id="rId75" Type="http://schemas.openxmlformats.org/officeDocument/2006/relationships/hyperlink" Target="https://okcountyrecords.com/detail/roger+mills/2026-003315/35464678" TargetMode="External"/><Relationship Id="rId91"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 Id="rId6" Type="http://schemas.openxmlformats.org/officeDocument/2006/relationships/hyperlink" Target="https://okcountyrecords.com/detail/roger+mills/2000-006692" TargetMode="External"/><Relationship Id="rId15" Type="http://schemas.openxmlformats.org/officeDocument/2006/relationships/hyperlink" Target="12N%2024W%2031%20-%20Index.pdf,%20PDF%20page%2024%20/%20printed%20report%20page%201"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36" Type="http://schemas.openxmlformats.org/officeDocument/2006/relationships/hyperlink" Target="https://okcountyrecords.com/detail/roger+mills/2021-001557" TargetMode="External"/><Relationship Id="rId49" Type="http://schemas.openxmlformats.org/officeDocument/2006/relationships/hyperlink" Target="https://okcountyrecords.com/detail/roger+mills/2024-007338/32904065"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44" Type="http://schemas.openxmlformats.org/officeDocument/2006/relationships/hyperlink" Target="https://okcountyrecords.com/detail/roger+mills/2024-002310" TargetMode="External"/><Relationship Id="rId52" Type="http://schemas.openxmlformats.org/officeDocument/2006/relationships/hyperlink" Target="https://okcountyrecords.com/detail/roger+mills/2025-002464/34027438"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okcountyrecords.com/detail/roger+mills/2026-003315/35464678"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63" Type="http://schemas.openxmlformats.org/officeDocument/2006/relationships/hyperlink" Target="https://okcountyrecords.com/detail/roger+mills/2026-002509/35346709" TargetMode="External"/><Relationship Id="rId84" Type="http://schemas.openxmlformats.org/officeDocument/2006/relationships/hyperlink" Target="https://okcountyrecords.com/detail/roger+mills/2026-003315/35464678" TargetMode="External"/><Relationship Id="rId138" Type="http://schemas.openxmlformats.org/officeDocument/2006/relationships/hyperlink" Target="https://okcountyrecords.com/detail/roger+mills/2026-003315/35464678" TargetMode="External"/><Relationship Id="rId159" Type="http://schemas.openxmlformats.org/officeDocument/2006/relationships/hyperlink" Target="https://okcountyrecords.com/detail/roger+mills/2026-003315/35464678" TargetMode="External"/><Relationship Id="rId170" Type="http://schemas.openxmlformats.org/officeDocument/2006/relationships/hyperlink" Target="https://okcountyrecords.com/detail/roger+mills/2026-003315/35464678"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53" Type="http://schemas.openxmlformats.org/officeDocument/2006/relationships/hyperlink" Target="https://okcountyrecords.com/detail/roger+mills/2025-002463/34027439" TargetMode="External"/><Relationship Id="rId74" Type="http://schemas.openxmlformats.org/officeDocument/2006/relationships/hyperlink" Target="https://okcountyrecords.com/detail/roger+mills/2026-003315/35464678" TargetMode="External"/><Relationship Id="rId128" Type="http://schemas.openxmlformats.org/officeDocument/2006/relationships/hyperlink" Target="https://okcountyrecords.com/detail/roger+mills/2026-003315/35464678" TargetMode="External"/><Relationship Id="rId149"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5" Type="http://schemas.openxmlformats.org/officeDocument/2006/relationships/hyperlink" Target="https://okcountyrecords.com/detail/roger+mills/2026-003315/35464678" TargetMode="External"/><Relationship Id="rId160"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43" Type="http://schemas.openxmlformats.org/officeDocument/2006/relationships/hyperlink" Target="https://okcountyrecords.com/detail/roger+mills/2023-003598" TargetMode="External"/><Relationship Id="rId64" Type="http://schemas.openxmlformats.org/officeDocument/2006/relationships/hyperlink" Target="https://okcountyrecords.com/detail/roger+mills/2026-002511/35346711" TargetMode="External"/><Relationship Id="rId118" Type="http://schemas.openxmlformats.org/officeDocument/2006/relationships/hyperlink" Target="https://okcountyrecords.com/detail/roger+mills/2026-003315/35464678" TargetMode="External"/><Relationship Id="rId139"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50" Type="http://schemas.openxmlformats.org/officeDocument/2006/relationships/hyperlink" Target="https://okcountyrecords.com/detail/roger+mills/2026-003315/35464678" TargetMode="External"/><Relationship Id="rId171"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33" Type="http://schemas.openxmlformats.org/officeDocument/2006/relationships/hyperlink" Target="https://okcountyrecords.com/detail/roger+mills/2020-001577" TargetMode="External"/><Relationship Id="rId108" Type="http://schemas.openxmlformats.org/officeDocument/2006/relationships/hyperlink" Target="https://okcountyrecords.com/detail/roger+mills/2026-003315/35464678" TargetMode="External"/><Relationship Id="rId129"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5"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40" Type="http://schemas.openxmlformats.org/officeDocument/2006/relationships/hyperlink" Target="https://okcountyrecords.com/detail/roger+mills/2026-003315/35464678" TargetMode="External"/><Relationship Id="rId16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2000-006692"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49" Type="http://schemas.openxmlformats.org/officeDocument/2006/relationships/hyperlink" Target="https://okcountyrecords.com/detail/roger+mills/2024-007338/32904065" TargetMode="External"/><Relationship Id="rId114" Type="http://schemas.openxmlformats.org/officeDocument/2006/relationships/hyperlink" Target="https://okcountyrecords.com/detail/roger+mills/2026-003315/35464678" TargetMode="External"/><Relationship Id="rId119" Type="http://schemas.openxmlformats.org/officeDocument/2006/relationships/hyperlink" Target="https://okcountyrecords.com/detail/roger+mills/2026-003315/35464678" TargetMode="External"/><Relationship Id="rId44" Type="http://schemas.openxmlformats.org/officeDocument/2006/relationships/hyperlink" Target="https://okcountyrecords.com/detail/roger+mills/2024-002310"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130" Type="http://schemas.openxmlformats.org/officeDocument/2006/relationships/hyperlink" Target="https://okcountyrecords.com/detail/roger+mills/2026-003315/35464678" TargetMode="External"/><Relationship Id="rId135" Type="http://schemas.openxmlformats.org/officeDocument/2006/relationships/hyperlink" Target="https://okcountyrecords.com/detail/roger+mills/2026-003315/35464678" TargetMode="External"/><Relationship Id="rId151" Type="http://schemas.openxmlformats.org/officeDocument/2006/relationships/hyperlink" Target="https://okcountyrecords.com/detail/roger+mills/2026-003315/35464678" TargetMode="External"/><Relationship Id="rId156" Type="http://schemas.openxmlformats.org/officeDocument/2006/relationships/hyperlink" Target="https://okcountyrecords.com/detail/roger+mills/2026-003315/35464678" TargetMode="External"/><Relationship Id="rId177" Type="http://schemas.openxmlformats.org/officeDocument/2006/relationships/table" Target="../tables/table2.xml"/><Relationship Id="rId172" Type="http://schemas.openxmlformats.org/officeDocument/2006/relationships/hyperlink" Target="https://okcountyrecords.com/detail/roger+mills/2026-003315/35464678"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120" Type="http://schemas.openxmlformats.org/officeDocument/2006/relationships/hyperlink" Target="https://okcountyrecords.com/detail/roger+mills/2026-003315/35464678" TargetMode="External"/><Relationship Id="rId125" Type="http://schemas.openxmlformats.org/officeDocument/2006/relationships/hyperlink" Target="https://okcountyrecords.com/detail/roger+mills/2026-003315/35464678" TargetMode="External"/><Relationship Id="rId141" Type="http://schemas.openxmlformats.org/officeDocument/2006/relationships/hyperlink" Target="https://okcountyrecords.com/detail/roger+mills/2026-003315/35464678" TargetMode="External"/><Relationship Id="rId146" Type="http://schemas.openxmlformats.org/officeDocument/2006/relationships/hyperlink" Target="https://okcountyrecords.com/detail/roger+mills/2026-003315/35464678" TargetMode="External"/><Relationship Id="rId167"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16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110" Type="http://schemas.openxmlformats.org/officeDocument/2006/relationships/hyperlink" Target="https://okcountyrecords.com/detail/roger+mills/2026-003315/35464678" TargetMode="External"/><Relationship Id="rId115" Type="http://schemas.openxmlformats.org/officeDocument/2006/relationships/hyperlink" Target="https://okcountyrecords.com/detail/roger+mills/2026-003315/35464678" TargetMode="External"/><Relationship Id="rId131" Type="http://schemas.openxmlformats.org/officeDocument/2006/relationships/hyperlink" Target="https://okcountyrecords.com/detail/roger+mills/2026-003315/35464678" TargetMode="External"/><Relationship Id="rId136" Type="http://schemas.openxmlformats.org/officeDocument/2006/relationships/hyperlink" Target="https://okcountyrecords.com/detail/roger+mills/2026-003315/35464678" TargetMode="External"/><Relationship Id="rId15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52" Type="http://schemas.openxmlformats.org/officeDocument/2006/relationships/hyperlink" Target="https://okcountyrecords.com/detail/roger+mills/2026-003315/35464678" TargetMode="External"/><Relationship Id="rId173"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126" Type="http://schemas.openxmlformats.org/officeDocument/2006/relationships/hyperlink" Target="https://okcountyrecords.com/detail/roger+mills/2026-003315/35464678" TargetMode="External"/><Relationship Id="rId147" Type="http://schemas.openxmlformats.org/officeDocument/2006/relationships/hyperlink" Target="https://okcountyrecords.com/detail/roger+mills/2026-003315/35464678" TargetMode="External"/><Relationship Id="rId168"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121" Type="http://schemas.openxmlformats.org/officeDocument/2006/relationships/hyperlink" Target="https://okcountyrecords.com/detail/roger+mills/2026-003315/35464678" TargetMode="External"/><Relationship Id="rId142" Type="http://schemas.openxmlformats.org/officeDocument/2006/relationships/hyperlink" Target="https://okcountyrecords.com/detail/roger+mills/2026-003315/35464678" TargetMode="External"/><Relationship Id="rId163"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116" Type="http://schemas.openxmlformats.org/officeDocument/2006/relationships/hyperlink" Target="https://okcountyrecords.com/detail/roger+mills/2026-003315/35464678" TargetMode="External"/><Relationship Id="rId137" Type="http://schemas.openxmlformats.org/officeDocument/2006/relationships/hyperlink" Target="https://okcountyrecords.com/detail/roger+mills/2026-003315/35464678" TargetMode="External"/><Relationship Id="rId158" Type="http://schemas.openxmlformats.org/officeDocument/2006/relationships/hyperlink" Target="https://okcountyrecords.com/detail/roger+mills/2026-003315/35464678"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 Id="rId111" Type="http://schemas.openxmlformats.org/officeDocument/2006/relationships/hyperlink" Target="https://okcountyrecords.com/detail/roger+mills/2026-003315/35464678" TargetMode="External"/><Relationship Id="rId132" Type="http://schemas.openxmlformats.org/officeDocument/2006/relationships/hyperlink" Target="https://okcountyrecords.com/detail/roger+mills/2026-003315/35464678" TargetMode="External"/><Relationship Id="rId153" Type="http://schemas.openxmlformats.org/officeDocument/2006/relationships/hyperlink" Target="https://okcountyrecords.com/detail/roger+mills/2026-003315/35464678" TargetMode="External"/><Relationship Id="rId174" Type="http://schemas.openxmlformats.org/officeDocument/2006/relationships/hyperlink" Target="https://okcountyrecords.com/detail/roger+mills/2026-003315/35464678" TargetMode="External"/><Relationship Id="rId15" Type="http://schemas.openxmlformats.org/officeDocument/2006/relationships/hyperlink" Target="12N%2024W%2031%20-%20Index.pdf,%20PDF%20page%2024%20/%20printed%20report%20page%201" TargetMode="External"/><Relationship Id="rId36" Type="http://schemas.openxmlformats.org/officeDocument/2006/relationships/hyperlink" Target="https://okcountyrecords.com/detail/roger+mills/2021-001557"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27"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52" Type="http://schemas.openxmlformats.org/officeDocument/2006/relationships/hyperlink" Target="https://okcountyrecords.com/detail/roger+mills/2025-002464/34027438"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122" Type="http://schemas.openxmlformats.org/officeDocument/2006/relationships/hyperlink" Target="https://okcountyrecords.com/detail/roger+mills/2026-003315/35464678" TargetMode="External"/><Relationship Id="rId143" Type="http://schemas.openxmlformats.org/officeDocument/2006/relationships/hyperlink" Target="https://okcountyrecords.com/detail/roger+mills/2026-003315/35464678" TargetMode="External"/><Relationship Id="rId148" Type="http://schemas.openxmlformats.org/officeDocument/2006/relationships/hyperlink" Target="https://okcountyrecords.com/detail/roger+mills/2026-003315/35464678" TargetMode="External"/><Relationship Id="rId164" Type="http://schemas.openxmlformats.org/officeDocument/2006/relationships/hyperlink" Target="https://okcountyrecords.com/detail/roger+mills/2026-003315/35464678" TargetMode="External"/><Relationship Id="rId169"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26" Type="http://schemas.openxmlformats.org/officeDocument/2006/relationships/hyperlink" Target="https://okcountyrecords.com/detail/roger+mills/2017-002694" TargetMode="External"/><Relationship Id="rId47" Type="http://schemas.openxmlformats.org/officeDocument/2006/relationships/hyperlink" Target="https://okcountyrecords.com/detail/roger+mills/2024-007198" TargetMode="External"/><Relationship Id="rId68" Type="http://schemas.openxmlformats.org/officeDocument/2006/relationships/hyperlink" Target="https://okcountyrecords.com/detail/roger+mills/2026-002877/35377759" TargetMode="External"/><Relationship Id="rId89" Type="http://schemas.openxmlformats.org/officeDocument/2006/relationships/hyperlink" Target="https://okcountyrecords.com/detail/roger+mills/2026-003315/35464678" TargetMode="External"/><Relationship Id="rId112" Type="http://schemas.openxmlformats.org/officeDocument/2006/relationships/hyperlink" Target="https://okcountyrecords.com/detail/roger+mills/2026-003315/35464678" TargetMode="External"/><Relationship Id="rId133" Type="http://schemas.openxmlformats.org/officeDocument/2006/relationships/hyperlink" Target="https://okcountyrecords.com/detail/roger+mills/2026-003315/35464678" TargetMode="External"/><Relationship Id="rId154" Type="http://schemas.openxmlformats.org/officeDocument/2006/relationships/hyperlink" Target="https://okcountyrecords.com/detail/roger+mills/2026-003315/35464678" TargetMode="External"/><Relationship Id="rId175"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37" Type="http://schemas.openxmlformats.org/officeDocument/2006/relationships/hyperlink" Target="https://okcountyrecords.com/detail/roger+mills/2021-001559" TargetMode="External"/><Relationship Id="rId58" Type="http://schemas.openxmlformats.org/officeDocument/2006/relationships/hyperlink" Target="https://okcountyrecords.com/detail/roger+mills/2026-001884"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123" Type="http://schemas.openxmlformats.org/officeDocument/2006/relationships/hyperlink" Target="https://okcountyrecords.com/detail/roger+mills/2026-003315/35464678" TargetMode="External"/><Relationship Id="rId144" Type="http://schemas.openxmlformats.org/officeDocument/2006/relationships/hyperlink" Target="https://okcountyrecords.com/detail/roger+mills/2026-003315/35464678" TargetMode="External"/><Relationship Id="rId90" Type="http://schemas.openxmlformats.org/officeDocument/2006/relationships/hyperlink" Target="https://okcountyrecords.com/detail/roger+mills/2026-003315/35464678" TargetMode="External"/><Relationship Id="rId165" Type="http://schemas.openxmlformats.org/officeDocument/2006/relationships/hyperlink" Target="https://okcountyrecords.com/detail/roger+mills/2026-003315/35464678" TargetMode="External"/><Relationship Id="rId27" Type="http://schemas.openxmlformats.org/officeDocument/2006/relationships/hyperlink" Target="https://okcountyrecords.com/detail/roger+mills/2018-000119/20639253" TargetMode="External"/><Relationship Id="rId48" Type="http://schemas.openxmlformats.org/officeDocument/2006/relationships/hyperlink" Target="https://okcountyrecords.com/detail/roger+mills/2024-007203" TargetMode="External"/><Relationship Id="rId69" Type="http://schemas.openxmlformats.org/officeDocument/2006/relationships/hyperlink" Target="https://okcountyrecords.com/detail/roger+mills/2026-003143/35404149" TargetMode="External"/><Relationship Id="rId113" Type="http://schemas.openxmlformats.org/officeDocument/2006/relationships/hyperlink" Target="https://okcountyrecords.com/detail/roger+mills/2026-003315/35464678" TargetMode="External"/><Relationship Id="rId134" Type="http://schemas.openxmlformats.org/officeDocument/2006/relationships/hyperlink" Target="https://okcountyrecords.com/detail/roger+mills/2026-003315/35464678" TargetMode="External"/><Relationship Id="rId80" Type="http://schemas.openxmlformats.org/officeDocument/2006/relationships/hyperlink" Target="https://okcountyrecords.com/detail/roger+mills/2026-003315/35464678" TargetMode="External"/><Relationship Id="rId155" Type="http://schemas.openxmlformats.org/officeDocument/2006/relationships/hyperlink" Target="https://okcountyrecords.com/detail/roger+mills/2026-003315/35464678" TargetMode="External"/><Relationship Id="rId176" Type="http://schemas.openxmlformats.org/officeDocument/2006/relationships/hyperlink" Target="https://okcountyrecords.com/detail/roger+mills/2026-003315/35464678" TargetMode="External"/><Relationship Id="rId17" Type="http://schemas.openxmlformats.org/officeDocument/2006/relationships/hyperlink" Target="https://okcountyrecords.com/detail/roger+mills/2007-008043"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24" Type="http://schemas.openxmlformats.org/officeDocument/2006/relationships/hyperlink" Target="https://okcountyrecords.com/detail/roger+mills/2026-003315/35464678" TargetMode="External"/><Relationship Id="rId70" Type="http://schemas.openxmlformats.org/officeDocument/2006/relationships/hyperlink" Target="https://okcountyrecords.com/detail/roger+mills/2026-003142/35404150" TargetMode="External"/><Relationship Id="rId91" Type="http://schemas.openxmlformats.org/officeDocument/2006/relationships/hyperlink" Target="https://okcountyrecords.com/detail/roger+mills/2026-003315/35464678" TargetMode="External"/><Relationship Id="rId145" Type="http://schemas.openxmlformats.org/officeDocument/2006/relationships/hyperlink" Target="https://okcountyrecords.com/detail/roger+mills/2026-003315/35464678" TargetMode="External"/><Relationship Id="rId16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56"/>
  <sheetViews>
    <sheetView view="pageBreakPreview" topLeftCell="A7" zoomScaleNormal="100" zoomScaleSheetLayoutView="100" zoomScalePageLayoutView="50" workbookViewId="0">
      <selection sqref="A1:AH1"/>
    </sheetView>
  </sheetViews>
  <sheetFormatPr defaultColWidth="8.42578125" defaultRowHeight="12.75" x14ac:dyDescent="0.2"/>
  <cols>
    <col min="1" max="1" width="2.42578125" style="9" customWidth="1"/>
    <col min="2" max="33" width="2.85546875" style="9" customWidth="1"/>
    <col min="34" max="34" width="2.42578125" style="9" customWidth="1"/>
    <col min="35" max="38" width="8.42578125" style="9" customWidth="1"/>
    <col min="39" max="16384" width="8.42578125" style="9"/>
  </cols>
  <sheetData>
    <row r="1" spans="1:34" ht="105" customHeight="1" x14ac:dyDescent="0.2">
      <c r="A1" s="491"/>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row>
    <row r="2" spans="1:34" ht="8.2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ht="21" customHeight="1" x14ac:dyDescent="0.35">
      <c r="A3" s="10"/>
      <c r="B3" s="10"/>
      <c r="D3" s="478" t="s">
        <v>149</v>
      </c>
      <c r="E3" s="476"/>
      <c r="F3" s="476"/>
      <c r="G3" s="476"/>
      <c r="H3" s="476"/>
      <c r="I3" s="476"/>
      <c r="J3" s="476"/>
      <c r="K3" s="476"/>
      <c r="L3" s="476"/>
      <c r="M3" s="476"/>
      <c r="N3" s="476"/>
      <c r="O3" s="476"/>
      <c r="P3" s="12"/>
      <c r="Q3" s="480" t="s">
        <v>150</v>
      </c>
      <c r="R3" s="481"/>
      <c r="S3" s="481"/>
      <c r="T3" s="481"/>
      <c r="U3" s="481"/>
      <c r="V3" s="481"/>
      <c r="W3" s="481"/>
      <c r="X3" s="481"/>
      <c r="Y3" s="481"/>
      <c r="Z3" s="481"/>
      <c r="AA3" s="481"/>
      <c r="AB3" s="481"/>
      <c r="AC3" s="481"/>
      <c r="AD3" s="481"/>
      <c r="AE3" s="481"/>
      <c r="AF3" s="481"/>
    </row>
    <row r="4" spans="1:34" ht="8.25" customHeight="1" x14ac:dyDescent="0.35">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3"/>
    </row>
    <row r="5" spans="1:34" ht="21" customHeight="1" x14ac:dyDescent="0.35">
      <c r="A5" s="13"/>
      <c r="B5" s="14"/>
      <c r="C5" s="478" t="s">
        <v>151</v>
      </c>
      <c r="D5" s="476"/>
      <c r="E5" s="476"/>
      <c r="F5" s="476"/>
      <c r="G5" s="476"/>
      <c r="H5" s="486">
        <v>31</v>
      </c>
      <c r="I5" s="474"/>
      <c r="J5" s="474"/>
      <c r="K5" s="474"/>
      <c r="L5" s="478" t="s">
        <v>152</v>
      </c>
      <c r="M5" s="476"/>
      <c r="N5" s="476"/>
      <c r="O5" s="476"/>
      <c r="P5" s="476"/>
      <c r="Q5" s="476"/>
      <c r="R5" s="479" t="s">
        <v>153</v>
      </c>
      <c r="S5" s="474"/>
      <c r="T5" s="474"/>
      <c r="U5" s="474"/>
      <c r="V5" s="474"/>
      <c r="W5" s="474"/>
      <c r="X5" s="15"/>
      <c r="Y5" s="478" t="s">
        <v>154</v>
      </c>
      <c r="Z5" s="476"/>
      <c r="AA5" s="476"/>
      <c r="AB5" s="476"/>
      <c r="AC5" s="479" t="s">
        <v>155</v>
      </c>
      <c r="AD5" s="474"/>
      <c r="AE5" s="474"/>
      <c r="AF5" s="474"/>
      <c r="AG5" s="474"/>
      <c r="AH5" s="15"/>
    </row>
    <row r="6" spans="1:34" ht="8.25" customHeight="1" x14ac:dyDescent="0.35">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3"/>
    </row>
    <row r="7" spans="1:34" ht="21" customHeight="1" x14ac:dyDescent="0.35">
      <c r="A7" s="13"/>
      <c r="D7" s="478" t="s">
        <v>156</v>
      </c>
      <c r="E7" s="476"/>
      <c r="F7" s="476"/>
      <c r="G7" s="476"/>
      <c r="H7" s="489" t="s">
        <v>157</v>
      </c>
      <c r="I7" s="481"/>
      <c r="J7" s="481"/>
      <c r="K7" s="481"/>
      <c r="L7" s="481"/>
      <c r="M7" s="481"/>
      <c r="N7" s="481"/>
      <c r="O7" s="481"/>
      <c r="P7" s="11"/>
      <c r="Q7" s="11"/>
      <c r="R7" s="11"/>
      <c r="S7" s="11"/>
      <c r="T7" s="11"/>
      <c r="U7" s="478" t="s">
        <v>158</v>
      </c>
      <c r="V7" s="476"/>
      <c r="W7" s="476"/>
      <c r="X7" s="489" t="s">
        <v>159</v>
      </c>
      <c r="Y7" s="481"/>
      <c r="Z7" s="481"/>
      <c r="AA7" s="481"/>
      <c r="AB7" s="481"/>
      <c r="AC7" s="481"/>
      <c r="AD7" s="481"/>
      <c r="AE7" s="481"/>
      <c r="AF7" s="481"/>
      <c r="AG7" s="11"/>
      <c r="AH7" s="11"/>
    </row>
    <row r="8" spans="1:34" ht="8.25" customHeight="1"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row>
    <row r="9" spans="1:34" ht="21" customHeight="1" x14ac:dyDescent="0.35">
      <c r="B9" s="494" t="s">
        <v>160</v>
      </c>
      <c r="C9" s="495"/>
      <c r="D9" s="495"/>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16"/>
    </row>
    <row r="10" spans="1:34" ht="8.1" customHeight="1" thickBot="1" x14ac:dyDescent="0.35">
      <c r="A10" s="13"/>
      <c r="B10" s="13"/>
      <c r="C10" s="121"/>
      <c r="D10" s="121"/>
      <c r="E10" s="121"/>
      <c r="F10" s="121"/>
      <c r="G10" s="121"/>
      <c r="H10" s="121"/>
      <c r="I10" s="121"/>
      <c r="J10" s="121"/>
      <c r="K10" s="13"/>
      <c r="L10" s="13"/>
      <c r="M10" s="13"/>
      <c r="N10" s="13"/>
      <c r="O10" s="13"/>
      <c r="P10" s="13"/>
      <c r="Q10" s="13"/>
      <c r="R10" s="13"/>
      <c r="S10" s="13"/>
      <c r="T10" s="13"/>
      <c r="U10" s="13"/>
      <c r="V10" s="13"/>
      <c r="W10" s="13"/>
      <c r="X10" s="13"/>
      <c r="Y10" s="13"/>
      <c r="Z10" s="13"/>
      <c r="AA10" s="13"/>
      <c r="AB10" s="13"/>
      <c r="AC10" s="13"/>
      <c r="AD10" s="13"/>
      <c r="AE10" s="13"/>
      <c r="AF10" s="13"/>
      <c r="AG10" s="13"/>
      <c r="AH10" s="13"/>
    </row>
    <row r="11" spans="1:34" ht="15" customHeight="1" x14ac:dyDescent="0.2">
      <c r="A11" s="17"/>
      <c r="B11" s="311"/>
      <c r="C11" s="312"/>
      <c r="D11" s="312"/>
      <c r="E11" s="312"/>
      <c r="F11" s="312"/>
      <c r="G11" s="312"/>
      <c r="H11" s="312"/>
      <c r="I11" s="190"/>
      <c r="J11" s="224"/>
      <c r="K11" s="224"/>
      <c r="L11" s="224"/>
      <c r="M11" s="224"/>
      <c r="N11" s="224"/>
      <c r="O11" s="224"/>
      <c r="P11" s="224"/>
      <c r="Q11" s="225"/>
      <c r="R11" s="133"/>
      <c r="S11" s="133"/>
      <c r="T11" s="133"/>
      <c r="U11" s="133"/>
      <c r="V11" s="133"/>
      <c r="W11" s="133"/>
      <c r="X11" s="133"/>
      <c r="Y11" s="133"/>
      <c r="Z11" s="133"/>
      <c r="AA11" s="133"/>
      <c r="AB11" s="133"/>
      <c r="AC11" s="133"/>
      <c r="AD11" s="133"/>
      <c r="AE11" s="133"/>
      <c r="AF11" s="133"/>
      <c r="AG11" s="134"/>
      <c r="AH11" s="17"/>
    </row>
    <row r="12" spans="1:34" ht="15" customHeight="1" x14ac:dyDescent="0.2">
      <c r="A12" s="17"/>
      <c r="B12" s="313"/>
      <c r="C12" s="314"/>
      <c r="D12" s="314"/>
      <c r="E12" s="314"/>
      <c r="F12" s="314"/>
      <c r="G12" s="315"/>
      <c r="H12" s="314"/>
      <c r="I12" s="192"/>
      <c r="J12" s="226"/>
      <c r="K12" s="226"/>
      <c r="L12" s="226"/>
      <c r="M12" s="226"/>
      <c r="N12" s="227"/>
      <c r="O12" s="227"/>
      <c r="P12" s="227"/>
      <c r="Q12" s="228"/>
      <c r="R12" s="135"/>
      <c r="S12" s="135"/>
      <c r="T12" s="135"/>
      <c r="U12" s="135"/>
      <c r="V12" s="135"/>
      <c r="W12" s="135"/>
      <c r="X12" s="135"/>
      <c r="Y12" s="135"/>
      <c r="Z12" s="135"/>
      <c r="AA12" s="135"/>
      <c r="AB12" s="135"/>
      <c r="AC12" s="135"/>
      <c r="AD12" s="135"/>
      <c r="AE12" s="135"/>
      <c r="AF12" s="135"/>
      <c r="AG12" s="136"/>
      <c r="AH12" s="17"/>
    </row>
    <row r="13" spans="1:34" ht="15" customHeight="1" x14ac:dyDescent="0.2">
      <c r="B13" s="316"/>
      <c r="C13" s="314"/>
      <c r="D13" s="314"/>
      <c r="E13" s="314"/>
      <c r="F13" s="314"/>
      <c r="G13" s="317"/>
      <c r="H13" s="314"/>
      <c r="I13" s="192"/>
      <c r="J13" s="226"/>
      <c r="K13" s="226"/>
      <c r="L13" s="226"/>
      <c r="M13" s="226"/>
      <c r="N13" s="227"/>
      <c r="O13" s="227"/>
      <c r="P13" s="227"/>
      <c r="Q13" s="228"/>
      <c r="R13" s="135"/>
      <c r="S13" s="135"/>
      <c r="T13" s="135"/>
      <c r="U13" s="135"/>
      <c r="V13" s="135"/>
      <c r="W13" s="135"/>
      <c r="X13" s="135"/>
      <c r="Y13" s="135"/>
      <c r="Z13" s="135"/>
      <c r="AA13" s="135"/>
      <c r="AB13" s="135"/>
      <c r="AC13" s="135"/>
      <c r="AD13" s="135"/>
      <c r="AE13" s="135"/>
      <c r="AF13" s="135"/>
      <c r="AG13" s="136"/>
      <c r="AH13" s="17"/>
    </row>
    <row r="14" spans="1:34" ht="15" customHeight="1" x14ac:dyDescent="0.2">
      <c r="B14" s="316"/>
      <c r="C14" s="314"/>
      <c r="D14" s="314"/>
      <c r="E14" s="314"/>
      <c r="F14" s="314"/>
      <c r="G14" s="317"/>
      <c r="H14" s="314"/>
      <c r="I14" s="192"/>
      <c r="J14" s="229"/>
      <c r="K14" s="226"/>
      <c r="L14" s="227" t="s">
        <v>58</v>
      </c>
      <c r="M14" s="483"/>
      <c r="N14" s="476"/>
      <c r="O14" s="227"/>
      <c r="P14" s="227"/>
      <c r="Q14" s="228"/>
      <c r="R14" s="135"/>
      <c r="S14" s="135"/>
      <c r="T14" s="135"/>
      <c r="U14" s="135"/>
      <c r="V14" s="137"/>
      <c r="W14" s="138"/>
      <c r="X14" s="135"/>
      <c r="Y14" s="135" t="s">
        <v>161</v>
      </c>
      <c r="Z14" s="135"/>
      <c r="AA14" s="135"/>
      <c r="AB14" s="135"/>
      <c r="AC14" s="135"/>
      <c r="AD14" s="137"/>
      <c r="AE14" s="138"/>
      <c r="AF14" s="135"/>
      <c r="AG14" s="136"/>
      <c r="AH14" s="17"/>
    </row>
    <row r="15" spans="1:34" ht="15" customHeight="1" x14ac:dyDescent="0.2">
      <c r="B15" s="316"/>
      <c r="C15" s="314"/>
      <c r="D15" s="314"/>
      <c r="E15" s="314"/>
      <c r="F15" s="314"/>
      <c r="G15" s="317"/>
      <c r="H15" s="314"/>
      <c r="I15" s="192"/>
      <c r="J15" s="230" t="s">
        <v>58</v>
      </c>
      <c r="K15" s="230"/>
      <c r="L15" s="227"/>
      <c r="M15" s="476"/>
      <c r="N15" s="476"/>
      <c r="O15" s="227"/>
      <c r="P15" s="227"/>
      <c r="Q15" s="228"/>
      <c r="R15" s="135"/>
      <c r="S15" s="135"/>
      <c r="T15" s="135"/>
      <c r="U15" s="135"/>
      <c r="V15" s="138"/>
      <c r="W15" s="138"/>
      <c r="X15" s="135"/>
      <c r="Y15" s="135"/>
      <c r="Z15" s="135"/>
      <c r="AA15" s="135"/>
      <c r="AB15" s="135"/>
      <c r="AC15" s="135"/>
      <c r="AD15" s="138"/>
      <c r="AE15" s="138"/>
      <c r="AF15" s="135"/>
      <c r="AG15" s="136"/>
      <c r="AH15" s="17"/>
    </row>
    <row r="16" spans="1:34" ht="15" customHeight="1" x14ac:dyDescent="0.2">
      <c r="B16" s="316"/>
      <c r="C16" s="314"/>
      <c r="D16" s="314"/>
      <c r="E16" s="314"/>
      <c r="F16" s="314"/>
      <c r="G16" s="317"/>
      <c r="H16" s="314"/>
      <c r="I16" s="192"/>
      <c r="J16" s="227"/>
      <c r="K16" s="230"/>
      <c r="L16" s="227"/>
      <c r="M16" s="227"/>
      <c r="N16" s="227"/>
      <c r="O16" s="227"/>
      <c r="P16" s="227"/>
      <c r="Q16" s="228"/>
      <c r="R16" s="135"/>
      <c r="S16" s="135"/>
      <c r="T16" s="135"/>
      <c r="U16" s="135"/>
      <c r="V16" s="135"/>
      <c r="W16" s="135"/>
      <c r="X16" s="135"/>
      <c r="Y16" s="135"/>
      <c r="Z16" s="135"/>
      <c r="AA16" s="135"/>
      <c r="AB16" s="135"/>
      <c r="AC16" s="135"/>
      <c r="AD16" s="135"/>
      <c r="AE16" s="135"/>
      <c r="AF16" s="135"/>
      <c r="AG16" s="136"/>
      <c r="AH16" s="17"/>
    </row>
    <row r="17" spans="2:36" ht="15" customHeight="1" x14ac:dyDescent="0.2">
      <c r="B17" s="316"/>
      <c r="C17" s="314"/>
      <c r="D17" s="314"/>
      <c r="E17" s="314"/>
      <c r="F17" s="314"/>
      <c r="G17" s="315"/>
      <c r="H17" s="314"/>
      <c r="I17" s="192"/>
      <c r="J17" s="227"/>
      <c r="K17" s="227"/>
      <c r="L17" s="227"/>
      <c r="M17" s="227"/>
      <c r="N17" s="227"/>
      <c r="O17" s="227"/>
      <c r="P17" s="227"/>
      <c r="Q17" s="228"/>
      <c r="R17" s="138"/>
      <c r="S17" s="135"/>
      <c r="T17" s="135"/>
      <c r="U17" s="135" t="s">
        <v>58</v>
      </c>
      <c r="V17" s="138"/>
      <c r="W17" s="138"/>
      <c r="X17" s="138"/>
      <c r="Y17" s="138"/>
      <c r="Z17" s="135"/>
      <c r="AA17" s="135"/>
      <c r="AB17" s="135"/>
      <c r="AC17" s="135"/>
      <c r="AD17" s="138"/>
      <c r="AE17" s="138"/>
      <c r="AF17" s="138"/>
      <c r="AG17" s="136"/>
      <c r="AH17" s="17"/>
    </row>
    <row r="18" spans="2:36" ht="15" customHeight="1" x14ac:dyDescent="0.2">
      <c r="B18" s="316"/>
      <c r="C18" s="314"/>
      <c r="D18" s="314"/>
      <c r="E18" s="314"/>
      <c r="F18" s="314"/>
      <c r="G18" s="315"/>
      <c r="H18" s="314"/>
      <c r="I18" s="192"/>
      <c r="J18" s="227"/>
      <c r="K18" s="227"/>
      <c r="L18" s="227"/>
      <c r="M18" s="483" t="s">
        <v>162</v>
      </c>
      <c r="N18" s="476"/>
      <c r="O18" s="227"/>
      <c r="P18" s="227"/>
      <c r="Q18" s="228"/>
      <c r="R18" s="135"/>
      <c r="S18" s="135"/>
      <c r="T18" s="135"/>
      <c r="U18" s="135"/>
      <c r="V18" s="135"/>
      <c r="W18" s="135"/>
      <c r="X18" s="135"/>
      <c r="Y18" s="135"/>
      <c r="Z18" s="135"/>
      <c r="AA18" s="135"/>
      <c r="AB18" s="135"/>
      <c r="AC18" s="135"/>
      <c r="AD18" s="138"/>
      <c r="AE18" s="138"/>
      <c r="AF18" s="138"/>
      <c r="AG18" s="136"/>
      <c r="AH18" s="17"/>
      <c r="AJ18" s="9" t="s">
        <v>58</v>
      </c>
    </row>
    <row r="19" spans="2:36" ht="15" customHeight="1" x14ac:dyDescent="0.2">
      <c r="B19" s="316"/>
      <c r="C19" s="314"/>
      <c r="D19" s="314"/>
      <c r="E19" s="314"/>
      <c r="F19" s="314"/>
      <c r="G19" s="315"/>
      <c r="H19" s="314"/>
      <c r="I19" s="192"/>
      <c r="J19" s="227"/>
      <c r="K19" s="227"/>
      <c r="L19" s="227"/>
      <c r="M19" s="476"/>
      <c r="N19" s="476"/>
      <c r="O19" s="227"/>
      <c r="P19" s="227"/>
      <c r="Q19" s="228"/>
      <c r="R19" s="125"/>
      <c r="S19" s="125"/>
      <c r="T19" s="126"/>
      <c r="U19" s="126"/>
      <c r="V19" s="127"/>
      <c r="W19" s="127"/>
      <c r="X19" s="123"/>
      <c r="Y19" s="129"/>
      <c r="Z19" s="214"/>
      <c r="AA19" s="214"/>
      <c r="AB19" s="215"/>
      <c r="AC19" s="215"/>
      <c r="AD19" s="216"/>
      <c r="AE19" s="216"/>
      <c r="AF19" s="217"/>
      <c r="AG19" s="218"/>
      <c r="AH19" s="17"/>
    </row>
    <row r="20" spans="2:36" ht="15" customHeight="1" x14ac:dyDescent="0.2">
      <c r="B20" s="316"/>
      <c r="C20" s="314"/>
      <c r="D20" s="314"/>
      <c r="E20" s="314"/>
      <c r="F20" s="314"/>
      <c r="G20" s="315"/>
      <c r="H20" s="314"/>
      <c r="I20" s="192"/>
      <c r="J20" s="227"/>
      <c r="K20" s="227"/>
      <c r="L20" s="227"/>
      <c r="M20" s="227"/>
      <c r="N20" s="227"/>
      <c r="O20" s="227"/>
      <c r="P20" s="227"/>
      <c r="Q20" s="228"/>
      <c r="R20" s="125"/>
      <c r="S20" s="125"/>
      <c r="T20" s="125"/>
      <c r="U20" s="125"/>
      <c r="V20" s="123"/>
      <c r="W20" s="123"/>
      <c r="X20" s="123"/>
      <c r="Y20" s="129"/>
      <c r="Z20" s="214"/>
      <c r="AA20" s="214"/>
      <c r="AB20" s="214"/>
      <c r="AC20" s="214"/>
      <c r="AD20" s="217"/>
      <c r="AE20" s="217"/>
      <c r="AF20" s="217"/>
      <c r="AG20" s="218"/>
      <c r="AH20" s="17"/>
    </row>
    <row r="21" spans="2:36" ht="15" customHeight="1" x14ac:dyDescent="0.2">
      <c r="B21" s="313"/>
      <c r="C21" s="314"/>
      <c r="D21" s="314"/>
      <c r="E21" s="314"/>
      <c r="F21" s="314"/>
      <c r="G21" s="314"/>
      <c r="H21" s="314"/>
      <c r="I21" s="192"/>
      <c r="J21" s="226"/>
      <c r="K21" s="226"/>
      <c r="L21" s="226"/>
      <c r="M21" s="226"/>
      <c r="N21" s="227"/>
      <c r="O21" s="227"/>
      <c r="P21" s="227"/>
      <c r="Q21" s="228"/>
      <c r="R21" s="125"/>
      <c r="S21" s="125"/>
      <c r="T21" s="125"/>
      <c r="U21" s="125"/>
      <c r="V21" s="123"/>
      <c r="W21" s="123"/>
      <c r="X21" s="123"/>
      <c r="Y21" s="129"/>
      <c r="Z21" s="214"/>
      <c r="AA21" s="214"/>
      <c r="AB21" s="214"/>
      <c r="AC21" s="214"/>
      <c r="AD21" s="217"/>
      <c r="AE21" s="217"/>
      <c r="AF21" s="217"/>
      <c r="AG21" s="218"/>
      <c r="AH21" s="17"/>
    </row>
    <row r="22" spans="2:36" ht="15" customHeight="1" x14ac:dyDescent="0.2">
      <c r="B22" s="191"/>
      <c r="C22" s="195"/>
      <c r="D22" s="195"/>
      <c r="E22" s="195"/>
      <c r="F22" s="195"/>
      <c r="G22" s="195"/>
      <c r="H22" s="195"/>
      <c r="I22" s="192"/>
      <c r="J22" s="229"/>
      <c r="K22" s="226"/>
      <c r="L22" s="227" t="s">
        <v>58</v>
      </c>
      <c r="M22" s="483"/>
      <c r="N22" s="476"/>
      <c r="O22" s="227"/>
      <c r="P22" s="227"/>
      <c r="Q22" s="228"/>
      <c r="R22" s="128"/>
      <c r="S22" s="125"/>
      <c r="T22" s="123" t="s">
        <v>58</v>
      </c>
      <c r="U22" s="482" t="s">
        <v>163</v>
      </c>
      <c r="V22" s="476"/>
      <c r="W22" s="123"/>
      <c r="X22" s="123"/>
      <c r="Y22" s="129"/>
      <c r="Z22" s="219"/>
      <c r="AA22" s="214"/>
      <c r="AB22" s="217" t="s">
        <v>58</v>
      </c>
      <c r="AC22" s="487" t="s">
        <v>164</v>
      </c>
      <c r="AD22" s="476"/>
      <c r="AE22" s="217"/>
      <c r="AF22" s="217"/>
      <c r="AG22" s="218"/>
      <c r="AH22" s="17"/>
    </row>
    <row r="23" spans="2:36" ht="15" customHeight="1" x14ac:dyDescent="0.2">
      <c r="B23" s="191"/>
      <c r="C23" s="195"/>
      <c r="D23" s="195"/>
      <c r="E23" s="195"/>
      <c r="F23" s="195"/>
      <c r="G23" s="195"/>
      <c r="H23" s="195"/>
      <c r="I23" s="192"/>
      <c r="J23" s="230" t="s">
        <v>58</v>
      </c>
      <c r="K23" s="230"/>
      <c r="L23" s="227"/>
      <c r="M23" s="476"/>
      <c r="N23" s="476"/>
      <c r="O23" s="227"/>
      <c r="P23" s="227"/>
      <c r="Q23" s="228"/>
      <c r="R23" s="124" t="s">
        <v>58</v>
      </c>
      <c r="S23" s="124"/>
      <c r="T23" s="123"/>
      <c r="U23" s="476"/>
      <c r="V23" s="476"/>
      <c r="W23" s="123"/>
      <c r="X23" s="123"/>
      <c r="Y23" s="129"/>
      <c r="Z23" s="220" t="s">
        <v>58</v>
      </c>
      <c r="AA23" s="220"/>
      <c r="AB23" s="217"/>
      <c r="AC23" s="476"/>
      <c r="AD23" s="476"/>
      <c r="AE23" s="217"/>
      <c r="AF23" s="217"/>
      <c r="AG23" s="218"/>
      <c r="AH23" s="18"/>
    </row>
    <row r="24" spans="2:36" ht="15" customHeight="1" x14ac:dyDescent="0.2">
      <c r="B24" s="191"/>
      <c r="C24" s="192"/>
      <c r="D24" s="192"/>
      <c r="E24" s="192"/>
      <c r="F24" s="192"/>
      <c r="G24" s="192"/>
      <c r="H24" s="192"/>
      <c r="I24" s="192"/>
      <c r="J24" s="227"/>
      <c r="K24" s="230"/>
      <c r="L24" s="227"/>
      <c r="M24" s="227"/>
      <c r="N24" s="227"/>
      <c r="O24" s="227"/>
      <c r="P24" s="227"/>
      <c r="Q24" s="228"/>
      <c r="R24" s="123"/>
      <c r="S24" s="124"/>
      <c r="T24" s="123"/>
      <c r="U24" s="123"/>
      <c r="V24" s="123"/>
      <c r="W24" s="123"/>
      <c r="X24" s="123"/>
      <c r="Y24" s="129"/>
      <c r="Z24" s="217"/>
      <c r="AA24" s="220"/>
      <c r="AB24" s="217"/>
      <c r="AC24" s="217"/>
      <c r="AD24" s="217"/>
      <c r="AE24" s="217"/>
      <c r="AF24" s="217"/>
      <c r="AG24" s="218"/>
      <c r="AH24" s="18"/>
    </row>
    <row r="25" spans="2:36" ht="15" customHeight="1" x14ac:dyDescent="0.2">
      <c r="B25" s="191"/>
      <c r="C25" s="192"/>
      <c r="D25" s="192"/>
      <c r="E25" s="192"/>
      <c r="F25" s="192"/>
      <c r="G25" s="192"/>
      <c r="H25" s="192"/>
      <c r="I25" s="192"/>
      <c r="J25" s="227"/>
      <c r="K25" s="227"/>
      <c r="L25" s="227"/>
      <c r="M25" s="227"/>
      <c r="N25" s="227"/>
      <c r="O25" s="227"/>
      <c r="P25" s="227"/>
      <c r="Q25" s="228"/>
      <c r="R25" s="123"/>
      <c r="S25" s="123"/>
      <c r="T25" s="123"/>
      <c r="U25" s="123"/>
      <c r="V25" s="123"/>
      <c r="W25" s="123"/>
      <c r="X25" s="123"/>
      <c r="Y25" s="129"/>
      <c r="Z25" s="217"/>
      <c r="AA25" s="217"/>
      <c r="AB25" s="217"/>
      <c r="AC25" s="217"/>
      <c r="AD25" s="217"/>
      <c r="AE25" s="217"/>
      <c r="AF25" s="217"/>
      <c r="AG25" s="218"/>
      <c r="AH25" s="18"/>
    </row>
    <row r="26" spans="2:36" ht="15" customHeight="1" x14ac:dyDescent="0.2">
      <c r="B26" s="198"/>
      <c r="C26" s="199"/>
      <c r="D26" s="199"/>
      <c r="E26" s="477" t="s">
        <v>165</v>
      </c>
      <c r="F26" s="476"/>
      <c r="G26" s="199"/>
      <c r="H26" s="199"/>
      <c r="I26" s="192"/>
      <c r="J26" s="231"/>
      <c r="K26" s="231"/>
      <c r="L26" s="231"/>
      <c r="M26" s="231"/>
      <c r="N26" s="231"/>
      <c r="O26" s="231"/>
      <c r="P26" s="232"/>
      <c r="Q26" s="233"/>
      <c r="R26" s="130"/>
      <c r="S26" s="130"/>
      <c r="T26" s="130"/>
      <c r="U26" s="130"/>
      <c r="V26" s="130"/>
      <c r="W26" s="130"/>
      <c r="X26" s="131"/>
      <c r="Y26" s="132"/>
      <c r="Z26" s="221"/>
      <c r="AA26" s="221"/>
      <c r="AB26" s="221"/>
      <c r="AC26" s="221"/>
      <c r="AD26" s="221"/>
      <c r="AE26" s="221"/>
      <c r="AF26" s="222"/>
      <c r="AG26" s="223"/>
      <c r="AH26" s="17"/>
    </row>
    <row r="27" spans="2:36" ht="15" customHeight="1" x14ac:dyDescent="0.2">
      <c r="B27" s="198"/>
      <c r="C27" s="199"/>
      <c r="D27" s="199"/>
      <c r="E27" s="476"/>
      <c r="F27" s="476"/>
      <c r="G27" s="199"/>
      <c r="H27" s="199"/>
      <c r="I27" s="192"/>
      <c r="J27" s="193"/>
      <c r="K27" s="193"/>
      <c r="L27" s="193"/>
      <c r="M27" s="193"/>
      <c r="N27" s="193"/>
      <c r="O27" s="193"/>
      <c r="P27" s="193"/>
      <c r="Q27" s="194"/>
      <c r="R27" s="206"/>
      <c r="S27" s="206"/>
      <c r="T27" s="206"/>
      <c r="U27" s="206"/>
      <c r="V27" s="206"/>
      <c r="W27" s="206"/>
      <c r="X27" s="206"/>
      <c r="Y27" s="206"/>
      <c r="Z27" s="235"/>
      <c r="AA27" s="235"/>
      <c r="AB27" s="236"/>
      <c r="AC27" s="236"/>
      <c r="AD27" s="237"/>
      <c r="AE27" s="237"/>
      <c r="AF27" s="238"/>
      <c r="AG27" s="239"/>
      <c r="AH27" s="17"/>
    </row>
    <row r="28" spans="2:36" ht="15" customHeight="1" x14ac:dyDescent="0.2">
      <c r="B28" s="198"/>
      <c r="C28" s="199"/>
      <c r="D28" s="199"/>
      <c r="E28" s="199"/>
      <c r="F28" s="199"/>
      <c r="G28" s="199"/>
      <c r="H28" s="199"/>
      <c r="I28" s="192"/>
      <c r="J28" s="193"/>
      <c r="K28" s="193"/>
      <c r="L28" s="193"/>
      <c r="M28" s="193"/>
      <c r="N28" s="193"/>
      <c r="O28" s="193"/>
      <c r="P28" s="193"/>
      <c r="Q28" s="194"/>
      <c r="R28" s="206"/>
      <c r="S28" s="206"/>
      <c r="T28" s="206"/>
      <c r="U28" s="206"/>
      <c r="V28" s="206"/>
      <c r="W28" s="206"/>
      <c r="X28" s="206"/>
      <c r="Y28" s="206"/>
      <c r="Z28" s="235"/>
      <c r="AA28" s="235"/>
      <c r="AB28" s="235"/>
      <c r="AC28" s="235"/>
      <c r="AD28" s="238"/>
      <c r="AE28" s="238"/>
      <c r="AF28" s="238"/>
      <c r="AG28" s="239"/>
      <c r="AH28" s="17"/>
    </row>
    <row r="29" spans="2:36" ht="15" customHeight="1" x14ac:dyDescent="0.2">
      <c r="B29" s="198"/>
      <c r="C29" s="199"/>
      <c r="D29" s="199"/>
      <c r="E29" s="199"/>
      <c r="F29" s="199"/>
      <c r="G29" s="199"/>
      <c r="H29" s="199"/>
      <c r="I29" s="192"/>
      <c r="J29" s="193"/>
      <c r="K29" s="193"/>
      <c r="L29" s="193"/>
      <c r="M29" s="193"/>
      <c r="N29" s="193"/>
      <c r="O29" s="193"/>
      <c r="P29" s="193"/>
      <c r="Q29" s="194"/>
      <c r="R29" s="206"/>
      <c r="S29" s="208"/>
      <c r="T29" s="206"/>
      <c r="U29" s="206"/>
      <c r="V29" s="206"/>
      <c r="W29" s="206"/>
      <c r="X29" s="206"/>
      <c r="Y29" s="206"/>
      <c r="Z29" s="235"/>
      <c r="AA29" s="235"/>
      <c r="AB29" s="235"/>
      <c r="AC29" s="235"/>
      <c r="AD29" s="238"/>
      <c r="AE29" s="238"/>
      <c r="AF29" s="238"/>
      <c r="AG29" s="239"/>
      <c r="AH29" s="17"/>
    </row>
    <row r="30" spans="2:36" ht="15" customHeight="1" x14ac:dyDescent="0.2">
      <c r="B30" s="198"/>
      <c r="C30" s="199"/>
      <c r="D30" s="199"/>
      <c r="E30" s="199"/>
      <c r="F30" s="199"/>
      <c r="G30" s="199"/>
      <c r="H30" s="199"/>
      <c r="I30" s="192"/>
      <c r="J30" s="193"/>
      <c r="K30" s="193"/>
      <c r="L30" s="193"/>
      <c r="M30" s="193"/>
      <c r="N30" s="193"/>
      <c r="O30" s="193"/>
      <c r="P30" s="193"/>
      <c r="Q30" s="194"/>
      <c r="R30" s="206"/>
      <c r="S30" s="206"/>
      <c r="T30" s="206"/>
      <c r="U30" s="206"/>
      <c r="V30" s="206"/>
      <c r="W30" s="206"/>
      <c r="X30" s="206"/>
      <c r="Y30" s="206"/>
      <c r="Z30" s="240"/>
      <c r="AA30" s="235"/>
      <c r="AB30" s="238" t="s">
        <v>58</v>
      </c>
      <c r="AC30" s="497" t="s">
        <v>166</v>
      </c>
      <c r="AD30" s="476"/>
      <c r="AE30" s="238"/>
      <c r="AF30" s="238"/>
      <c r="AG30" s="239"/>
      <c r="AH30" s="17"/>
    </row>
    <row r="31" spans="2:36" ht="15" customHeight="1" x14ac:dyDescent="0.2">
      <c r="B31" s="198"/>
      <c r="C31" s="199"/>
      <c r="D31" s="199"/>
      <c r="E31" s="199"/>
      <c r="F31" s="199"/>
      <c r="G31" s="199"/>
      <c r="H31" s="199"/>
      <c r="I31" s="192"/>
      <c r="J31" s="193"/>
      <c r="K31" s="193"/>
      <c r="L31" s="193"/>
      <c r="M31" s="193"/>
      <c r="N31" s="193"/>
      <c r="O31" s="193"/>
      <c r="P31" s="193"/>
      <c r="Q31" s="194"/>
      <c r="R31" s="206"/>
      <c r="S31" s="206"/>
      <c r="T31" s="206"/>
      <c r="U31" s="206"/>
      <c r="V31" s="206"/>
      <c r="W31" s="206"/>
      <c r="X31" s="209"/>
      <c r="Y31" s="206"/>
      <c r="Z31" s="241" t="s">
        <v>58</v>
      </c>
      <c r="AA31" s="241"/>
      <c r="AB31" s="238"/>
      <c r="AC31" s="476"/>
      <c r="AD31" s="476"/>
      <c r="AE31" s="238"/>
      <c r="AF31" s="238"/>
      <c r="AG31" s="239"/>
      <c r="AH31" s="17"/>
    </row>
    <row r="32" spans="2:36" ht="15" customHeight="1" x14ac:dyDescent="0.2">
      <c r="B32" s="198"/>
      <c r="C32" s="199"/>
      <c r="D32" s="199"/>
      <c r="E32" s="199"/>
      <c r="F32" s="199"/>
      <c r="G32" s="199"/>
      <c r="H32" s="199"/>
      <c r="I32" s="192"/>
      <c r="J32" s="193"/>
      <c r="K32" s="193"/>
      <c r="L32" s="193"/>
      <c r="M32" s="193"/>
      <c r="N32" s="193"/>
      <c r="O32" s="193"/>
      <c r="P32" s="193"/>
      <c r="Q32" s="194"/>
      <c r="R32" s="206"/>
      <c r="S32" s="206"/>
      <c r="T32" s="206"/>
      <c r="U32" s="206"/>
      <c r="V32" s="206"/>
      <c r="W32" s="206"/>
      <c r="X32" s="209"/>
      <c r="Y32" s="206"/>
      <c r="Z32" s="238"/>
      <c r="AA32" s="241"/>
      <c r="AB32" s="238"/>
      <c r="AC32" s="238"/>
      <c r="AD32" s="238"/>
      <c r="AE32" s="238"/>
      <c r="AF32" s="238"/>
      <c r="AG32" s="239"/>
      <c r="AH32" s="17"/>
    </row>
    <row r="33" spans="1:34" ht="15" customHeight="1" x14ac:dyDescent="0.2">
      <c r="B33" s="198"/>
      <c r="C33" s="199"/>
      <c r="D33" s="199"/>
      <c r="E33" s="199"/>
      <c r="F33" s="199"/>
      <c r="G33" s="199"/>
      <c r="H33" s="199"/>
      <c r="I33" s="192"/>
      <c r="J33" s="193"/>
      <c r="K33" s="193"/>
      <c r="L33" s="193"/>
      <c r="M33" s="193"/>
      <c r="N33" s="193"/>
      <c r="O33" s="193"/>
      <c r="P33" s="193"/>
      <c r="Q33" s="194"/>
      <c r="R33" s="206"/>
      <c r="S33" s="206"/>
      <c r="T33" s="206"/>
      <c r="U33" s="206"/>
      <c r="V33" s="206"/>
      <c r="W33" s="206"/>
      <c r="X33" s="209"/>
      <c r="Y33" s="206"/>
      <c r="Z33" s="238"/>
      <c r="AA33" s="238"/>
      <c r="AB33" s="238"/>
      <c r="AC33" s="238"/>
      <c r="AD33" s="238"/>
      <c r="AE33" s="238"/>
      <c r="AF33" s="238"/>
      <c r="AG33" s="239"/>
      <c r="AH33" s="17"/>
    </row>
    <row r="34" spans="1:34" ht="15" customHeight="1" x14ac:dyDescent="0.2">
      <c r="B34" s="198"/>
      <c r="C34" s="199"/>
      <c r="D34" s="199"/>
      <c r="E34" s="199"/>
      <c r="F34" s="199"/>
      <c r="G34" s="199"/>
      <c r="H34" s="199"/>
      <c r="I34" s="192"/>
      <c r="J34" s="193"/>
      <c r="K34" s="193"/>
      <c r="L34" s="193"/>
      <c r="M34" s="193" t="s">
        <v>167</v>
      </c>
      <c r="N34" s="193"/>
      <c r="O34" s="193"/>
      <c r="P34" s="193"/>
      <c r="Q34" s="194"/>
      <c r="R34" s="206"/>
      <c r="S34" s="206"/>
      <c r="T34" s="206"/>
      <c r="U34" s="206"/>
      <c r="V34" s="206"/>
      <c r="W34" s="206"/>
      <c r="X34" s="206"/>
      <c r="Y34" s="234"/>
      <c r="Z34" s="242"/>
      <c r="AA34" s="242"/>
      <c r="AB34" s="242"/>
      <c r="AC34" s="242"/>
      <c r="AD34" s="242"/>
      <c r="AE34" s="242"/>
      <c r="AF34" s="243"/>
      <c r="AG34" s="244"/>
      <c r="AH34" s="17"/>
    </row>
    <row r="35" spans="1:34" ht="14.1" customHeight="1" x14ac:dyDescent="0.2">
      <c r="B35" s="198"/>
      <c r="C35" s="199"/>
      <c r="D35" s="199"/>
      <c r="E35" s="199"/>
      <c r="F35" s="199"/>
      <c r="G35" s="199"/>
      <c r="H35" s="199"/>
      <c r="I35" s="192"/>
      <c r="J35" s="193"/>
      <c r="K35" s="193"/>
      <c r="L35" s="193"/>
      <c r="M35" s="193"/>
      <c r="N35" s="193"/>
      <c r="O35" s="193"/>
      <c r="P35" s="193"/>
      <c r="Q35" s="194"/>
      <c r="R35" s="206"/>
      <c r="S35" s="206"/>
      <c r="T35" s="206"/>
      <c r="U35" s="206"/>
      <c r="V35" s="206"/>
      <c r="W35" s="206"/>
      <c r="X35" s="234"/>
      <c r="Y35" s="234"/>
      <c r="Z35" s="234"/>
      <c r="AA35" s="234"/>
      <c r="AB35" s="206"/>
      <c r="AC35" s="206"/>
      <c r="AD35" s="206"/>
      <c r="AE35" s="206"/>
      <c r="AF35" s="206"/>
      <c r="AG35" s="207"/>
      <c r="AH35" s="17"/>
    </row>
    <row r="36" spans="1:34" ht="15" customHeight="1" x14ac:dyDescent="0.2">
      <c r="B36" s="198"/>
      <c r="C36" s="199"/>
      <c r="D36" s="199"/>
      <c r="E36" s="199"/>
      <c r="F36" s="199"/>
      <c r="G36" s="199"/>
      <c r="H36" s="199"/>
      <c r="I36" s="192"/>
      <c r="J36" s="193"/>
      <c r="K36" s="193"/>
      <c r="L36" s="193"/>
      <c r="M36" s="193"/>
      <c r="N36" s="193"/>
      <c r="O36" s="193"/>
      <c r="P36" s="193"/>
      <c r="Q36" s="194"/>
      <c r="R36" s="206"/>
      <c r="S36" s="206"/>
      <c r="T36" s="206"/>
      <c r="U36" s="206" t="s">
        <v>168</v>
      </c>
      <c r="V36" s="206"/>
      <c r="W36" s="206"/>
      <c r="X36" s="206"/>
      <c r="Y36" s="206"/>
      <c r="Z36" s="206"/>
      <c r="AA36" s="206"/>
      <c r="AB36" s="206"/>
      <c r="AC36" s="206"/>
      <c r="AD36" s="206"/>
      <c r="AE36" s="206"/>
      <c r="AF36" s="206"/>
      <c r="AG36" s="207"/>
      <c r="AH36" s="17"/>
    </row>
    <row r="37" spans="1:34" ht="15" customHeight="1" x14ac:dyDescent="0.2">
      <c r="B37" s="198"/>
      <c r="C37" s="199"/>
      <c r="D37" s="199"/>
      <c r="E37" s="199"/>
      <c r="F37" s="199"/>
      <c r="G37" s="199"/>
      <c r="H37" s="199"/>
      <c r="I37" s="192"/>
      <c r="J37" s="193"/>
      <c r="K37" s="193"/>
      <c r="L37" s="193"/>
      <c r="M37" s="193"/>
      <c r="N37" s="193"/>
      <c r="O37" s="193"/>
      <c r="P37" s="193"/>
      <c r="Q37" s="194"/>
      <c r="R37" s="206"/>
      <c r="S37" s="206"/>
      <c r="T37" s="206"/>
      <c r="U37" s="206"/>
      <c r="V37" s="206"/>
      <c r="W37" s="206"/>
      <c r="X37" s="206"/>
      <c r="Y37" s="206"/>
      <c r="Z37" s="206"/>
      <c r="AA37" s="206"/>
      <c r="AB37" s="206"/>
      <c r="AC37" s="206"/>
      <c r="AD37" s="206"/>
      <c r="AE37" s="206"/>
      <c r="AF37" s="206"/>
      <c r="AG37" s="207"/>
      <c r="AH37" s="17"/>
    </row>
    <row r="38" spans="1:34" ht="15" customHeight="1" x14ac:dyDescent="0.2">
      <c r="B38" s="198"/>
      <c r="C38" s="199"/>
      <c r="D38" s="199"/>
      <c r="E38" s="199"/>
      <c r="F38" s="199"/>
      <c r="G38" s="199"/>
      <c r="H38" s="199"/>
      <c r="I38" s="192"/>
      <c r="J38" s="193"/>
      <c r="K38" s="193"/>
      <c r="L38" s="193"/>
      <c r="M38" s="193"/>
      <c r="N38" s="193"/>
      <c r="O38" s="193"/>
      <c r="P38" s="193"/>
      <c r="Q38" s="194"/>
      <c r="R38" s="206"/>
      <c r="S38" s="206"/>
      <c r="T38" s="206"/>
      <c r="U38" s="206"/>
      <c r="V38" s="206"/>
      <c r="W38" s="206"/>
      <c r="X38" s="206"/>
      <c r="Y38" s="206"/>
      <c r="Z38" s="206"/>
      <c r="AA38" s="206"/>
      <c r="AB38" s="206"/>
      <c r="AC38" s="206"/>
      <c r="AD38" s="206"/>
      <c r="AE38" s="206"/>
      <c r="AF38" s="206"/>
      <c r="AG38" s="207"/>
      <c r="AH38" s="17"/>
    </row>
    <row r="39" spans="1:34" ht="15" customHeight="1" x14ac:dyDescent="0.2">
      <c r="B39" s="191"/>
      <c r="C39" s="192"/>
      <c r="D39" s="192"/>
      <c r="E39" s="192"/>
      <c r="F39" s="192"/>
      <c r="G39" s="192"/>
      <c r="H39" s="192"/>
      <c r="I39" s="192"/>
      <c r="J39" s="193"/>
      <c r="K39" s="193"/>
      <c r="L39" s="193"/>
      <c r="M39" s="193"/>
      <c r="N39" s="193"/>
      <c r="O39" s="193"/>
      <c r="P39" s="193"/>
      <c r="Q39" s="194"/>
      <c r="R39" s="206"/>
      <c r="S39" s="206"/>
      <c r="T39" s="206"/>
      <c r="U39" s="206"/>
      <c r="V39" s="206"/>
      <c r="W39" s="206"/>
      <c r="X39" s="206"/>
      <c r="Y39" s="206"/>
      <c r="Z39" s="206"/>
      <c r="AA39" s="206"/>
      <c r="AB39" s="206"/>
      <c r="AC39" s="206"/>
      <c r="AD39" s="206"/>
      <c r="AE39" s="206"/>
      <c r="AF39" s="206"/>
      <c r="AG39" s="207"/>
      <c r="AH39" s="17"/>
    </row>
    <row r="40" spans="1:34" ht="15" customHeight="1" x14ac:dyDescent="0.2">
      <c r="B40" s="191"/>
      <c r="C40" s="192"/>
      <c r="D40" s="192"/>
      <c r="E40" s="192"/>
      <c r="F40" s="192"/>
      <c r="G40" s="192"/>
      <c r="H40" s="192"/>
      <c r="I40" s="192"/>
      <c r="J40" s="193"/>
      <c r="K40" s="193"/>
      <c r="L40" s="193"/>
      <c r="M40" s="193"/>
      <c r="N40" s="193"/>
      <c r="O40" s="193"/>
      <c r="P40" s="193"/>
      <c r="Q40" s="194"/>
      <c r="R40" s="206"/>
      <c r="S40" s="206"/>
      <c r="T40" s="206"/>
      <c r="U40" s="206"/>
      <c r="V40" s="206"/>
      <c r="W40" s="206"/>
      <c r="X40" s="206"/>
      <c r="Y40" s="206"/>
      <c r="Z40" s="206"/>
      <c r="AA40" s="206"/>
      <c r="AB40" s="206"/>
      <c r="AC40" s="206"/>
      <c r="AD40" s="206"/>
      <c r="AE40" s="206"/>
      <c r="AF40" s="206"/>
      <c r="AG40" s="207"/>
      <c r="AH40" s="17"/>
    </row>
    <row r="41" spans="1:34" ht="15" customHeight="1" x14ac:dyDescent="0.2">
      <c r="B41" s="191"/>
      <c r="C41" s="192"/>
      <c r="D41" s="192"/>
      <c r="E41" s="192"/>
      <c r="F41" s="192"/>
      <c r="G41" s="192"/>
      <c r="H41" s="192"/>
      <c r="I41" s="192"/>
      <c r="J41" s="193"/>
      <c r="K41" s="193"/>
      <c r="L41" s="193"/>
      <c r="M41" s="193"/>
      <c r="N41" s="193"/>
      <c r="O41" s="193"/>
      <c r="P41" s="196"/>
      <c r="Q41" s="197"/>
      <c r="R41" s="209"/>
      <c r="S41" s="206"/>
      <c r="T41" s="206"/>
      <c r="U41" s="206"/>
      <c r="V41" s="206"/>
      <c r="W41" s="206"/>
      <c r="X41" s="206"/>
      <c r="Y41" s="206"/>
      <c r="Z41" s="206"/>
      <c r="AA41" s="206"/>
      <c r="AB41" s="206"/>
      <c r="AC41" s="206"/>
      <c r="AD41" s="206"/>
      <c r="AE41" s="206"/>
      <c r="AF41" s="206"/>
      <c r="AG41" s="207"/>
      <c r="AH41" s="17"/>
    </row>
    <row r="42" spans="1:34" ht="15" customHeight="1" thickBot="1" x14ac:dyDescent="0.25">
      <c r="B42" s="200"/>
      <c r="C42" s="201"/>
      <c r="D42" s="201"/>
      <c r="E42" s="201"/>
      <c r="F42" s="201"/>
      <c r="G42" s="201"/>
      <c r="H42" s="201"/>
      <c r="I42" s="201"/>
      <c r="J42" s="202"/>
      <c r="K42" s="202"/>
      <c r="L42" s="203"/>
      <c r="M42" s="203"/>
      <c r="N42" s="203"/>
      <c r="O42" s="203"/>
      <c r="P42" s="204"/>
      <c r="Q42" s="205"/>
      <c r="R42" s="210"/>
      <c r="S42" s="211"/>
      <c r="T42" s="212"/>
      <c r="U42" s="211"/>
      <c r="V42" s="211"/>
      <c r="W42" s="211"/>
      <c r="X42" s="211"/>
      <c r="Y42" s="211"/>
      <c r="Z42" s="211"/>
      <c r="AA42" s="211"/>
      <c r="AB42" s="211"/>
      <c r="AC42" s="211"/>
      <c r="AD42" s="211"/>
      <c r="AE42" s="211"/>
      <c r="AF42" s="211"/>
      <c r="AG42" s="213"/>
      <c r="AH42" s="17"/>
    </row>
    <row r="43" spans="1:34" ht="15" customHeight="1" x14ac:dyDescent="0.2">
      <c r="AH43" s="17"/>
    </row>
    <row r="44" spans="1:34" ht="15" customHeight="1" x14ac:dyDescent="0.25">
      <c r="B44" s="19" t="s">
        <v>169</v>
      </c>
      <c r="C44" s="19"/>
      <c r="D44" s="19"/>
      <c r="E44" s="20"/>
      <c r="G44" s="21"/>
      <c r="I44" s="22" t="s">
        <v>170</v>
      </c>
      <c r="J44" s="22"/>
      <c r="K44" s="22"/>
      <c r="L44" s="22"/>
      <c r="M44" s="22"/>
      <c r="N44" s="22"/>
      <c r="O44" s="22"/>
      <c r="P44" s="22"/>
      <c r="Q44" s="22"/>
      <c r="R44" s="22"/>
      <c r="S44" s="485"/>
      <c r="T44" s="474"/>
      <c r="U44" s="474"/>
      <c r="V44" s="474"/>
      <c r="W44" s="474"/>
      <c r="Y44" s="23" t="s">
        <v>171</v>
      </c>
      <c r="Z44" s="23"/>
      <c r="AA44" s="23"/>
      <c r="AB44" s="23"/>
      <c r="AC44" s="492"/>
      <c r="AD44" s="474"/>
      <c r="AE44" s="474"/>
      <c r="AF44" s="474"/>
      <c r="AG44" s="474"/>
      <c r="AH44" s="17"/>
    </row>
    <row r="45" spans="1:34" x14ac:dyDescent="0.2">
      <c r="A45" s="17"/>
      <c r="B45" s="19"/>
      <c r="C45" s="17"/>
      <c r="D45" s="17"/>
      <c r="E45" s="17"/>
      <c r="G45" s="24"/>
      <c r="I45" s="17"/>
      <c r="J45" s="17"/>
      <c r="K45" s="17"/>
      <c r="L45" s="17"/>
      <c r="M45" s="17"/>
      <c r="N45" s="17"/>
      <c r="O45" s="17"/>
      <c r="P45" s="17"/>
      <c r="Q45" s="17"/>
      <c r="R45" s="17"/>
      <c r="S45" s="17"/>
      <c r="T45" s="17"/>
      <c r="U45" s="17"/>
      <c r="V45" s="17"/>
      <c r="W45" s="17"/>
      <c r="Y45" s="17"/>
      <c r="Z45" s="17"/>
      <c r="AA45" s="17"/>
      <c r="AB45" s="17"/>
      <c r="AC45" s="17"/>
      <c r="AD45" s="17"/>
      <c r="AE45" s="17"/>
      <c r="AF45" s="17"/>
      <c r="AG45" s="17"/>
      <c r="AH45" s="17"/>
    </row>
    <row r="46" spans="1:34" ht="15" customHeight="1" x14ac:dyDescent="0.25">
      <c r="A46" s="17"/>
      <c r="B46" s="17"/>
      <c r="C46" s="17"/>
      <c r="D46" s="17"/>
      <c r="E46" s="17"/>
      <c r="G46" s="21"/>
      <c r="I46" s="22" t="s">
        <v>172</v>
      </c>
      <c r="J46" s="22"/>
      <c r="K46" s="22"/>
      <c r="L46" s="22"/>
      <c r="M46" s="22"/>
      <c r="N46" s="22"/>
      <c r="O46" s="22"/>
      <c r="P46" s="22"/>
      <c r="Q46" s="22"/>
      <c r="R46" s="22"/>
      <c r="S46" s="485"/>
      <c r="T46" s="474"/>
      <c r="U46" s="474"/>
      <c r="V46" s="474"/>
      <c r="W46" s="474"/>
      <c r="Y46" s="23" t="s">
        <v>171</v>
      </c>
      <c r="Z46" s="23"/>
      <c r="AA46" s="23"/>
      <c r="AB46" s="23"/>
      <c r="AC46" s="492"/>
      <c r="AD46" s="474"/>
      <c r="AE46" s="474"/>
      <c r="AF46" s="474"/>
      <c r="AG46" s="474"/>
      <c r="AH46" s="17"/>
    </row>
    <row r="47" spans="1:34" x14ac:dyDescent="0.2">
      <c r="A47" s="17"/>
      <c r="B47" s="17"/>
      <c r="C47" s="17"/>
      <c r="D47" s="17"/>
      <c r="E47" s="17"/>
      <c r="G47" s="24"/>
      <c r="I47" s="17"/>
      <c r="J47" s="17"/>
      <c r="K47" s="17"/>
      <c r="L47" s="17"/>
      <c r="M47" s="17"/>
      <c r="N47" s="17"/>
      <c r="O47" s="17"/>
      <c r="P47" s="17"/>
      <c r="Q47" s="17"/>
      <c r="R47" s="17"/>
      <c r="S47" s="17"/>
      <c r="T47" s="17"/>
      <c r="U47" s="17"/>
      <c r="V47" s="17"/>
      <c r="W47" s="17"/>
      <c r="Y47" s="17"/>
      <c r="Z47" s="17"/>
      <c r="AA47" s="17"/>
      <c r="AB47" s="17"/>
      <c r="AC47" s="17"/>
      <c r="AD47" s="19"/>
      <c r="AE47" s="19"/>
      <c r="AF47" s="19"/>
      <c r="AG47" s="19"/>
      <c r="AH47" s="17"/>
    </row>
    <row r="48" spans="1:34" ht="15" customHeight="1" x14ac:dyDescent="0.25">
      <c r="A48" s="17"/>
      <c r="B48" s="17"/>
      <c r="C48" s="17"/>
      <c r="D48" s="17"/>
      <c r="E48" s="17"/>
      <c r="G48" s="21" t="s">
        <v>173</v>
      </c>
      <c r="I48" s="25" t="s">
        <v>174</v>
      </c>
      <c r="J48" s="25"/>
      <c r="K48" s="25"/>
      <c r="L48" s="25"/>
      <c r="M48" s="25"/>
      <c r="N48" s="25"/>
      <c r="O48" s="25"/>
      <c r="P48" s="25"/>
      <c r="Q48" s="25"/>
      <c r="R48" s="25"/>
      <c r="S48" s="473" t="s">
        <v>8659</v>
      </c>
      <c r="T48" s="474"/>
      <c r="U48" s="474"/>
      <c r="V48" s="474"/>
      <c r="W48" s="474"/>
      <c r="Y48" s="19" t="s">
        <v>171</v>
      </c>
      <c r="Z48" s="19"/>
      <c r="AA48" s="19"/>
      <c r="AB48" s="19"/>
      <c r="AC48" s="484" t="s">
        <v>175</v>
      </c>
      <c r="AD48" s="474"/>
      <c r="AE48" s="474"/>
      <c r="AF48" s="474"/>
      <c r="AG48" s="474"/>
      <c r="AH48" s="17"/>
    </row>
    <row r="49" spans="1:34" x14ac:dyDescent="0.2">
      <c r="A49" s="17"/>
      <c r="B49" s="17"/>
      <c r="C49" s="17"/>
      <c r="D49" s="17"/>
      <c r="E49" s="17"/>
      <c r="G49" s="26"/>
      <c r="I49" s="17"/>
      <c r="J49" s="17"/>
      <c r="K49" s="17"/>
      <c r="L49" s="17"/>
      <c r="M49" s="17"/>
      <c r="N49" s="17"/>
      <c r="O49" s="17"/>
      <c r="P49" s="17"/>
      <c r="Q49" s="17"/>
      <c r="R49" s="17"/>
      <c r="S49" s="17"/>
      <c r="T49" s="17"/>
      <c r="U49" s="17"/>
      <c r="V49" s="17"/>
      <c r="W49" s="17"/>
      <c r="Y49" s="17"/>
      <c r="Z49" s="17"/>
      <c r="AA49" s="17"/>
      <c r="AB49" s="17"/>
      <c r="AC49" s="17"/>
      <c r="AD49" s="17"/>
      <c r="AE49" s="17"/>
      <c r="AF49" s="17"/>
      <c r="AG49" s="17"/>
      <c r="AH49" s="17"/>
    </row>
    <row r="50" spans="1:34" ht="15" customHeight="1" x14ac:dyDescent="0.25">
      <c r="A50" s="17"/>
      <c r="B50" s="17"/>
      <c r="C50" s="17"/>
      <c r="D50" s="17"/>
      <c r="E50" s="17"/>
      <c r="G50" s="21"/>
      <c r="I50" s="19" t="s">
        <v>176</v>
      </c>
      <c r="J50" s="17"/>
      <c r="K50" s="17"/>
      <c r="L50" s="17"/>
      <c r="M50" s="17"/>
      <c r="N50" s="17"/>
      <c r="O50" s="17"/>
      <c r="P50" s="17"/>
      <c r="Q50" s="17"/>
      <c r="R50" s="17"/>
      <c r="S50" s="485"/>
      <c r="T50" s="474"/>
      <c r="U50" s="474"/>
      <c r="V50" s="474"/>
      <c r="W50" s="474"/>
      <c r="Y50" s="17"/>
      <c r="Z50" s="17"/>
      <c r="AA50" s="17"/>
      <c r="AB50" s="17"/>
      <c r="AC50" s="17"/>
      <c r="AD50" s="17"/>
      <c r="AE50" s="17"/>
      <c r="AF50" s="17"/>
      <c r="AG50" s="17"/>
      <c r="AH50" s="17"/>
    </row>
    <row r="52" spans="1:34" x14ac:dyDescent="0.2">
      <c r="B52" s="490" t="s">
        <v>177</v>
      </c>
      <c r="C52" s="476"/>
      <c r="D52" s="476"/>
      <c r="E52" s="476"/>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ht="27" customHeight="1" x14ac:dyDescent="0.2">
      <c r="B53" s="475" t="s">
        <v>178</v>
      </c>
      <c r="C53" s="476"/>
      <c r="D53" s="476"/>
      <c r="E53" s="476"/>
      <c r="F53" s="476"/>
      <c r="G53" s="476"/>
      <c r="H53" s="476"/>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row>
    <row r="54" spans="1:34" x14ac:dyDescent="0.2">
      <c r="B54" s="496"/>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row>
    <row r="56" spans="1:34" x14ac:dyDescent="0.2">
      <c r="B56" s="488" t="s">
        <v>179</v>
      </c>
      <c r="C56" s="476"/>
      <c r="D56" s="476"/>
      <c r="E56" s="476"/>
      <c r="F56" s="493" t="s">
        <v>180</v>
      </c>
      <c r="G56" s="476"/>
      <c r="H56" s="476"/>
      <c r="I56" s="476"/>
      <c r="J56" s="476"/>
      <c r="K56" s="476"/>
      <c r="L56" s="476"/>
      <c r="M56" s="476"/>
      <c r="N56" s="476"/>
      <c r="O56" s="476"/>
      <c r="P56" s="476"/>
      <c r="Q56" s="28"/>
      <c r="R56" s="28"/>
      <c r="S56" s="28"/>
      <c r="T56" s="28"/>
      <c r="U56" s="28"/>
      <c r="V56" s="28"/>
      <c r="W56" s="28"/>
      <c r="X56" s="28"/>
      <c r="Y56" s="28"/>
      <c r="Z56" s="28"/>
      <c r="AA56" s="28"/>
      <c r="AB56" s="28"/>
      <c r="AC56" s="28"/>
      <c r="AD56" s="28"/>
      <c r="AE56" s="28"/>
      <c r="AF56" s="28"/>
      <c r="AG56" s="28"/>
      <c r="AH56" s="28"/>
    </row>
  </sheetData>
  <mergeCells count="33">
    <mergeCell ref="A1:AH1"/>
    <mergeCell ref="AC44:AG44"/>
    <mergeCell ref="AC46:AG46"/>
    <mergeCell ref="Y5:AB5"/>
    <mergeCell ref="F56:P56"/>
    <mergeCell ref="B9:AG9"/>
    <mergeCell ref="X7:AF7"/>
    <mergeCell ref="B54:AH54"/>
    <mergeCell ref="D7:G7"/>
    <mergeCell ref="S50:W50"/>
    <mergeCell ref="AC30:AD31"/>
    <mergeCell ref="S44:W44"/>
    <mergeCell ref="M18:N19"/>
    <mergeCell ref="B56:E56"/>
    <mergeCell ref="H7:O7"/>
    <mergeCell ref="B52:E52"/>
    <mergeCell ref="R5:W5"/>
    <mergeCell ref="S48:W48"/>
    <mergeCell ref="B53:AH53"/>
    <mergeCell ref="E26:F27"/>
    <mergeCell ref="D3:O3"/>
    <mergeCell ref="AC5:AG5"/>
    <mergeCell ref="Q3:AF3"/>
    <mergeCell ref="U22:V23"/>
    <mergeCell ref="M22:N23"/>
    <mergeCell ref="AC48:AG48"/>
    <mergeCell ref="L5:Q5"/>
    <mergeCell ref="C5:G5"/>
    <mergeCell ref="S46:W46"/>
    <mergeCell ref="U7:W7"/>
    <mergeCell ref="H5:K5"/>
    <mergeCell ref="AC22:AD23"/>
    <mergeCell ref="M14:N15"/>
  </mergeCells>
  <printOptions horizontalCentered="1"/>
  <pageMargins left="0.25" right="0.25" top="0.52534722222222219" bottom="0.5" header="0.25" footer="0.5"/>
  <pageSetup paperSize="5"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42"/>
  <sheetViews>
    <sheetView view="pageBreakPreview" zoomScaleNormal="100" zoomScaleSheetLayoutView="100" workbookViewId="0">
      <selection activeCell="L106" sqref="L106"/>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31</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308">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39</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455" t="s">
        <v>40</v>
      </c>
      <c r="C24" s="98" t="s">
        <v>11</v>
      </c>
      <c r="D24" s="99" t="s">
        <v>41</v>
      </c>
      <c r="E24" s="157" t="s">
        <v>42</v>
      </c>
      <c r="F24" s="161" t="s">
        <v>43</v>
      </c>
      <c r="G24" s="99" t="s">
        <v>44</v>
      </c>
    </row>
    <row r="25" spans="1:7" ht="24" customHeight="1" x14ac:dyDescent="0.25">
      <c r="A25" s="4"/>
      <c r="B25" s="455" t="s">
        <v>45</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09">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39</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62</v>
      </c>
      <c r="F38" s="158" t="s">
        <v>63</v>
      </c>
      <c r="G38" s="155" t="s">
        <v>64</v>
      </c>
    </row>
    <row r="39" spans="1:7" ht="36" customHeight="1" x14ac:dyDescent="0.25">
      <c r="A39" s="4"/>
      <c r="B39" s="113" t="s">
        <v>16</v>
      </c>
      <c r="C39" s="98" t="s">
        <v>11</v>
      </c>
      <c r="D39" s="99" t="s">
        <v>17</v>
      </c>
      <c r="E39" s="157" t="s">
        <v>62</v>
      </c>
      <c r="F39" s="158" t="s">
        <v>65</v>
      </c>
      <c r="G39" s="99" t="s">
        <v>66</v>
      </c>
    </row>
    <row r="40" spans="1:7" ht="36" customHeight="1" x14ac:dyDescent="0.25">
      <c r="A40" s="4"/>
      <c r="B40" s="113" t="s">
        <v>19</v>
      </c>
      <c r="C40" s="98" t="s">
        <v>11</v>
      </c>
      <c r="D40" s="99" t="s">
        <v>20</v>
      </c>
      <c r="E40" s="159" t="s">
        <v>62</v>
      </c>
      <c r="F40" s="160" t="s">
        <v>67</v>
      </c>
      <c r="G40" s="155" t="s">
        <v>68</v>
      </c>
    </row>
    <row r="41" spans="1:7" ht="36" customHeight="1" x14ac:dyDescent="0.25">
      <c r="A41" s="4"/>
      <c r="B41" s="113" t="s">
        <v>23</v>
      </c>
      <c r="C41" s="98" t="s">
        <v>11</v>
      </c>
      <c r="D41" s="99" t="s">
        <v>24</v>
      </c>
      <c r="E41" s="157" t="s">
        <v>62</v>
      </c>
      <c r="F41" s="158" t="s">
        <v>69</v>
      </c>
      <c r="G41" s="155" t="s">
        <v>70</v>
      </c>
    </row>
    <row r="42" spans="1:7" ht="36" customHeight="1" x14ac:dyDescent="0.25">
      <c r="A42" s="4"/>
      <c r="B42" s="113" t="s">
        <v>26</v>
      </c>
      <c r="C42" s="98" t="s">
        <v>11</v>
      </c>
      <c r="D42" s="99" t="s">
        <v>27</v>
      </c>
      <c r="E42" s="157" t="s">
        <v>62</v>
      </c>
      <c r="F42" s="158" t="s">
        <v>71</v>
      </c>
      <c r="G42" s="155" t="s">
        <v>72</v>
      </c>
    </row>
    <row r="43" spans="1:7" ht="36" customHeight="1" x14ac:dyDescent="0.25">
      <c r="A43" s="4"/>
      <c r="B43" s="113" t="s">
        <v>29</v>
      </c>
      <c r="C43" s="98" t="s">
        <v>11</v>
      </c>
      <c r="D43" s="99" t="s">
        <v>30</v>
      </c>
      <c r="E43" s="157" t="s">
        <v>62</v>
      </c>
      <c r="F43" s="161" t="s">
        <v>73</v>
      </c>
      <c r="G43" s="99" t="s">
        <v>74</v>
      </c>
    </row>
    <row r="44" spans="1:7" ht="48" customHeight="1" x14ac:dyDescent="0.25">
      <c r="A44" s="4"/>
      <c r="B44" s="113" t="s">
        <v>31</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308">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3</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62</v>
      </c>
      <c r="F54" s="158" t="s">
        <v>69</v>
      </c>
      <c r="G54" s="155" t="s">
        <v>70</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72" customHeight="1" x14ac:dyDescent="0.25">
      <c r="B59" s="455" t="s">
        <v>90</v>
      </c>
      <c r="C59" s="106" t="s">
        <v>11</v>
      </c>
      <c r="D59" s="99" t="s">
        <v>24</v>
      </c>
      <c r="E59" s="157" t="s">
        <v>62</v>
      </c>
      <c r="F59" s="161" t="s">
        <v>69</v>
      </c>
      <c r="G59" s="32" t="s">
        <v>91</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308">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94</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308">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97</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429">
        <v>80</v>
      </c>
      <c r="D79" s="99" t="s">
        <v>24</v>
      </c>
      <c r="E79" s="157" t="s">
        <v>62</v>
      </c>
      <c r="F79" s="158" t="s">
        <v>69</v>
      </c>
      <c r="G79" s="155" t="s">
        <v>70</v>
      </c>
    </row>
    <row r="80" spans="1:7" x14ac:dyDescent="0.25">
      <c r="B80" s="113"/>
      <c r="C80" s="106"/>
      <c r="D80" s="99"/>
      <c r="E80" s="157"/>
      <c r="F80" s="158"/>
      <c r="G80" s="32"/>
    </row>
    <row r="81" spans="1:7" ht="15" customHeight="1" x14ac:dyDescent="0.25">
      <c r="B81" s="109" t="s">
        <v>35</v>
      </c>
      <c r="C81" s="31">
        <f>SUM(C79:C80)</f>
        <v>80</v>
      </c>
      <c r="D81" s="35"/>
    </row>
    <row r="82" spans="1:7" ht="15" customHeight="1" x14ac:dyDescent="0.25">
      <c r="B82" s="110" t="s">
        <v>36</v>
      </c>
      <c r="C82" s="308">
        <f>SUM(C79:C80)</f>
        <v>80</v>
      </c>
    </row>
    <row r="83" spans="1:7" ht="15" customHeight="1" x14ac:dyDescent="0.25">
      <c r="B83" s="1"/>
      <c r="C83" s="29"/>
      <c r="D83" s="29"/>
      <c r="E83" s="29"/>
      <c r="F83" s="29"/>
      <c r="G83" s="29"/>
    </row>
    <row r="84" spans="1:7" ht="15" customHeight="1" x14ac:dyDescent="0.25">
      <c r="B84" s="1" t="s">
        <v>98</v>
      </c>
      <c r="C84" s="500" t="s">
        <v>99</v>
      </c>
      <c r="D84" s="499"/>
      <c r="E84" s="499"/>
      <c r="F84" s="499"/>
      <c r="G84" s="499"/>
    </row>
    <row r="85" spans="1:7" ht="15" customHeight="1" x14ac:dyDescent="0.25">
      <c r="B85" s="1" t="s">
        <v>2</v>
      </c>
      <c r="C85" s="498" t="s">
        <v>100</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62</v>
      </c>
      <c r="F89" s="160" t="s">
        <v>67</v>
      </c>
      <c r="G89" s="155" t="s">
        <v>68</v>
      </c>
    </row>
    <row r="90" spans="1:7" ht="36" customHeight="1" x14ac:dyDescent="0.25">
      <c r="A90" s="4"/>
      <c r="B90" s="113" t="s">
        <v>26</v>
      </c>
      <c r="C90" s="98" t="s">
        <v>11</v>
      </c>
      <c r="D90" s="99" t="s">
        <v>27</v>
      </c>
      <c r="E90" s="157" t="s">
        <v>62</v>
      </c>
      <c r="F90" s="158" t="s">
        <v>71</v>
      </c>
      <c r="G90" s="155" t="s">
        <v>72</v>
      </c>
    </row>
    <row r="91" spans="1:7" ht="36" customHeight="1" x14ac:dyDescent="0.25">
      <c r="A91" s="4"/>
      <c r="B91" s="113" t="s">
        <v>29</v>
      </c>
      <c r="C91" s="98" t="s">
        <v>11</v>
      </c>
      <c r="D91" s="99" t="s">
        <v>30</v>
      </c>
      <c r="E91" s="157" t="s">
        <v>62</v>
      </c>
      <c r="F91" s="161" t="s">
        <v>73</v>
      </c>
      <c r="G91" s="99" t="s">
        <v>74</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308">
        <f>SUM(C89:C92)</f>
        <v>0</v>
      </c>
    </row>
    <row r="95" spans="1:7" ht="15" customHeight="1" x14ac:dyDescent="0.25">
      <c r="B95" s="1"/>
      <c r="C95" s="29"/>
      <c r="D95" s="29"/>
      <c r="E95" s="29"/>
      <c r="F95" s="29"/>
      <c r="G95" s="29"/>
    </row>
    <row r="96" spans="1:7" ht="15" customHeight="1" x14ac:dyDescent="0.25">
      <c r="B96" s="1" t="s">
        <v>101</v>
      </c>
      <c r="C96" s="500" t="s">
        <v>102</v>
      </c>
      <c r="D96" s="499"/>
      <c r="E96" s="499"/>
      <c r="F96" s="499"/>
      <c r="G96" s="499"/>
    </row>
    <row r="97" spans="1:7" ht="15" customHeight="1" x14ac:dyDescent="0.25">
      <c r="B97" s="1" t="s">
        <v>2</v>
      </c>
      <c r="C97" s="498" t="s">
        <v>103</v>
      </c>
      <c r="D97" s="499"/>
      <c r="E97" s="499"/>
      <c r="F97" s="499"/>
      <c r="G97" s="499"/>
    </row>
    <row r="98" spans="1:7" ht="15" customHeight="1" x14ac:dyDescent="0.25">
      <c r="B98" s="1"/>
      <c r="C98" s="29"/>
    </row>
    <row r="99" spans="1:7" ht="15" customHeight="1" x14ac:dyDescent="0.25">
      <c r="B99" s="1"/>
      <c r="C99" s="29"/>
      <c r="D99" s="29"/>
      <c r="E99" s="29"/>
      <c r="F99" s="29"/>
      <c r="G99" s="29"/>
    </row>
    <row r="100" spans="1:7" ht="15" customHeight="1" x14ac:dyDescent="0.25">
      <c r="B100" s="462" t="s">
        <v>4</v>
      </c>
      <c r="C100" s="5" t="s">
        <v>5</v>
      </c>
      <c r="D100" s="5" t="s">
        <v>6</v>
      </c>
      <c r="E100" s="5" t="s">
        <v>7</v>
      </c>
      <c r="F100" s="5" t="s">
        <v>8</v>
      </c>
      <c r="G100" s="5" t="s">
        <v>9</v>
      </c>
    </row>
    <row r="101" spans="1:7" ht="36" customHeight="1" x14ac:dyDescent="0.25">
      <c r="A101" s="4"/>
      <c r="B101" s="471" t="s">
        <v>3934</v>
      </c>
      <c r="C101" s="464" t="s">
        <v>11</v>
      </c>
      <c r="D101" s="465" t="s">
        <v>3933</v>
      </c>
      <c r="E101" s="466"/>
      <c r="F101" s="467"/>
      <c r="G101" s="465" t="s">
        <v>8658</v>
      </c>
    </row>
    <row r="102" spans="1:7" s="8" customFormat="1" ht="36" customHeight="1" x14ac:dyDescent="0.25">
      <c r="A102" s="461"/>
      <c r="B102" s="471" t="s">
        <v>3932</v>
      </c>
      <c r="C102" s="464" t="s">
        <v>11</v>
      </c>
      <c r="D102" s="465" t="s">
        <v>3930</v>
      </c>
      <c r="E102" s="466"/>
      <c r="F102" s="467"/>
      <c r="G102" s="468"/>
    </row>
    <row r="103" spans="1:7" s="8" customFormat="1" ht="36" customHeight="1" x14ac:dyDescent="0.25">
      <c r="A103" s="461"/>
      <c r="B103" s="471" t="s">
        <v>4319</v>
      </c>
      <c r="C103" s="464" t="s">
        <v>11</v>
      </c>
      <c r="D103" s="468"/>
      <c r="E103" s="466"/>
      <c r="F103" s="467"/>
      <c r="G103" s="468"/>
    </row>
    <row r="104" spans="1:7" s="8" customFormat="1" ht="36" customHeight="1" x14ac:dyDescent="0.25">
      <c r="A104" s="461"/>
      <c r="B104" s="471" t="s">
        <v>4322</v>
      </c>
      <c r="C104" s="464" t="s">
        <v>11</v>
      </c>
      <c r="D104" s="468"/>
      <c r="E104" s="466"/>
      <c r="F104" s="467"/>
      <c r="G104" s="468"/>
    </row>
    <row r="105" spans="1:7" s="8" customFormat="1" ht="36" customHeight="1" x14ac:dyDescent="0.25">
      <c r="A105" s="461"/>
      <c r="B105" s="471" t="s">
        <v>8656</v>
      </c>
      <c r="C105" s="464" t="s">
        <v>11</v>
      </c>
      <c r="D105" s="468"/>
      <c r="E105" s="466"/>
      <c r="F105" s="467"/>
      <c r="G105" s="468"/>
    </row>
    <row r="106" spans="1:7" s="8" customFormat="1" ht="36" customHeight="1" x14ac:dyDescent="0.25">
      <c r="A106" s="461"/>
      <c r="B106" s="471" t="s">
        <v>4309</v>
      </c>
      <c r="C106" s="464" t="s">
        <v>11</v>
      </c>
      <c r="D106" s="468"/>
      <c r="E106" s="466"/>
      <c r="F106" s="467"/>
      <c r="G106" s="468"/>
    </row>
    <row r="107" spans="1:7" s="8" customFormat="1" ht="36" customHeight="1" x14ac:dyDescent="0.25">
      <c r="A107" s="461"/>
      <c r="B107" s="471" t="s">
        <v>3598</v>
      </c>
      <c r="C107" s="464" t="s">
        <v>11</v>
      </c>
      <c r="D107" s="468"/>
      <c r="E107" s="466"/>
      <c r="F107" s="467"/>
      <c r="G107" s="468"/>
    </row>
    <row r="108" spans="1:7" s="8" customFormat="1" ht="36" customHeight="1" x14ac:dyDescent="0.25">
      <c r="A108" s="461"/>
      <c r="B108" s="471" t="s">
        <v>3497</v>
      </c>
      <c r="C108" s="464" t="s">
        <v>11</v>
      </c>
      <c r="D108" s="468"/>
      <c r="E108" s="466"/>
      <c r="F108" s="467"/>
      <c r="G108" s="468"/>
    </row>
    <row r="109" spans="1:7" s="8" customFormat="1" ht="36" customHeight="1" x14ac:dyDescent="0.25">
      <c r="A109" s="461"/>
      <c r="B109" s="471" t="s">
        <v>263</v>
      </c>
      <c r="C109" s="464" t="s">
        <v>11</v>
      </c>
      <c r="D109" s="468"/>
      <c r="E109" s="466"/>
      <c r="F109" s="467"/>
      <c r="G109" s="468"/>
    </row>
    <row r="110" spans="1:7" ht="36" customHeight="1" x14ac:dyDescent="0.25">
      <c r="A110" s="4"/>
      <c r="B110" s="471" t="s">
        <v>8657</v>
      </c>
      <c r="C110" s="464" t="s">
        <v>11</v>
      </c>
      <c r="D110" s="468"/>
      <c r="E110" s="466"/>
      <c r="F110" s="467"/>
      <c r="G110" s="468"/>
    </row>
    <row r="111" spans="1:7" ht="36" customHeight="1" x14ac:dyDescent="0.25">
      <c r="A111" s="4"/>
      <c r="B111" s="471" t="s">
        <v>4316</v>
      </c>
      <c r="C111" s="464" t="s">
        <v>11</v>
      </c>
      <c r="D111" s="468"/>
      <c r="E111" s="466"/>
      <c r="F111" s="467"/>
      <c r="G111" s="468"/>
    </row>
    <row r="112" spans="1:7" x14ac:dyDescent="0.25">
      <c r="B112" s="471" t="s">
        <v>4321</v>
      </c>
      <c r="C112" s="469" t="s">
        <v>11</v>
      </c>
      <c r="D112" s="468"/>
      <c r="E112" s="466"/>
      <c r="F112" s="467"/>
      <c r="G112" s="472"/>
    </row>
    <row r="113" spans="2:7" ht="15" customHeight="1" x14ac:dyDescent="0.25">
      <c r="B113" s="110" t="s">
        <v>35</v>
      </c>
      <c r="C113" s="463">
        <f>SUM(C101:C112)</f>
        <v>0</v>
      </c>
      <c r="D113" s="470"/>
      <c r="E113" s="470"/>
      <c r="F113" s="470"/>
      <c r="G113" s="470"/>
    </row>
    <row r="114" spans="2:7" ht="15" customHeight="1" x14ac:dyDescent="0.25">
      <c r="B114" s="110" t="s">
        <v>36</v>
      </c>
      <c r="C114" s="308">
        <f>SUM(C101:C112)</f>
        <v>0</v>
      </c>
      <c r="D114" s="470"/>
      <c r="E114" s="470"/>
      <c r="F114" s="470"/>
      <c r="G114" s="470"/>
    </row>
    <row r="115" spans="2:7" s="8" customFormat="1" ht="15" customHeight="1" x14ac:dyDescent="0.25">
      <c r="B115" s="421"/>
      <c r="C115" s="422"/>
      <c r="D115" s="35"/>
      <c r="E115" s="35"/>
      <c r="F115" s="35"/>
      <c r="G115" s="35"/>
    </row>
    <row r="116" spans="2:7" ht="15" customHeight="1" x14ac:dyDescent="0.25">
      <c r="B116" s="34" t="s">
        <v>104</v>
      </c>
      <c r="C116" s="29" t="s">
        <v>105</v>
      </c>
      <c r="D116" s="29"/>
      <c r="E116" s="29"/>
      <c r="F116" s="29"/>
      <c r="G116" s="29"/>
    </row>
    <row r="117" spans="2:7" ht="15" customHeight="1" x14ac:dyDescent="0.25">
      <c r="B117" s="1"/>
      <c r="C117" s="29"/>
      <c r="D117" s="29"/>
      <c r="E117" s="29"/>
      <c r="F117" s="29"/>
      <c r="G117" s="29"/>
    </row>
    <row r="118" spans="2:7" ht="15" customHeight="1" x14ac:dyDescent="0.25">
      <c r="B118" s="108" t="s">
        <v>106</v>
      </c>
      <c r="C118" s="30" t="s">
        <v>5</v>
      </c>
      <c r="D118" s="30" t="s">
        <v>107</v>
      </c>
      <c r="E118" s="5" t="s">
        <v>7</v>
      </c>
      <c r="F118" s="30" t="s">
        <v>8</v>
      </c>
      <c r="G118" s="30" t="s">
        <v>9</v>
      </c>
    </row>
    <row r="119" spans="2:7" ht="36" customHeight="1" x14ac:dyDescent="0.25">
      <c r="B119" s="116" t="s">
        <v>108</v>
      </c>
      <c r="C119" s="163" t="s">
        <v>11</v>
      </c>
      <c r="D119" s="164" t="s">
        <v>109</v>
      </c>
      <c r="E119" s="159" t="s">
        <v>42</v>
      </c>
      <c r="F119" s="161" t="s">
        <v>110</v>
      </c>
      <c r="G119" s="166" t="s">
        <v>111</v>
      </c>
    </row>
    <row r="120" spans="2:7" ht="24" customHeight="1" x14ac:dyDescent="0.25">
      <c r="B120" s="116" t="s">
        <v>112</v>
      </c>
      <c r="C120" s="163" t="s">
        <v>11</v>
      </c>
      <c r="D120" s="155" t="s">
        <v>113</v>
      </c>
      <c r="E120" s="159" t="s">
        <v>42</v>
      </c>
      <c r="F120" s="161" t="s">
        <v>114</v>
      </c>
      <c r="G120" s="166" t="s">
        <v>115</v>
      </c>
    </row>
    <row r="121" spans="2:7" ht="24" customHeight="1" x14ac:dyDescent="0.25">
      <c r="B121" s="114" t="s">
        <v>116</v>
      </c>
      <c r="C121" s="167" t="s">
        <v>11</v>
      </c>
      <c r="D121" s="164" t="s">
        <v>117</v>
      </c>
      <c r="E121" s="162" t="s">
        <v>42</v>
      </c>
      <c r="F121" s="161" t="s">
        <v>114</v>
      </c>
      <c r="G121" s="166" t="s">
        <v>118</v>
      </c>
    </row>
    <row r="122" spans="2:7" ht="24" customHeight="1" x14ac:dyDescent="0.25">
      <c r="B122" s="114" t="s">
        <v>119</v>
      </c>
      <c r="C122" s="167" t="s">
        <v>11</v>
      </c>
      <c r="D122" s="168" t="s">
        <v>120</v>
      </c>
      <c r="E122" s="162" t="s">
        <v>42</v>
      </c>
      <c r="F122" s="161" t="s">
        <v>121</v>
      </c>
      <c r="G122" s="166" t="s">
        <v>122</v>
      </c>
    </row>
    <row r="123" spans="2:7" ht="36" customHeight="1" x14ac:dyDescent="0.25">
      <c r="B123" s="456" t="s">
        <v>123</v>
      </c>
      <c r="C123" s="163" t="s">
        <v>11</v>
      </c>
      <c r="D123" s="155" t="s">
        <v>124</v>
      </c>
      <c r="E123" s="157" t="s">
        <v>42</v>
      </c>
      <c r="F123" s="161" t="s">
        <v>125</v>
      </c>
      <c r="G123" s="165" t="s">
        <v>126</v>
      </c>
    </row>
    <row r="124" spans="2:7" ht="36" customHeight="1" x14ac:dyDescent="0.25">
      <c r="B124" s="116" t="s">
        <v>127</v>
      </c>
      <c r="C124" s="163" t="s">
        <v>11</v>
      </c>
      <c r="D124" s="168" t="s">
        <v>128</v>
      </c>
      <c r="E124" s="162" t="s">
        <v>42</v>
      </c>
      <c r="F124" s="161" t="s">
        <v>129</v>
      </c>
      <c r="G124" s="169" t="s">
        <v>130</v>
      </c>
    </row>
    <row r="125" spans="2:7" x14ac:dyDescent="0.25">
      <c r="B125" s="105"/>
      <c r="C125" s="163"/>
      <c r="D125" s="99"/>
      <c r="E125" s="157"/>
      <c r="F125" s="161"/>
      <c r="G125" s="169"/>
    </row>
    <row r="126" spans="2:7" ht="15" customHeight="1" x14ac:dyDescent="0.25">
      <c r="B126" s="109" t="s">
        <v>35</v>
      </c>
      <c r="C126" s="115">
        <f>SUM(C119:C125)</f>
        <v>0</v>
      </c>
      <c r="D126" s="2"/>
      <c r="E126" s="2"/>
      <c r="F126" s="2"/>
      <c r="G126" s="2"/>
    </row>
    <row r="127" spans="2:7" ht="15" customHeight="1" x14ac:dyDescent="0.25">
      <c r="B127" s="110" t="s">
        <v>36</v>
      </c>
      <c r="C127" s="310">
        <f>SUM(C119:C125)</f>
        <v>0</v>
      </c>
      <c r="D127" s="2"/>
      <c r="E127" s="2"/>
      <c r="F127" s="2"/>
      <c r="G127" s="2"/>
    </row>
    <row r="128" spans="2:7" ht="15" customHeight="1" x14ac:dyDescent="0.25">
      <c r="B128" s="1"/>
      <c r="C128" s="29"/>
      <c r="D128" s="29"/>
      <c r="E128" s="29"/>
      <c r="F128" s="29"/>
      <c r="G128" s="29"/>
    </row>
    <row r="129" spans="1:7" ht="15" customHeight="1" x14ac:dyDescent="0.25">
      <c r="B129" s="1"/>
      <c r="C129" s="29"/>
      <c r="D129" s="29"/>
      <c r="E129" s="29"/>
      <c r="F129" s="29"/>
      <c r="G129" s="29"/>
    </row>
    <row r="130" spans="1:7" ht="15" customHeight="1" x14ac:dyDescent="0.25">
      <c r="B130" s="34" t="s">
        <v>104</v>
      </c>
      <c r="C130" s="29"/>
      <c r="D130" s="29"/>
      <c r="E130" s="29"/>
      <c r="F130" s="29"/>
      <c r="G130" s="29"/>
    </row>
    <row r="131" spans="1:7" ht="15" customHeight="1" x14ac:dyDescent="0.25">
      <c r="B131" s="1"/>
      <c r="C131" s="29"/>
      <c r="D131" s="29"/>
      <c r="E131" s="29"/>
      <c r="F131" s="29"/>
      <c r="G131" s="29"/>
    </row>
    <row r="132" spans="1:7" ht="15" customHeight="1" x14ac:dyDescent="0.25">
      <c r="B132" s="108" t="s">
        <v>106</v>
      </c>
      <c r="C132" s="30" t="s">
        <v>5</v>
      </c>
      <c r="D132" s="30" t="s">
        <v>107</v>
      </c>
      <c r="E132" s="5" t="s">
        <v>7</v>
      </c>
      <c r="F132" s="30" t="s">
        <v>8</v>
      </c>
      <c r="G132" s="30" t="s">
        <v>9</v>
      </c>
    </row>
    <row r="133" spans="1:7" ht="36" customHeight="1" x14ac:dyDescent="0.25">
      <c r="B133" s="116" t="s">
        <v>131</v>
      </c>
      <c r="C133" s="163" t="s">
        <v>11</v>
      </c>
      <c r="D133" s="164" t="s">
        <v>132</v>
      </c>
      <c r="E133" s="159" t="s">
        <v>133</v>
      </c>
      <c r="F133" s="161" t="s">
        <v>134</v>
      </c>
      <c r="G133" s="166" t="s">
        <v>135</v>
      </c>
    </row>
    <row r="134" spans="1:7" ht="60" customHeight="1" x14ac:dyDescent="0.25">
      <c r="B134" s="457" t="s">
        <v>136</v>
      </c>
      <c r="C134" s="163" t="s">
        <v>11</v>
      </c>
      <c r="D134" s="155" t="s">
        <v>137</v>
      </c>
      <c r="E134" s="159" t="s">
        <v>62</v>
      </c>
      <c r="F134" s="161" t="s">
        <v>138</v>
      </c>
      <c r="G134" s="166" t="s">
        <v>139</v>
      </c>
    </row>
    <row r="135" spans="1:7" ht="36" customHeight="1" x14ac:dyDescent="0.25">
      <c r="B135" s="114" t="s">
        <v>140</v>
      </c>
      <c r="C135" s="167" t="s">
        <v>11</v>
      </c>
      <c r="D135" s="164" t="s">
        <v>141</v>
      </c>
      <c r="E135" s="162" t="s">
        <v>42</v>
      </c>
      <c r="F135" s="161" t="s">
        <v>142</v>
      </c>
      <c r="G135" s="430" t="s">
        <v>143</v>
      </c>
    </row>
    <row r="136" spans="1:7" ht="24" customHeight="1" x14ac:dyDescent="0.25">
      <c r="B136" s="114" t="s">
        <v>144</v>
      </c>
      <c r="C136" s="167" t="s">
        <v>11</v>
      </c>
      <c r="D136" s="168" t="s">
        <v>145</v>
      </c>
      <c r="E136" s="162" t="s">
        <v>42</v>
      </c>
      <c r="F136" s="161" t="s">
        <v>146</v>
      </c>
      <c r="G136" s="166" t="s">
        <v>147</v>
      </c>
    </row>
    <row r="137" spans="1:7" x14ac:dyDescent="0.25">
      <c r="B137" s="105"/>
      <c r="C137" s="163"/>
      <c r="D137" s="155"/>
      <c r="E137" s="157"/>
      <c r="F137" s="161"/>
      <c r="G137" s="165"/>
    </row>
    <row r="138" spans="1:7" ht="15" customHeight="1" x14ac:dyDescent="0.25">
      <c r="B138" s="109" t="s">
        <v>35</v>
      </c>
      <c r="C138" s="115">
        <f>SUM(C133:C137)</f>
        <v>0</v>
      </c>
      <c r="D138" s="2"/>
      <c r="E138" s="2"/>
      <c r="F138" s="2"/>
      <c r="G138" s="2"/>
    </row>
    <row r="139" spans="1:7" ht="15" customHeight="1" x14ac:dyDescent="0.25">
      <c r="B139" s="110" t="s">
        <v>36</v>
      </c>
      <c r="C139" s="310">
        <f>SUM(C133:C137)</f>
        <v>0</v>
      </c>
      <c r="D139" s="2"/>
      <c r="E139" s="2"/>
      <c r="F139" s="2"/>
      <c r="G139" s="2"/>
    </row>
    <row r="140" spans="1:7" ht="15" customHeight="1" x14ac:dyDescent="0.25">
      <c r="B140" s="1"/>
      <c r="C140" s="29"/>
      <c r="D140" s="29"/>
      <c r="E140" s="29"/>
      <c r="F140" s="29"/>
      <c r="G140" s="29"/>
    </row>
    <row r="141" spans="1:7" ht="15" customHeight="1" x14ac:dyDescent="0.25">
      <c r="B141" s="122" t="s">
        <v>148</v>
      </c>
      <c r="C141" s="29"/>
      <c r="D141" s="29"/>
      <c r="E141" s="29"/>
      <c r="F141" s="29"/>
      <c r="G141" s="29"/>
    </row>
    <row r="142" spans="1:7" x14ac:dyDescent="0.25">
      <c r="A142" s="182"/>
      <c r="B142" s="501"/>
      <c r="C142" s="499"/>
      <c r="D142" s="499"/>
      <c r="E142" s="499"/>
      <c r="F142" s="499"/>
      <c r="G142" s="499"/>
    </row>
  </sheetData>
  <mergeCells count="18">
    <mergeCell ref="C50:G50"/>
    <mergeCell ref="C51:G51"/>
    <mergeCell ref="C84:G84"/>
    <mergeCell ref="C5:G5"/>
    <mergeCell ref="C74:G74"/>
    <mergeCell ref="B2:G2"/>
    <mergeCell ref="C35:G35"/>
    <mergeCell ref="C21:G21"/>
    <mergeCell ref="C4:G4"/>
    <mergeCell ref="C34:G34"/>
    <mergeCell ref="C20:G20"/>
    <mergeCell ref="C75:G75"/>
    <mergeCell ref="C97:G97"/>
    <mergeCell ref="C96:G96"/>
    <mergeCell ref="C64:G64"/>
    <mergeCell ref="B142:G142"/>
    <mergeCell ref="C65:G65"/>
    <mergeCell ref="C85:G8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28" max="6" man="1"/>
  </rowBreak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35"/>
  <sheetViews>
    <sheetView showGridLines="0" workbookViewId="0">
      <selection activeCell="E9" sqref="E9:F11"/>
    </sheetView>
  </sheetViews>
  <sheetFormatPr defaultColWidth="14.42578125" defaultRowHeight="15" customHeight="1" x14ac:dyDescent="0.25"/>
  <cols>
    <col min="1" max="1" width="4.5703125" customWidth="1"/>
    <col min="2" max="2" width="8.7109375" customWidth="1"/>
    <col min="3" max="3" width="15.28515625" customWidth="1"/>
    <col min="4" max="4" width="11.42578125" customWidth="1"/>
    <col min="5" max="5" width="15.28515625" customWidth="1"/>
    <col min="6" max="6" width="11.42578125" customWidth="1"/>
    <col min="7" max="7" width="15.28515625" customWidth="1"/>
    <col min="8" max="8" width="11.42578125" customWidth="1"/>
    <col min="9" max="9" width="15.28515625" customWidth="1"/>
    <col min="10" max="10" width="11.42578125" customWidth="1"/>
    <col min="11" max="11" width="8.7109375" customWidth="1"/>
  </cols>
  <sheetData>
    <row r="2" spans="2:11" ht="15" customHeight="1" x14ac:dyDescent="0.25">
      <c r="B2" s="522" t="s">
        <v>181</v>
      </c>
      <c r="C2" s="504"/>
      <c r="D2" s="504"/>
      <c r="E2" s="504"/>
      <c r="F2" s="504"/>
      <c r="G2" s="504"/>
      <c r="H2" s="504"/>
      <c r="I2" s="504"/>
      <c r="J2" s="504"/>
      <c r="K2" s="504"/>
    </row>
    <row r="3" spans="2:11" ht="15" customHeight="1" x14ac:dyDescent="0.25">
      <c r="B3" s="526" t="s">
        <v>182</v>
      </c>
      <c r="C3" s="504"/>
      <c r="D3" s="504"/>
      <c r="E3" s="504"/>
      <c r="F3" s="504"/>
      <c r="G3" s="504"/>
      <c r="H3" s="504"/>
      <c r="I3" s="504"/>
      <c r="J3" s="504"/>
      <c r="K3" s="504"/>
    </row>
    <row r="5" spans="2:11" ht="15" customHeight="1" x14ac:dyDescent="0.25">
      <c r="C5" s="503" t="s">
        <v>183</v>
      </c>
      <c r="D5" s="504"/>
      <c r="E5" s="504"/>
      <c r="F5" s="504"/>
      <c r="G5" s="504"/>
      <c r="H5" s="504"/>
      <c r="I5" s="504"/>
      <c r="J5" s="504"/>
    </row>
    <row r="6" spans="2:11" ht="20.100000000000001" customHeight="1" x14ac:dyDescent="0.25">
      <c r="B6" s="503" t="s">
        <v>184</v>
      </c>
      <c r="C6" s="520" t="s">
        <v>185</v>
      </c>
      <c r="D6" s="510"/>
      <c r="E6" s="519" t="s">
        <v>186</v>
      </c>
      <c r="F6" s="510"/>
      <c r="G6" s="524" t="s">
        <v>187</v>
      </c>
      <c r="H6" s="510"/>
      <c r="I6" s="524" t="s">
        <v>188</v>
      </c>
      <c r="J6" s="510"/>
      <c r="K6" s="503" t="s">
        <v>189</v>
      </c>
    </row>
    <row r="7" spans="2:11" ht="20.100000000000001" customHeight="1" x14ac:dyDescent="0.25">
      <c r="B7" s="504"/>
      <c r="C7" s="511"/>
      <c r="D7" s="512"/>
      <c r="E7" s="511"/>
      <c r="F7" s="512"/>
      <c r="G7" s="511"/>
      <c r="H7" s="512"/>
      <c r="I7" s="511"/>
      <c r="J7" s="512"/>
      <c r="K7" s="504"/>
    </row>
    <row r="8" spans="2:11" ht="20.100000000000001" customHeight="1" x14ac:dyDescent="0.25">
      <c r="B8" s="504"/>
      <c r="C8" s="513"/>
      <c r="D8" s="514"/>
      <c r="E8" s="513"/>
      <c r="F8" s="514"/>
      <c r="G8" s="513"/>
      <c r="H8" s="514"/>
      <c r="I8" s="513"/>
      <c r="J8" s="514"/>
      <c r="K8" s="504"/>
    </row>
    <row r="9" spans="2:11" ht="20.100000000000001" customHeight="1" x14ac:dyDescent="0.25">
      <c r="B9" s="504"/>
      <c r="C9" s="520" t="s">
        <v>190</v>
      </c>
      <c r="D9" s="510"/>
      <c r="E9" s="519" t="s">
        <v>191</v>
      </c>
      <c r="F9" s="510"/>
      <c r="G9" s="525" t="s">
        <v>192</v>
      </c>
      <c r="H9" s="510"/>
      <c r="I9" s="521" t="s">
        <v>193</v>
      </c>
      <c r="J9" s="510"/>
      <c r="K9" s="504"/>
    </row>
    <row r="10" spans="2:11" ht="20.100000000000001" customHeight="1" x14ac:dyDescent="0.25">
      <c r="B10" s="504"/>
      <c r="C10" s="511"/>
      <c r="D10" s="512"/>
      <c r="E10" s="511"/>
      <c r="F10" s="512"/>
      <c r="G10" s="511"/>
      <c r="H10" s="512"/>
      <c r="I10" s="511"/>
      <c r="J10" s="512"/>
      <c r="K10" s="504"/>
    </row>
    <row r="11" spans="2:11" ht="20.100000000000001" customHeight="1" x14ac:dyDescent="0.25">
      <c r="B11" s="504"/>
      <c r="C11" s="513"/>
      <c r="D11" s="514"/>
      <c r="E11" s="513"/>
      <c r="F11" s="514"/>
      <c r="G11" s="513"/>
      <c r="H11" s="514"/>
      <c r="I11" s="513"/>
      <c r="J11" s="514"/>
      <c r="K11" s="504"/>
    </row>
    <row r="12" spans="2:11" ht="20.100000000000001" customHeight="1" x14ac:dyDescent="0.25">
      <c r="B12" s="504"/>
      <c r="C12" s="515" t="s">
        <v>194</v>
      </c>
      <c r="D12" s="510"/>
      <c r="E12" s="517" t="s">
        <v>195</v>
      </c>
      <c r="F12" s="510"/>
      <c r="G12" s="509" t="s">
        <v>196</v>
      </c>
      <c r="H12" s="510"/>
      <c r="I12" s="527" t="s">
        <v>197</v>
      </c>
      <c r="J12" s="510"/>
      <c r="K12" s="504"/>
    </row>
    <row r="13" spans="2:11" ht="20.100000000000001" customHeight="1" x14ac:dyDescent="0.25">
      <c r="B13" s="504"/>
      <c r="C13" s="511"/>
      <c r="D13" s="512"/>
      <c r="E13" s="511"/>
      <c r="F13" s="512"/>
      <c r="G13" s="511"/>
      <c r="H13" s="512"/>
      <c r="I13" s="511"/>
      <c r="J13" s="512"/>
      <c r="K13" s="504"/>
    </row>
    <row r="14" spans="2:11" ht="20.100000000000001" customHeight="1" x14ac:dyDescent="0.25">
      <c r="B14" s="504"/>
      <c r="C14" s="513"/>
      <c r="D14" s="514"/>
      <c r="E14" s="513"/>
      <c r="F14" s="514"/>
      <c r="G14" s="513"/>
      <c r="H14" s="514"/>
      <c r="I14" s="513"/>
      <c r="J14" s="514"/>
      <c r="K14" s="504"/>
    </row>
    <row r="15" spans="2:11" ht="20.100000000000001" customHeight="1" x14ac:dyDescent="0.25">
      <c r="B15" s="504"/>
      <c r="C15" s="515" t="s">
        <v>198</v>
      </c>
      <c r="D15" s="510"/>
      <c r="E15" s="520" t="s">
        <v>199</v>
      </c>
      <c r="F15" s="510"/>
      <c r="G15" s="509" t="s">
        <v>200</v>
      </c>
      <c r="H15" s="510"/>
      <c r="I15" s="509" t="s">
        <v>201</v>
      </c>
      <c r="J15" s="510"/>
      <c r="K15" s="504"/>
    </row>
    <row r="16" spans="2:11" ht="20.100000000000001" customHeight="1" x14ac:dyDescent="0.25">
      <c r="B16" s="504"/>
      <c r="C16" s="511"/>
      <c r="D16" s="512"/>
      <c r="E16" s="511"/>
      <c r="F16" s="512"/>
      <c r="G16" s="511"/>
      <c r="H16" s="512"/>
      <c r="I16" s="511"/>
      <c r="J16" s="512"/>
      <c r="K16" s="504"/>
    </row>
    <row r="17" spans="2:11" ht="20.100000000000001" customHeight="1" x14ac:dyDescent="0.25">
      <c r="B17" s="504"/>
      <c r="C17" s="513"/>
      <c r="D17" s="514"/>
      <c r="E17" s="513"/>
      <c r="F17" s="514"/>
      <c r="G17" s="513"/>
      <c r="H17" s="514"/>
      <c r="I17" s="513"/>
      <c r="J17" s="514"/>
      <c r="K17" s="504"/>
    </row>
    <row r="18" spans="2:11" ht="15" customHeight="1" x14ac:dyDescent="0.25">
      <c r="C18" s="503" t="s">
        <v>202</v>
      </c>
      <c r="D18" s="504"/>
      <c r="E18" s="504"/>
      <c r="F18" s="504"/>
      <c r="G18" s="504"/>
      <c r="H18" s="504"/>
      <c r="I18" s="504"/>
      <c r="J18" s="504"/>
    </row>
    <row r="20" spans="2:11" ht="15" customHeight="1" x14ac:dyDescent="0.25">
      <c r="B20" s="508" t="s">
        <v>203</v>
      </c>
      <c r="C20" s="504"/>
      <c r="D20" s="504"/>
      <c r="E20" s="504"/>
      <c r="F20" s="504"/>
      <c r="G20" s="504"/>
      <c r="H20" s="504"/>
      <c r="I20" s="504"/>
      <c r="J20" s="504"/>
      <c r="K20" s="504"/>
    </row>
    <row r="21" spans="2:11" ht="15" customHeight="1" x14ac:dyDescent="0.25">
      <c r="C21" s="423" t="s">
        <v>204</v>
      </c>
      <c r="D21" s="516" t="s">
        <v>205</v>
      </c>
      <c r="E21" s="506"/>
      <c r="F21" s="507"/>
      <c r="G21" s="423" t="s">
        <v>206</v>
      </c>
      <c r="H21" s="516" t="s">
        <v>148</v>
      </c>
      <c r="I21" s="506"/>
      <c r="J21" s="506"/>
      <c r="K21" s="507"/>
    </row>
    <row r="22" spans="2:11" ht="15" customHeight="1" x14ac:dyDescent="0.25">
      <c r="C22" s="424" t="s">
        <v>161</v>
      </c>
      <c r="D22" s="505" t="s">
        <v>1</v>
      </c>
      <c r="E22" s="506"/>
      <c r="F22" s="507"/>
      <c r="G22" s="424">
        <v>80</v>
      </c>
      <c r="H22" s="505"/>
      <c r="I22" s="506"/>
      <c r="J22" s="506"/>
      <c r="K22" s="507"/>
    </row>
    <row r="23" spans="2:11" ht="15" customHeight="1" x14ac:dyDescent="0.25">
      <c r="C23" s="424" t="s">
        <v>163</v>
      </c>
      <c r="D23" s="505" t="s">
        <v>38</v>
      </c>
      <c r="E23" s="506"/>
      <c r="F23" s="507"/>
      <c r="G23" s="424">
        <v>40</v>
      </c>
      <c r="H23" s="505"/>
      <c r="I23" s="506"/>
      <c r="J23" s="506"/>
      <c r="K23" s="507"/>
    </row>
    <row r="24" spans="2:11" ht="15" customHeight="1" x14ac:dyDescent="0.25">
      <c r="C24" s="424" t="s">
        <v>164</v>
      </c>
      <c r="D24" s="505" t="s">
        <v>60</v>
      </c>
      <c r="E24" s="506"/>
      <c r="F24" s="507"/>
      <c r="G24" s="424">
        <v>40</v>
      </c>
      <c r="H24" s="505"/>
      <c r="I24" s="506"/>
      <c r="J24" s="506"/>
      <c r="K24" s="507"/>
    </row>
    <row r="25" spans="2:11" ht="15" customHeight="1" x14ac:dyDescent="0.25">
      <c r="C25" s="424" t="s">
        <v>162</v>
      </c>
      <c r="D25" s="505" t="s">
        <v>76</v>
      </c>
      <c r="E25" s="506"/>
      <c r="F25" s="507"/>
      <c r="G25" s="424">
        <v>80</v>
      </c>
      <c r="H25" s="505"/>
      <c r="I25" s="506"/>
      <c r="J25" s="506"/>
      <c r="K25" s="507"/>
    </row>
    <row r="26" spans="2:11" ht="30" customHeight="1" x14ac:dyDescent="0.25">
      <c r="C26" s="424" t="s">
        <v>165</v>
      </c>
      <c r="D26" s="505" t="s">
        <v>207</v>
      </c>
      <c r="E26" s="506"/>
      <c r="F26" s="507"/>
      <c r="G26" s="424" t="s">
        <v>208</v>
      </c>
      <c r="H26" s="505" t="s">
        <v>209</v>
      </c>
      <c r="I26" s="506"/>
      <c r="J26" s="506"/>
      <c r="K26" s="507"/>
    </row>
    <row r="27" spans="2:11" ht="15" customHeight="1" x14ac:dyDescent="0.25">
      <c r="C27" s="424" t="s">
        <v>167</v>
      </c>
      <c r="D27" s="505" t="s">
        <v>96</v>
      </c>
      <c r="E27" s="506"/>
      <c r="F27" s="507"/>
      <c r="G27" s="424" t="s">
        <v>210</v>
      </c>
      <c r="H27" s="505" t="s">
        <v>211</v>
      </c>
      <c r="I27" s="506"/>
      <c r="J27" s="506"/>
      <c r="K27" s="507"/>
    </row>
    <row r="28" spans="2:11" ht="15" customHeight="1" x14ac:dyDescent="0.25">
      <c r="C28" s="424" t="s">
        <v>166</v>
      </c>
      <c r="D28" s="505" t="s">
        <v>99</v>
      </c>
      <c r="E28" s="506"/>
      <c r="F28" s="507"/>
      <c r="G28" s="424">
        <v>40</v>
      </c>
      <c r="H28" s="505"/>
      <c r="I28" s="506"/>
      <c r="J28" s="506"/>
      <c r="K28" s="507"/>
    </row>
    <row r="29" spans="2:11" ht="15" customHeight="1" x14ac:dyDescent="0.25">
      <c r="C29" s="424" t="s">
        <v>168</v>
      </c>
      <c r="D29" s="505" t="s">
        <v>102</v>
      </c>
      <c r="E29" s="506"/>
      <c r="F29" s="507"/>
      <c r="G29" s="424" t="s">
        <v>212</v>
      </c>
      <c r="H29" s="505"/>
      <c r="I29" s="506"/>
      <c r="J29" s="506"/>
      <c r="K29" s="507"/>
    </row>
    <row r="30" spans="2:11" ht="30" customHeight="1" x14ac:dyDescent="0.25">
      <c r="C30" s="424" t="s">
        <v>213</v>
      </c>
      <c r="D30" s="505" t="s">
        <v>214</v>
      </c>
      <c r="E30" s="506"/>
      <c r="F30" s="507"/>
      <c r="G30" s="424">
        <v>40</v>
      </c>
      <c r="H30" s="505" t="s">
        <v>215</v>
      </c>
      <c r="I30" s="506"/>
      <c r="J30" s="506"/>
      <c r="K30" s="507"/>
    </row>
    <row r="32" spans="2:11" ht="44.1" customHeight="1" x14ac:dyDescent="0.25">
      <c r="B32" s="523" t="s">
        <v>216</v>
      </c>
      <c r="C32" s="504"/>
      <c r="D32" s="504"/>
      <c r="E32" s="504"/>
      <c r="F32" s="504"/>
      <c r="G32" s="504"/>
      <c r="H32" s="504"/>
      <c r="I32" s="504"/>
      <c r="J32" s="504"/>
      <c r="K32" s="504"/>
    </row>
    <row r="33" spans="2:11" ht="44.1" customHeight="1" x14ac:dyDescent="0.25">
      <c r="B33" s="504"/>
      <c r="C33" s="504"/>
      <c r="D33" s="504"/>
      <c r="E33" s="504"/>
      <c r="F33" s="504"/>
      <c r="G33" s="504"/>
      <c r="H33" s="504"/>
      <c r="I33" s="504"/>
      <c r="J33" s="504"/>
      <c r="K33" s="504"/>
    </row>
    <row r="35" spans="2:11" ht="15" customHeight="1" x14ac:dyDescent="0.25">
      <c r="B35" s="518" t="s">
        <v>217</v>
      </c>
      <c r="C35" s="504"/>
      <c r="D35" s="504"/>
      <c r="E35" s="504"/>
      <c r="F35" s="504"/>
      <c r="G35" s="504"/>
      <c r="H35" s="504"/>
      <c r="I35" s="504"/>
      <c r="J35" s="504"/>
      <c r="K35" s="504"/>
    </row>
  </sheetData>
  <mergeCells count="45">
    <mergeCell ref="D26:F26"/>
    <mergeCell ref="H21:K21"/>
    <mergeCell ref="B2:K2"/>
    <mergeCell ref="C12:D14"/>
    <mergeCell ref="B32:K33"/>
    <mergeCell ref="D22:F22"/>
    <mergeCell ref="B6:B17"/>
    <mergeCell ref="I6:J8"/>
    <mergeCell ref="G9:H11"/>
    <mergeCell ref="C18:J18"/>
    <mergeCell ref="B3:K3"/>
    <mergeCell ref="D24:F24"/>
    <mergeCell ref="D29:F29"/>
    <mergeCell ref="I12:J14"/>
    <mergeCell ref="D23:F23"/>
    <mergeCell ref="G6:H8"/>
    <mergeCell ref="H30:K30"/>
    <mergeCell ref="H26:K26"/>
    <mergeCell ref="B35:K35"/>
    <mergeCell ref="H29:K29"/>
    <mergeCell ref="E6:F8"/>
    <mergeCell ref="D25:F25"/>
    <mergeCell ref="D30:F30"/>
    <mergeCell ref="C6:D8"/>
    <mergeCell ref="I9:J11"/>
    <mergeCell ref="H28:K28"/>
    <mergeCell ref="D27:F27"/>
    <mergeCell ref="H27:K27"/>
    <mergeCell ref="D28:F28"/>
    <mergeCell ref="G15:H17"/>
    <mergeCell ref="E9:F11"/>
    <mergeCell ref="H25:K25"/>
    <mergeCell ref="C5:J5"/>
    <mergeCell ref="H24:K24"/>
    <mergeCell ref="B20:K20"/>
    <mergeCell ref="G12:H14"/>
    <mergeCell ref="H23:K23"/>
    <mergeCell ref="C15:D17"/>
    <mergeCell ref="K6:K17"/>
    <mergeCell ref="D21:F21"/>
    <mergeCell ref="H22:K22"/>
    <mergeCell ref="E12:F14"/>
    <mergeCell ref="I15:J17"/>
    <mergeCell ref="C9:D11"/>
    <mergeCell ref="E15:F17"/>
  </mergeCells>
  <pageMargins left="0.7" right="0.7" top="0.75" bottom="0.75" header="0" footer="0"/>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616"/>
  <sheetViews>
    <sheetView zoomScale="85" zoomScaleNormal="85" workbookViewId="0">
      <pane ySplit="1" topLeftCell="A2" activePane="bottomLeft" state="frozen"/>
      <selection pane="bottomLeft" activeCell="H8" sqref="H8"/>
    </sheetView>
  </sheetViews>
  <sheetFormatPr defaultColWidth="9.140625" defaultRowHeight="12.75" x14ac:dyDescent="0.25"/>
  <cols>
    <col min="1" max="1" width="6.140625" style="250" bestFit="1" customWidth="1"/>
    <col min="2" max="2" width="3.28515625" style="250" bestFit="1" customWidth="1"/>
    <col min="3" max="3" width="8.42578125" style="249" bestFit="1" customWidth="1"/>
    <col min="4" max="4" width="11.28515625" style="249" bestFit="1" customWidth="1"/>
    <col min="5" max="5" width="11.5703125" style="249" customWidth="1"/>
    <col min="6" max="7" width="17.28515625" style="251" bestFit="1" customWidth="1"/>
    <col min="8" max="8" width="44.85546875" style="249" bestFit="1" customWidth="1"/>
    <col min="9" max="9" width="36.5703125" style="249" bestFit="1" customWidth="1"/>
    <col min="10" max="10" width="44.28515625" style="249" customWidth="1"/>
    <col min="11" max="11" width="11.7109375" style="249" bestFit="1" customWidth="1"/>
    <col min="12" max="12" width="5.7109375" style="249" bestFit="1" customWidth="1"/>
    <col min="13" max="13" width="11.7109375" style="249" bestFit="1" customWidth="1"/>
    <col min="14" max="14" width="6.5703125" style="249" bestFit="1" customWidth="1"/>
    <col min="15" max="15" width="17.28515625" style="251" bestFit="1" customWidth="1"/>
    <col min="16" max="16" width="17.85546875" style="252" bestFit="1" customWidth="1"/>
    <col min="17" max="17" width="7.7109375" style="249" bestFit="1" customWidth="1"/>
    <col min="18" max="18" width="13.5703125" style="249" bestFit="1" customWidth="1"/>
    <col min="19" max="19" width="16.42578125" style="249" bestFit="1" customWidth="1"/>
    <col min="20" max="20" width="19.42578125" style="249" bestFit="1" customWidth="1"/>
    <col min="21" max="21" width="17.28515625" style="249" bestFit="1" customWidth="1"/>
    <col min="22" max="22" width="15.28515625" style="249" customWidth="1"/>
    <col min="23" max="25" width="14.7109375" style="249" bestFit="1" customWidth="1"/>
    <col min="26" max="26" width="10.5703125" style="250" bestFit="1" customWidth="1"/>
    <col min="27" max="29" width="9.140625" style="250" customWidth="1"/>
    <col min="30" max="16384" width="9.140625" style="250"/>
  </cols>
  <sheetData>
    <row r="1" spans="1:29" s="247" customFormat="1" ht="26.25" customHeight="1" thickBot="1" x14ac:dyDescent="0.3">
      <c r="A1" s="318" t="s">
        <v>218</v>
      </c>
      <c r="B1" s="318" t="s">
        <v>219</v>
      </c>
      <c r="C1" s="318" t="s">
        <v>220</v>
      </c>
      <c r="D1" s="318" t="s">
        <v>221</v>
      </c>
      <c r="E1" s="318" t="s">
        <v>222</v>
      </c>
      <c r="F1" s="319" t="s">
        <v>223</v>
      </c>
      <c r="G1" s="319" t="s">
        <v>224</v>
      </c>
      <c r="H1" s="318" t="s">
        <v>225</v>
      </c>
      <c r="I1" s="318" t="s">
        <v>226</v>
      </c>
      <c r="J1" s="318" t="s">
        <v>227</v>
      </c>
      <c r="K1" s="318" t="s">
        <v>228</v>
      </c>
      <c r="L1" s="318" t="s">
        <v>229</v>
      </c>
      <c r="M1" s="318" t="s">
        <v>230</v>
      </c>
      <c r="N1" s="318" t="s">
        <v>231</v>
      </c>
      <c r="O1" s="319" t="s">
        <v>232</v>
      </c>
      <c r="P1" s="318" t="s">
        <v>233</v>
      </c>
      <c r="Q1" s="318" t="s">
        <v>7</v>
      </c>
      <c r="R1" s="318" t="s">
        <v>234</v>
      </c>
      <c r="S1" s="318" t="s">
        <v>235</v>
      </c>
      <c r="T1" s="318" t="s">
        <v>236</v>
      </c>
      <c r="U1" s="318" t="s">
        <v>237</v>
      </c>
      <c r="V1" s="320" t="s">
        <v>148</v>
      </c>
    </row>
    <row r="2" spans="1:29" s="248" customFormat="1" ht="60" customHeight="1" x14ac:dyDescent="0.25">
      <c r="A2" s="325">
        <v>29</v>
      </c>
      <c r="B2" s="325"/>
      <c r="C2" s="325"/>
      <c r="D2" s="325" t="s">
        <v>309</v>
      </c>
      <c r="E2" s="577" t="s">
        <v>8691</v>
      </c>
      <c r="F2" s="459">
        <v>6333</v>
      </c>
      <c r="G2" s="573">
        <v>6333</v>
      </c>
      <c r="H2" s="325" t="s">
        <v>759</v>
      </c>
      <c r="I2" s="325" t="s">
        <v>760</v>
      </c>
      <c r="J2" s="325" t="s">
        <v>308</v>
      </c>
      <c r="K2" s="325"/>
      <c r="L2" s="325"/>
      <c r="M2" s="325"/>
      <c r="N2" s="184"/>
      <c r="O2" s="326"/>
      <c r="P2" s="184"/>
      <c r="Q2" s="184"/>
      <c r="R2" s="184"/>
      <c r="S2" s="184"/>
      <c r="T2" s="184"/>
      <c r="U2" s="184"/>
      <c r="V2" s="184"/>
      <c r="W2" s="249"/>
      <c r="X2" s="249"/>
      <c r="Y2" s="249"/>
      <c r="Z2" s="250"/>
      <c r="AA2" s="250"/>
      <c r="AB2" s="250"/>
      <c r="AC2" s="250"/>
    </row>
    <row r="3" spans="1:29" s="248" customFormat="1" ht="48" customHeight="1" x14ac:dyDescent="0.25">
      <c r="A3" s="325">
        <v>30</v>
      </c>
      <c r="B3" s="325"/>
      <c r="C3" s="325"/>
      <c r="D3" s="325" t="s">
        <v>309</v>
      </c>
      <c r="E3" s="577" t="s">
        <v>8692</v>
      </c>
      <c r="F3" s="459">
        <v>6333</v>
      </c>
      <c r="G3" s="573">
        <v>6333</v>
      </c>
      <c r="H3" s="325" t="s">
        <v>312</v>
      </c>
      <c r="I3" s="325" t="s">
        <v>760</v>
      </c>
      <c r="J3" s="325" t="s">
        <v>313</v>
      </c>
      <c r="K3" s="325"/>
      <c r="L3" s="325"/>
      <c r="M3" s="325"/>
      <c r="N3" s="184"/>
      <c r="O3" s="326"/>
      <c r="P3" s="184"/>
      <c r="Q3" s="184"/>
      <c r="R3" s="184"/>
      <c r="S3" s="184"/>
      <c r="T3" s="184"/>
      <c r="U3" s="184"/>
      <c r="V3" s="184"/>
      <c r="W3" s="249"/>
      <c r="X3" s="249"/>
      <c r="Y3" s="249"/>
      <c r="Z3" s="250"/>
      <c r="AA3" s="250"/>
      <c r="AB3" s="250"/>
      <c r="AC3" s="250"/>
    </row>
    <row r="4" spans="1:29" s="248" customFormat="1" ht="48" customHeight="1" x14ac:dyDescent="0.25">
      <c r="A4" s="325">
        <v>33</v>
      </c>
      <c r="B4" s="325"/>
      <c r="C4" s="325"/>
      <c r="D4" s="325" t="s">
        <v>309</v>
      </c>
      <c r="E4" s="577" t="s">
        <v>8662</v>
      </c>
      <c r="F4" s="459">
        <v>7090</v>
      </c>
      <c r="G4" s="573">
        <v>7090</v>
      </c>
      <c r="H4" s="325" t="s">
        <v>764</v>
      </c>
      <c r="I4" s="325" t="s">
        <v>318</v>
      </c>
      <c r="J4" s="325" t="s">
        <v>313</v>
      </c>
      <c r="K4" s="325"/>
      <c r="L4" s="325"/>
      <c r="M4" s="325"/>
      <c r="N4" s="184"/>
      <c r="O4" s="326"/>
      <c r="P4" s="184"/>
      <c r="Q4" s="184"/>
      <c r="R4" s="184"/>
      <c r="S4" s="184"/>
      <c r="T4" s="184"/>
      <c r="U4" s="184"/>
      <c r="V4" s="184"/>
      <c r="W4" s="249"/>
      <c r="X4" s="249"/>
      <c r="Y4" s="249"/>
      <c r="Z4" s="250"/>
      <c r="AA4" s="250"/>
      <c r="AB4" s="250"/>
      <c r="AC4" s="250"/>
    </row>
    <row r="5" spans="1:29" s="248" customFormat="1" ht="48" customHeight="1" x14ac:dyDescent="0.25">
      <c r="A5" s="325">
        <v>34</v>
      </c>
      <c r="B5" s="325"/>
      <c r="C5" s="325"/>
      <c r="D5" s="325" t="s">
        <v>309</v>
      </c>
      <c r="E5" s="577" t="s">
        <v>8663</v>
      </c>
      <c r="F5" s="459">
        <v>7116</v>
      </c>
      <c r="G5" s="573">
        <v>7116</v>
      </c>
      <c r="H5" s="325" t="s">
        <v>765</v>
      </c>
      <c r="I5" s="325" t="s">
        <v>320</v>
      </c>
      <c r="J5" s="325" t="s">
        <v>313</v>
      </c>
      <c r="K5" s="325"/>
      <c r="L5" s="325"/>
      <c r="M5" s="325"/>
      <c r="N5" s="184"/>
      <c r="O5" s="326"/>
      <c r="P5" s="184"/>
      <c r="Q5" s="184"/>
      <c r="R5" s="184"/>
      <c r="S5" s="184"/>
      <c r="T5" s="184"/>
      <c r="U5" s="184"/>
      <c r="V5" s="184"/>
      <c r="W5" s="249"/>
      <c r="X5" s="249"/>
      <c r="Y5" s="249"/>
      <c r="Z5" s="250"/>
      <c r="AA5" s="250"/>
      <c r="AB5" s="250"/>
      <c r="AC5" s="250"/>
    </row>
    <row r="6" spans="1:29" s="248" customFormat="1" ht="60" customHeight="1" x14ac:dyDescent="0.25">
      <c r="A6" s="325">
        <v>35</v>
      </c>
      <c r="B6" s="325"/>
      <c r="C6" s="325"/>
      <c r="D6" s="325" t="s">
        <v>309</v>
      </c>
      <c r="E6" s="577" t="s">
        <v>8664</v>
      </c>
      <c r="F6" s="459">
        <v>7341</v>
      </c>
      <c r="G6" s="573">
        <v>7341</v>
      </c>
      <c r="H6" s="325" t="s">
        <v>766</v>
      </c>
      <c r="I6" s="325" t="s">
        <v>322</v>
      </c>
      <c r="J6" s="325" t="s">
        <v>308</v>
      </c>
      <c r="K6" s="325"/>
      <c r="L6" s="325"/>
      <c r="M6" s="325"/>
      <c r="N6" s="184"/>
      <c r="O6" s="326"/>
      <c r="P6" s="184"/>
      <c r="Q6" s="184"/>
      <c r="R6" s="184"/>
      <c r="S6" s="184"/>
      <c r="T6" s="184"/>
      <c r="U6" s="184"/>
      <c r="V6" s="184"/>
      <c r="W6" s="249"/>
      <c r="X6" s="249"/>
      <c r="Y6" s="249"/>
      <c r="Z6" s="250"/>
      <c r="AA6" s="250"/>
      <c r="AB6" s="250"/>
      <c r="AC6" s="250"/>
    </row>
    <row r="7" spans="1:29" s="248" customFormat="1" ht="12" customHeight="1" x14ac:dyDescent="0.25">
      <c r="A7" s="325">
        <v>31</v>
      </c>
      <c r="B7" s="325"/>
      <c r="C7" s="325"/>
      <c r="D7" s="325" t="s">
        <v>309</v>
      </c>
      <c r="E7" s="577" t="s">
        <v>8665</v>
      </c>
      <c r="F7" s="459">
        <v>6399</v>
      </c>
      <c r="G7" s="573">
        <v>6399</v>
      </c>
      <c r="H7" s="325" t="s">
        <v>761</v>
      </c>
      <c r="I7" s="325" t="s">
        <v>762</v>
      </c>
      <c r="J7" s="325" t="s">
        <v>313</v>
      </c>
      <c r="K7" s="325"/>
      <c r="L7" s="325"/>
      <c r="M7" s="325"/>
      <c r="N7" s="184"/>
      <c r="O7" s="326"/>
      <c r="P7" s="184"/>
      <c r="Q7" s="184"/>
      <c r="R7" s="184"/>
      <c r="S7" s="184"/>
      <c r="T7" s="184"/>
      <c r="U7" s="184"/>
      <c r="V7" s="184"/>
      <c r="W7" s="249"/>
      <c r="X7" s="249"/>
      <c r="Y7" s="249"/>
      <c r="Z7" s="250"/>
      <c r="AA7" s="250"/>
      <c r="AB7" s="250"/>
      <c r="AC7" s="250"/>
    </row>
    <row r="8" spans="1:29" s="248" customFormat="1" ht="60" customHeight="1" x14ac:dyDescent="0.25">
      <c r="A8" s="325">
        <v>32</v>
      </c>
      <c r="B8" s="325"/>
      <c r="C8" s="325"/>
      <c r="D8" s="325" t="s">
        <v>309</v>
      </c>
      <c r="E8" s="577" t="s">
        <v>8666</v>
      </c>
      <c r="F8" s="459">
        <v>6399</v>
      </c>
      <c r="G8" s="573">
        <v>6399</v>
      </c>
      <c r="H8" s="325" t="s">
        <v>763</v>
      </c>
      <c r="I8" s="325" t="s">
        <v>762</v>
      </c>
      <c r="J8" s="325" t="s">
        <v>313</v>
      </c>
      <c r="K8" s="325"/>
      <c r="L8" s="325"/>
      <c r="M8" s="325"/>
      <c r="N8" s="184"/>
      <c r="O8" s="326"/>
      <c r="P8" s="184"/>
      <c r="Q8" s="184"/>
      <c r="R8" s="184"/>
      <c r="S8" s="184"/>
      <c r="T8" s="184"/>
      <c r="U8" s="184"/>
      <c r="V8" s="184"/>
      <c r="W8" s="249"/>
      <c r="X8" s="249"/>
      <c r="Y8" s="249"/>
      <c r="Z8" s="250"/>
      <c r="AA8" s="250"/>
      <c r="AB8" s="250"/>
      <c r="AC8" s="250"/>
    </row>
    <row r="9" spans="1:29" s="248" customFormat="1" ht="48" customHeight="1" x14ac:dyDescent="0.25">
      <c r="A9" s="325">
        <v>36</v>
      </c>
      <c r="B9" s="325"/>
      <c r="C9" s="325"/>
      <c r="D9" s="325" t="s">
        <v>309</v>
      </c>
      <c r="E9" s="577" t="s">
        <v>8667</v>
      </c>
      <c r="F9" s="459">
        <v>8513</v>
      </c>
      <c r="G9" s="573">
        <v>8513</v>
      </c>
      <c r="H9" s="325" t="s">
        <v>767</v>
      </c>
      <c r="I9" s="325" t="s">
        <v>324</v>
      </c>
      <c r="J9" s="325" t="s">
        <v>313</v>
      </c>
      <c r="K9" s="325"/>
      <c r="L9" s="325"/>
      <c r="M9" s="325"/>
      <c r="N9" s="184"/>
      <c r="O9" s="326"/>
      <c r="P9" s="184"/>
      <c r="Q9" s="184"/>
      <c r="R9" s="184"/>
      <c r="S9" s="184"/>
      <c r="T9" s="184"/>
      <c r="U9" s="184"/>
      <c r="V9" s="184"/>
      <c r="W9" s="249"/>
      <c r="X9" s="249"/>
      <c r="Y9" s="249"/>
      <c r="Z9" s="250"/>
      <c r="AA9" s="250"/>
      <c r="AB9" s="250"/>
      <c r="AC9" s="250"/>
    </row>
    <row r="10" spans="1:29" s="248" customFormat="1" ht="12" customHeight="1" x14ac:dyDescent="0.25">
      <c r="A10" s="325">
        <v>37</v>
      </c>
      <c r="B10" s="325"/>
      <c r="C10" s="325"/>
      <c r="D10" s="325" t="s">
        <v>309</v>
      </c>
      <c r="E10" s="577" t="s">
        <v>8668</v>
      </c>
      <c r="F10" s="459">
        <v>11164</v>
      </c>
      <c r="G10" s="573">
        <v>11164</v>
      </c>
      <c r="H10" s="325" t="s">
        <v>768</v>
      </c>
      <c r="I10" s="325" t="s">
        <v>326</v>
      </c>
      <c r="J10" s="325" t="s">
        <v>308</v>
      </c>
      <c r="K10" s="325"/>
      <c r="L10" s="325"/>
      <c r="M10" s="325"/>
      <c r="N10" s="184"/>
      <c r="O10" s="326"/>
      <c r="P10" s="184"/>
      <c r="Q10" s="184"/>
      <c r="R10" s="184"/>
      <c r="S10" s="184"/>
      <c r="T10" s="184"/>
      <c r="U10" s="184"/>
      <c r="V10" s="184"/>
      <c r="W10" s="249"/>
      <c r="X10" s="249"/>
      <c r="Y10" s="249"/>
      <c r="Z10" s="250"/>
      <c r="AA10" s="250"/>
      <c r="AB10" s="250"/>
      <c r="AC10" s="250"/>
    </row>
    <row r="11" spans="1:29" s="248" customFormat="1" ht="48" customHeight="1" x14ac:dyDescent="0.25">
      <c r="A11" s="325">
        <v>39</v>
      </c>
      <c r="B11" s="325"/>
      <c r="C11" s="325"/>
      <c r="D11" s="325" t="s">
        <v>309</v>
      </c>
      <c r="E11" s="577" t="s">
        <v>8693</v>
      </c>
      <c r="F11" s="459">
        <v>11177</v>
      </c>
      <c r="G11" s="573">
        <v>11177</v>
      </c>
      <c r="H11" s="325" t="s">
        <v>328</v>
      </c>
      <c r="I11" s="325" t="s">
        <v>326</v>
      </c>
      <c r="J11" s="325" t="s">
        <v>313</v>
      </c>
      <c r="K11" s="325"/>
      <c r="L11" s="325"/>
      <c r="M11" s="325"/>
      <c r="N11" s="184"/>
      <c r="O11" s="326"/>
      <c r="P11" s="184"/>
      <c r="Q11" s="184"/>
      <c r="R11" s="184"/>
      <c r="S11" s="184"/>
      <c r="T11" s="184"/>
      <c r="U11" s="184"/>
      <c r="V11" s="184"/>
      <c r="W11" s="249"/>
      <c r="X11" s="249"/>
      <c r="Y11" s="249"/>
      <c r="Z11" s="250"/>
      <c r="AA11" s="250"/>
      <c r="AB11" s="250"/>
      <c r="AC11" s="250"/>
    </row>
    <row r="12" spans="1:29" s="248" customFormat="1" ht="24" customHeight="1" x14ac:dyDescent="0.25">
      <c r="A12" s="325">
        <v>38</v>
      </c>
      <c r="B12" s="325"/>
      <c r="C12" s="325"/>
      <c r="D12" s="325" t="s">
        <v>309</v>
      </c>
      <c r="E12" s="577" t="s">
        <v>8694</v>
      </c>
      <c r="F12" s="459">
        <v>11174</v>
      </c>
      <c r="G12" s="573">
        <v>11174</v>
      </c>
      <c r="H12" s="325" t="s">
        <v>769</v>
      </c>
      <c r="I12" s="325" t="s">
        <v>326</v>
      </c>
      <c r="J12" s="325" t="s">
        <v>313</v>
      </c>
      <c r="K12" s="325"/>
      <c r="L12" s="325"/>
      <c r="M12" s="325"/>
      <c r="N12" s="184"/>
      <c r="O12" s="326"/>
      <c r="P12" s="184"/>
      <c r="Q12" s="184"/>
      <c r="R12" s="184"/>
      <c r="S12" s="184"/>
      <c r="T12" s="184"/>
      <c r="U12" s="184"/>
      <c r="V12" s="184"/>
      <c r="W12" s="249"/>
      <c r="X12" s="249"/>
      <c r="Y12" s="249"/>
      <c r="Z12" s="250"/>
      <c r="AA12" s="250"/>
      <c r="AB12" s="250"/>
      <c r="AC12" s="250"/>
    </row>
    <row r="13" spans="1:29" s="248" customFormat="1" ht="60" customHeight="1" x14ac:dyDescent="0.25">
      <c r="A13" s="325">
        <v>40</v>
      </c>
      <c r="B13" s="325"/>
      <c r="C13" s="325"/>
      <c r="D13" s="325" t="s">
        <v>309</v>
      </c>
      <c r="E13" s="577" t="s">
        <v>8695</v>
      </c>
      <c r="F13" s="459">
        <v>11223</v>
      </c>
      <c r="G13" s="573">
        <v>11223</v>
      </c>
      <c r="H13" s="325" t="s">
        <v>770</v>
      </c>
      <c r="I13" s="325" t="s">
        <v>326</v>
      </c>
      <c r="J13" s="325" t="s">
        <v>313</v>
      </c>
      <c r="K13" s="325"/>
      <c r="L13" s="325"/>
      <c r="M13" s="325"/>
      <c r="N13" s="184"/>
      <c r="O13" s="326"/>
      <c r="P13" s="184"/>
      <c r="Q13" s="184"/>
      <c r="R13" s="184"/>
      <c r="S13" s="184"/>
      <c r="T13" s="184"/>
      <c r="U13" s="184"/>
      <c r="V13" s="184"/>
      <c r="W13" s="249"/>
      <c r="X13" s="249"/>
      <c r="Y13" s="249"/>
      <c r="Z13" s="250"/>
      <c r="AA13" s="250"/>
      <c r="AB13" s="250"/>
      <c r="AC13" s="250"/>
    </row>
    <row r="14" spans="1:29" s="248" customFormat="1" ht="60" customHeight="1" x14ac:dyDescent="0.25">
      <c r="A14" s="325">
        <v>41</v>
      </c>
      <c r="B14" s="325"/>
      <c r="C14" s="325"/>
      <c r="D14" s="325" t="s">
        <v>309</v>
      </c>
      <c r="E14" s="577" t="s">
        <v>8669</v>
      </c>
      <c r="F14" s="459">
        <v>11260</v>
      </c>
      <c r="G14" s="573">
        <v>11260</v>
      </c>
      <c r="H14" s="325" t="s">
        <v>771</v>
      </c>
      <c r="I14" s="325" t="s">
        <v>326</v>
      </c>
      <c r="J14" s="325" t="s">
        <v>313</v>
      </c>
      <c r="K14" s="325"/>
      <c r="L14" s="325"/>
      <c r="M14" s="325"/>
      <c r="N14" s="184"/>
      <c r="O14" s="326"/>
      <c r="P14" s="184"/>
      <c r="Q14" s="184"/>
      <c r="R14" s="184"/>
      <c r="S14" s="184"/>
      <c r="T14" s="184"/>
      <c r="U14" s="184"/>
      <c r="V14" s="184"/>
      <c r="W14" s="249"/>
      <c r="X14" s="249"/>
      <c r="Y14" s="249"/>
      <c r="Z14" s="250"/>
      <c r="AA14" s="250"/>
      <c r="AB14" s="250"/>
      <c r="AC14" s="250"/>
    </row>
    <row r="15" spans="1:29" s="248" customFormat="1" ht="60" customHeight="1" x14ac:dyDescent="0.25">
      <c r="A15" s="325">
        <v>42</v>
      </c>
      <c r="B15" s="325"/>
      <c r="C15" s="325"/>
      <c r="D15" s="325" t="s">
        <v>309</v>
      </c>
      <c r="E15" s="577" t="s">
        <v>8670</v>
      </c>
      <c r="F15" s="459">
        <v>11272</v>
      </c>
      <c r="G15" s="573">
        <v>11272</v>
      </c>
      <c r="H15" s="325" t="s">
        <v>331</v>
      </c>
      <c r="I15" s="325" t="s">
        <v>326</v>
      </c>
      <c r="J15" s="325" t="s">
        <v>313</v>
      </c>
      <c r="K15" s="325"/>
      <c r="L15" s="325"/>
      <c r="M15" s="325"/>
      <c r="N15" s="184"/>
      <c r="O15" s="326"/>
      <c r="P15" s="184"/>
      <c r="Q15" s="184"/>
      <c r="R15" s="184"/>
      <c r="S15" s="184"/>
      <c r="T15" s="184"/>
      <c r="U15" s="184"/>
      <c r="V15" s="184"/>
      <c r="W15" s="249"/>
      <c r="X15" s="249"/>
      <c r="Y15" s="249"/>
      <c r="Z15" s="250"/>
      <c r="AA15" s="250"/>
      <c r="AB15" s="250"/>
      <c r="AC15" s="250"/>
    </row>
    <row r="16" spans="1:29" s="248" customFormat="1" ht="60" customHeight="1" x14ac:dyDescent="0.25">
      <c r="A16" s="325">
        <v>43</v>
      </c>
      <c r="B16" s="325"/>
      <c r="C16" s="325"/>
      <c r="D16" s="325" t="s">
        <v>309</v>
      </c>
      <c r="E16" s="577" t="s">
        <v>8671</v>
      </c>
      <c r="F16" s="459">
        <v>11279</v>
      </c>
      <c r="G16" s="573">
        <v>11279</v>
      </c>
      <c r="H16" s="325" t="s">
        <v>772</v>
      </c>
      <c r="I16" s="325" t="s">
        <v>326</v>
      </c>
      <c r="J16" s="325" t="s">
        <v>313</v>
      </c>
      <c r="K16" s="325"/>
      <c r="L16" s="325"/>
      <c r="M16" s="325"/>
      <c r="N16" s="184"/>
      <c r="O16" s="326"/>
      <c r="P16" s="184"/>
      <c r="Q16" s="184"/>
      <c r="R16" s="184"/>
      <c r="S16" s="184"/>
      <c r="T16" s="184"/>
      <c r="U16" s="184"/>
      <c r="V16" s="184"/>
      <c r="W16" s="249"/>
      <c r="X16" s="249"/>
      <c r="Y16" s="249"/>
      <c r="Z16" s="250"/>
      <c r="AA16" s="250"/>
      <c r="AB16" s="250"/>
      <c r="AC16" s="250"/>
    </row>
    <row r="17" spans="1:29" s="248" customFormat="1" ht="36" customHeight="1" x14ac:dyDescent="0.25">
      <c r="A17" s="325">
        <v>44</v>
      </c>
      <c r="B17" s="325"/>
      <c r="C17" s="325"/>
      <c r="D17" s="325" t="s">
        <v>309</v>
      </c>
      <c r="E17" s="577" t="s">
        <v>8672</v>
      </c>
      <c r="F17" s="459">
        <v>11364</v>
      </c>
      <c r="G17" s="573">
        <v>11364</v>
      </c>
      <c r="H17" s="325" t="s">
        <v>331</v>
      </c>
      <c r="I17" s="325" t="s">
        <v>326</v>
      </c>
      <c r="J17" s="325" t="s">
        <v>313</v>
      </c>
      <c r="K17" s="325"/>
      <c r="L17" s="325"/>
      <c r="M17" s="325"/>
      <c r="N17" s="184"/>
      <c r="O17" s="326"/>
      <c r="P17" s="184"/>
      <c r="Q17" s="184"/>
      <c r="R17" s="184"/>
      <c r="S17" s="184"/>
      <c r="T17" s="184"/>
      <c r="U17" s="184"/>
      <c r="V17" s="184"/>
      <c r="W17" s="249"/>
      <c r="X17" s="249"/>
      <c r="Y17" s="249"/>
      <c r="Z17" s="250"/>
      <c r="AA17" s="250"/>
      <c r="AB17" s="250"/>
      <c r="AC17" s="250"/>
    </row>
    <row r="18" spans="1:29" s="248" customFormat="1" ht="36" customHeight="1" x14ac:dyDescent="0.25">
      <c r="A18" s="325">
        <v>28</v>
      </c>
      <c r="B18" s="325"/>
      <c r="C18" s="325"/>
      <c r="D18" s="325" t="s">
        <v>309</v>
      </c>
      <c r="E18" s="577" t="s">
        <v>8673</v>
      </c>
      <c r="F18" s="459">
        <v>5913</v>
      </c>
      <c r="G18" s="573">
        <v>5913</v>
      </c>
      <c r="H18" s="325" t="s">
        <v>306</v>
      </c>
      <c r="I18" s="325" t="s">
        <v>307</v>
      </c>
      <c r="J18" s="325" t="s">
        <v>308</v>
      </c>
      <c r="K18" s="325"/>
      <c r="L18" s="325"/>
      <c r="M18" s="325"/>
      <c r="N18" s="184"/>
      <c r="O18" s="326"/>
      <c r="P18" s="184"/>
      <c r="Q18" s="184"/>
      <c r="R18" s="184"/>
      <c r="S18" s="184"/>
      <c r="T18" s="184"/>
      <c r="U18" s="184"/>
      <c r="V18" s="184"/>
      <c r="W18" s="249"/>
      <c r="X18" s="249"/>
      <c r="Y18" s="249"/>
      <c r="Z18" s="250"/>
      <c r="AA18" s="250"/>
      <c r="AB18" s="250"/>
      <c r="AC18" s="250"/>
    </row>
    <row r="19" spans="1:29" s="248" customFormat="1" ht="48" customHeight="1" x14ac:dyDescent="0.25">
      <c r="A19" s="325">
        <v>47</v>
      </c>
      <c r="B19" s="325"/>
      <c r="C19" s="325"/>
      <c r="D19" s="325" t="s">
        <v>309</v>
      </c>
      <c r="E19" s="577" t="s">
        <v>8674</v>
      </c>
      <c r="F19" s="459">
        <v>16977</v>
      </c>
      <c r="G19" s="573">
        <v>16977</v>
      </c>
      <c r="H19" s="325" t="s">
        <v>773</v>
      </c>
      <c r="I19" s="325" t="s">
        <v>336</v>
      </c>
      <c r="J19" s="325" t="s">
        <v>308</v>
      </c>
      <c r="K19" s="325"/>
      <c r="L19" s="325"/>
      <c r="M19" s="325"/>
      <c r="N19" s="184"/>
      <c r="O19" s="326"/>
      <c r="P19" s="184"/>
      <c r="Q19" s="184"/>
      <c r="R19" s="184"/>
      <c r="S19" s="184"/>
      <c r="T19" s="184"/>
      <c r="U19" s="184"/>
      <c r="V19" s="184"/>
      <c r="W19" s="249"/>
      <c r="X19" s="249"/>
      <c r="Y19" s="249"/>
      <c r="Z19" s="250"/>
      <c r="AA19" s="250"/>
      <c r="AB19" s="250"/>
      <c r="AC19" s="250"/>
    </row>
    <row r="20" spans="1:29" s="248" customFormat="1" ht="12" customHeight="1" x14ac:dyDescent="0.25">
      <c r="A20" s="325">
        <v>48</v>
      </c>
      <c r="B20" s="325"/>
      <c r="C20" s="325"/>
      <c r="D20" s="325" t="s">
        <v>309</v>
      </c>
      <c r="E20" s="577" t="s">
        <v>8675</v>
      </c>
      <c r="F20" s="459">
        <v>17504</v>
      </c>
      <c r="G20" s="573">
        <v>17504</v>
      </c>
      <c r="H20" s="325" t="s">
        <v>774</v>
      </c>
      <c r="I20" s="325" t="s">
        <v>338</v>
      </c>
      <c r="J20" s="325" t="s">
        <v>313</v>
      </c>
      <c r="K20" s="325"/>
      <c r="L20" s="325"/>
      <c r="M20" s="325"/>
      <c r="N20" s="184"/>
      <c r="O20" s="326"/>
      <c r="P20" s="184"/>
      <c r="Q20" s="184"/>
      <c r="R20" s="184"/>
      <c r="S20" s="184"/>
      <c r="T20" s="184"/>
      <c r="U20" s="184"/>
      <c r="V20" s="184"/>
      <c r="W20" s="249"/>
      <c r="X20" s="249"/>
      <c r="Y20" s="249"/>
      <c r="Z20" s="250"/>
      <c r="AA20" s="250"/>
      <c r="AB20" s="250"/>
      <c r="AC20" s="250"/>
    </row>
    <row r="21" spans="1:29" s="248" customFormat="1" ht="12" customHeight="1" x14ac:dyDescent="0.25">
      <c r="A21" s="325">
        <v>45</v>
      </c>
      <c r="B21" s="325"/>
      <c r="C21" s="325"/>
      <c r="D21" s="325" t="s">
        <v>309</v>
      </c>
      <c r="E21" s="577" t="s">
        <v>8696</v>
      </c>
      <c r="F21" s="459">
        <v>16860</v>
      </c>
      <c r="G21" s="573">
        <v>16860</v>
      </c>
      <c r="H21" s="325" t="s">
        <v>769</v>
      </c>
      <c r="I21" s="325" t="s">
        <v>333</v>
      </c>
      <c r="J21" s="325" t="s">
        <v>313</v>
      </c>
      <c r="K21" s="325"/>
      <c r="L21" s="325"/>
      <c r="M21" s="325"/>
      <c r="N21" s="184"/>
      <c r="O21" s="326"/>
      <c r="P21" s="184"/>
      <c r="Q21" s="184"/>
      <c r="R21" s="184"/>
      <c r="S21" s="184"/>
      <c r="T21" s="184"/>
      <c r="U21" s="184"/>
      <c r="V21" s="184"/>
      <c r="W21" s="249"/>
      <c r="X21" s="249"/>
      <c r="Y21" s="249"/>
      <c r="Z21" s="250"/>
      <c r="AA21" s="250"/>
      <c r="AB21" s="250"/>
      <c r="AC21" s="250"/>
    </row>
    <row r="22" spans="1:29" ht="15" customHeight="1" x14ac:dyDescent="0.25">
      <c r="A22" s="325">
        <v>46</v>
      </c>
      <c r="B22" s="325"/>
      <c r="C22" s="325"/>
      <c r="D22" s="325" t="s">
        <v>309</v>
      </c>
      <c r="E22" s="577" t="s">
        <v>8697</v>
      </c>
      <c r="F22" s="459">
        <v>16860</v>
      </c>
      <c r="G22" s="573">
        <v>16860</v>
      </c>
      <c r="H22" s="325" t="s">
        <v>770</v>
      </c>
      <c r="I22" s="325" t="s">
        <v>334</v>
      </c>
      <c r="J22" s="325" t="s">
        <v>313</v>
      </c>
      <c r="K22" s="325"/>
      <c r="L22" s="325"/>
      <c r="M22" s="325"/>
      <c r="N22" s="184"/>
      <c r="O22" s="326"/>
      <c r="P22" s="184"/>
      <c r="Q22" s="184"/>
      <c r="R22" s="184"/>
      <c r="S22" s="184"/>
      <c r="T22" s="184"/>
      <c r="U22" s="184"/>
      <c r="V22" s="184"/>
    </row>
    <row r="23" spans="1:29" ht="15" customHeight="1" x14ac:dyDescent="0.25">
      <c r="A23" s="325">
        <v>49</v>
      </c>
      <c r="B23" s="325"/>
      <c r="C23" s="325"/>
      <c r="D23" s="325" t="s">
        <v>309</v>
      </c>
      <c r="E23" s="577" t="s">
        <v>8676</v>
      </c>
      <c r="F23" s="459">
        <v>17549</v>
      </c>
      <c r="G23" s="573">
        <v>17549</v>
      </c>
      <c r="H23" s="325" t="s">
        <v>775</v>
      </c>
      <c r="I23" s="325" t="s">
        <v>338</v>
      </c>
      <c r="J23" s="325" t="s">
        <v>313</v>
      </c>
      <c r="K23" s="325"/>
      <c r="L23" s="325"/>
      <c r="M23" s="325"/>
      <c r="N23" s="184"/>
      <c r="O23" s="326"/>
      <c r="P23" s="184"/>
      <c r="Q23" s="184"/>
      <c r="R23" s="184"/>
      <c r="S23" s="184"/>
      <c r="T23" s="184"/>
      <c r="U23" s="184"/>
      <c r="V23" s="184"/>
    </row>
    <row r="24" spans="1:29" ht="15" customHeight="1" x14ac:dyDescent="0.25">
      <c r="A24" s="325">
        <v>50</v>
      </c>
      <c r="B24" s="325"/>
      <c r="C24" s="325"/>
      <c r="D24" s="325" t="s">
        <v>309</v>
      </c>
      <c r="E24" s="577" t="s">
        <v>8677</v>
      </c>
      <c r="F24" s="459">
        <v>17566</v>
      </c>
      <c r="G24" s="573">
        <v>17566</v>
      </c>
      <c r="H24" s="325" t="s">
        <v>340</v>
      </c>
      <c r="I24" s="325" t="s">
        <v>341</v>
      </c>
      <c r="J24" s="325" t="s">
        <v>313</v>
      </c>
      <c r="K24" s="325"/>
      <c r="L24" s="325"/>
      <c r="M24" s="325"/>
      <c r="N24" s="184"/>
      <c r="O24" s="326"/>
      <c r="P24" s="184"/>
      <c r="Q24" s="184"/>
      <c r="R24" s="184"/>
      <c r="S24" s="184"/>
      <c r="T24" s="184"/>
      <c r="U24" s="184"/>
      <c r="V24" s="184"/>
    </row>
    <row r="25" spans="1:29" ht="15" customHeight="1" x14ac:dyDescent="0.25">
      <c r="A25" s="325">
        <v>51</v>
      </c>
      <c r="B25" s="325"/>
      <c r="C25" s="325"/>
      <c r="D25" s="325" t="s">
        <v>309</v>
      </c>
      <c r="E25" s="577" t="s">
        <v>8678</v>
      </c>
      <c r="F25" s="459">
        <v>18015</v>
      </c>
      <c r="G25" s="573">
        <v>18015</v>
      </c>
      <c r="H25" s="325" t="s">
        <v>769</v>
      </c>
      <c r="I25" s="325" t="s">
        <v>333</v>
      </c>
      <c r="J25" s="325" t="s">
        <v>313</v>
      </c>
      <c r="K25" s="325"/>
      <c r="L25" s="325"/>
      <c r="M25" s="325"/>
      <c r="N25" s="184"/>
      <c r="O25" s="326"/>
      <c r="P25" s="184"/>
      <c r="Q25" s="184"/>
      <c r="R25" s="184"/>
      <c r="S25" s="184"/>
      <c r="T25" s="184"/>
      <c r="U25" s="184"/>
      <c r="V25" s="184"/>
    </row>
    <row r="26" spans="1:29" ht="15" customHeight="1" x14ac:dyDescent="0.25">
      <c r="A26" s="325">
        <v>52</v>
      </c>
      <c r="B26" s="325"/>
      <c r="C26" s="325"/>
      <c r="D26" s="325" t="s">
        <v>309</v>
      </c>
      <c r="E26" s="577" t="s">
        <v>8679</v>
      </c>
      <c r="F26" s="459">
        <v>21495</v>
      </c>
      <c r="G26" s="573">
        <v>21495</v>
      </c>
      <c r="H26" s="325" t="s">
        <v>776</v>
      </c>
      <c r="I26" s="325" t="s">
        <v>343</v>
      </c>
      <c r="J26" s="325" t="s">
        <v>308</v>
      </c>
      <c r="K26" s="325"/>
      <c r="L26" s="325"/>
      <c r="M26" s="325"/>
      <c r="N26" s="184"/>
      <c r="O26" s="326"/>
      <c r="P26" s="184"/>
      <c r="Q26" s="184"/>
      <c r="R26" s="184"/>
      <c r="S26" s="184"/>
      <c r="T26" s="184"/>
      <c r="U26" s="184"/>
      <c r="V26" s="184"/>
    </row>
    <row r="27" spans="1:29" ht="15" customHeight="1" x14ac:dyDescent="0.25">
      <c r="A27" s="324">
        <v>2</v>
      </c>
      <c r="B27" s="324"/>
      <c r="C27" s="324"/>
      <c r="D27" s="324" t="s">
        <v>309</v>
      </c>
      <c r="E27" s="578" t="s">
        <v>8691</v>
      </c>
      <c r="F27" s="458">
        <v>6333</v>
      </c>
      <c r="G27" s="572">
        <v>6333</v>
      </c>
      <c r="H27" s="324" t="s">
        <v>310</v>
      </c>
      <c r="I27" s="324" t="s">
        <v>311</v>
      </c>
      <c r="J27" s="324" t="s">
        <v>308</v>
      </c>
      <c r="K27" s="324"/>
      <c r="L27" s="324"/>
      <c r="M27" s="324"/>
      <c r="N27" s="184"/>
      <c r="O27" s="184"/>
      <c r="P27" s="184"/>
      <c r="Q27" s="184"/>
      <c r="R27" s="184"/>
      <c r="S27" s="184"/>
      <c r="T27" s="184"/>
      <c r="U27" s="184"/>
      <c r="V27" s="184"/>
      <c r="W27" s="184"/>
      <c r="X27" s="184"/>
      <c r="Y27" s="184"/>
      <c r="Z27" s="184"/>
      <c r="AA27" s="184"/>
      <c r="AB27" s="184"/>
      <c r="AC27" s="184"/>
    </row>
    <row r="28" spans="1:29" ht="15" customHeight="1" x14ac:dyDescent="0.25">
      <c r="A28" s="324">
        <v>3</v>
      </c>
      <c r="B28" s="324"/>
      <c r="C28" s="324"/>
      <c r="D28" s="324" t="s">
        <v>309</v>
      </c>
      <c r="E28" s="578" t="s">
        <v>8692</v>
      </c>
      <c r="F28" s="458">
        <v>6333</v>
      </c>
      <c r="G28" s="572">
        <v>6333</v>
      </c>
      <c r="H28" s="324" t="s">
        <v>312</v>
      </c>
      <c r="I28" s="324" t="s">
        <v>311</v>
      </c>
      <c r="J28" s="324" t="s">
        <v>313</v>
      </c>
      <c r="K28" s="324"/>
      <c r="L28" s="324"/>
      <c r="M28" s="324"/>
      <c r="N28" s="184"/>
      <c r="O28" s="184"/>
      <c r="P28" s="184"/>
      <c r="Q28" s="184"/>
      <c r="R28" s="184"/>
      <c r="S28" s="184"/>
      <c r="T28" s="184"/>
      <c r="U28" s="184"/>
      <c r="V28" s="184"/>
      <c r="W28" s="184"/>
      <c r="X28" s="184"/>
      <c r="Y28" s="184"/>
      <c r="Z28" s="184"/>
      <c r="AA28" s="184"/>
      <c r="AB28" s="184"/>
      <c r="AC28" s="184"/>
    </row>
    <row r="29" spans="1:29" s="184" customFormat="1" ht="25.5" customHeight="1" x14ac:dyDescent="0.25">
      <c r="A29" s="324">
        <v>6</v>
      </c>
      <c r="B29" s="324"/>
      <c r="C29" s="324"/>
      <c r="D29" s="324" t="s">
        <v>309</v>
      </c>
      <c r="E29" s="578" t="s">
        <v>8662</v>
      </c>
      <c r="F29" s="458">
        <v>7090</v>
      </c>
      <c r="G29" s="572">
        <v>7090</v>
      </c>
      <c r="H29" s="324" t="s">
        <v>317</v>
      </c>
      <c r="I29" s="324" t="s">
        <v>318</v>
      </c>
      <c r="J29" s="324" t="s">
        <v>313</v>
      </c>
      <c r="K29" s="324"/>
      <c r="L29" s="324"/>
      <c r="M29" s="324"/>
    </row>
    <row r="30" spans="1:29" s="184" customFormat="1" ht="25.5" customHeight="1" x14ac:dyDescent="0.25">
      <c r="A30" s="324">
        <v>7</v>
      </c>
      <c r="B30" s="324"/>
      <c r="C30" s="324"/>
      <c r="D30" s="324" t="s">
        <v>309</v>
      </c>
      <c r="E30" s="578" t="s">
        <v>8663</v>
      </c>
      <c r="F30" s="458">
        <v>7116</v>
      </c>
      <c r="G30" s="572">
        <v>7116</v>
      </c>
      <c r="H30" s="324" t="s">
        <v>319</v>
      </c>
      <c r="I30" s="324" t="s">
        <v>320</v>
      </c>
      <c r="J30" s="324" t="s">
        <v>313</v>
      </c>
      <c r="K30" s="324"/>
      <c r="L30" s="324"/>
      <c r="M30" s="324"/>
    </row>
    <row r="31" spans="1:29" s="184" customFormat="1" ht="25.5" customHeight="1" x14ac:dyDescent="0.25">
      <c r="A31" s="324">
        <v>8</v>
      </c>
      <c r="B31" s="324"/>
      <c r="C31" s="324"/>
      <c r="D31" s="324" t="s">
        <v>309</v>
      </c>
      <c r="E31" s="578" t="s">
        <v>8664</v>
      </c>
      <c r="F31" s="458">
        <v>7341</v>
      </c>
      <c r="G31" s="572">
        <v>7341</v>
      </c>
      <c r="H31" s="324" t="s">
        <v>321</v>
      </c>
      <c r="I31" s="324" t="s">
        <v>322</v>
      </c>
      <c r="J31" s="324" t="s">
        <v>308</v>
      </c>
      <c r="K31" s="324"/>
      <c r="L31" s="324"/>
      <c r="M31" s="324"/>
    </row>
    <row r="32" spans="1:29" s="184" customFormat="1" ht="25.5" customHeight="1" x14ac:dyDescent="0.25">
      <c r="A32" s="325">
        <v>53</v>
      </c>
      <c r="B32" s="325"/>
      <c r="C32" s="325"/>
      <c r="D32" s="325" t="s">
        <v>309</v>
      </c>
      <c r="E32" s="577" t="s">
        <v>8680</v>
      </c>
      <c r="F32" s="459">
        <v>22761</v>
      </c>
      <c r="G32" s="573">
        <v>22761</v>
      </c>
      <c r="H32" s="325" t="s">
        <v>777</v>
      </c>
      <c r="I32" s="325" t="s">
        <v>346</v>
      </c>
      <c r="J32" s="325" t="s">
        <v>308</v>
      </c>
      <c r="K32" s="325"/>
      <c r="L32" s="325"/>
      <c r="M32" s="325"/>
      <c r="O32" s="326"/>
      <c r="W32" s="249"/>
      <c r="X32" s="249"/>
      <c r="Y32" s="249"/>
      <c r="Z32" s="250"/>
      <c r="AA32" s="250"/>
      <c r="AB32" s="250"/>
      <c r="AC32" s="250"/>
    </row>
    <row r="33" spans="1:29" s="184" customFormat="1" ht="25.5" customHeight="1" x14ac:dyDescent="0.25">
      <c r="A33" s="325">
        <v>54</v>
      </c>
      <c r="B33" s="325"/>
      <c r="C33" s="325"/>
      <c r="D33" s="325" t="s">
        <v>309</v>
      </c>
      <c r="E33" s="577" t="s">
        <v>8681</v>
      </c>
      <c r="F33" s="459">
        <v>22761</v>
      </c>
      <c r="G33" s="573">
        <v>22761</v>
      </c>
      <c r="H33" s="325" t="s">
        <v>778</v>
      </c>
      <c r="I33" s="325" t="s">
        <v>346</v>
      </c>
      <c r="J33" s="325" t="s">
        <v>308</v>
      </c>
      <c r="K33" s="325"/>
      <c r="L33" s="325"/>
      <c r="M33" s="325"/>
      <c r="O33" s="326"/>
      <c r="W33" s="249"/>
      <c r="X33" s="249"/>
      <c r="Y33" s="249"/>
      <c r="Z33" s="250"/>
      <c r="AA33" s="250"/>
      <c r="AB33" s="250"/>
      <c r="AC33" s="250"/>
    </row>
    <row r="34" spans="1:29" s="184" customFormat="1" ht="25.5" customHeight="1" x14ac:dyDescent="0.25">
      <c r="A34" s="325">
        <v>55</v>
      </c>
      <c r="B34" s="325"/>
      <c r="C34" s="325"/>
      <c r="D34" s="325" t="s">
        <v>309</v>
      </c>
      <c r="E34" s="577" t="s">
        <v>8682</v>
      </c>
      <c r="F34" s="459">
        <v>22761</v>
      </c>
      <c r="G34" s="573">
        <v>22761</v>
      </c>
      <c r="H34" s="325" t="s">
        <v>340</v>
      </c>
      <c r="I34" s="325" t="s">
        <v>346</v>
      </c>
      <c r="J34" s="325" t="s">
        <v>308</v>
      </c>
      <c r="K34" s="325"/>
      <c r="L34" s="325"/>
      <c r="M34" s="325"/>
      <c r="O34" s="326"/>
      <c r="W34" s="249"/>
      <c r="X34" s="249"/>
      <c r="Y34" s="249"/>
      <c r="Z34" s="250"/>
      <c r="AA34" s="250"/>
      <c r="AB34" s="250"/>
      <c r="AC34" s="250"/>
    </row>
    <row r="35" spans="1:29" s="184" customFormat="1" ht="25.5" customHeight="1" x14ac:dyDescent="0.25">
      <c r="A35" s="325">
        <v>56</v>
      </c>
      <c r="B35" s="325"/>
      <c r="C35" s="325"/>
      <c r="D35" s="325" t="s">
        <v>309</v>
      </c>
      <c r="E35" s="577" t="s">
        <v>8683</v>
      </c>
      <c r="F35" s="459">
        <v>22761</v>
      </c>
      <c r="G35" s="573">
        <v>22761</v>
      </c>
      <c r="H35" s="325" t="s">
        <v>779</v>
      </c>
      <c r="I35" s="325" t="s">
        <v>346</v>
      </c>
      <c r="J35" s="325" t="s">
        <v>308</v>
      </c>
      <c r="K35" s="325"/>
      <c r="L35" s="325"/>
      <c r="M35" s="325"/>
      <c r="O35" s="326"/>
      <c r="W35" s="249"/>
      <c r="X35" s="249"/>
      <c r="Y35" s="249"/>
      <c r="Z35" s="250"/>
      <c r="AA35" s="250"/>
      <c r="AB35" s="250"/>
      <c r="AC35" s="250"/>
    </row>
    <row r="36" spans="1:29" s="184" customFormat="1" ht="25.5" customHeight="1" x14ac:dyDescent="0.25">
      <c r="A36" s="325">
        <v>57</v>
      </c>
      <c r="B36" s="325"/>
      <c r="C36" s="325"/>
      <c r="D36" s="325" t="s">
        <v>309</v>
      </c>
      <c r="E36" s="577" t="s">
        <v>8684</v>
      </c>
      <c r="F36" s="459">
        <v>22761</v>
      </c>
      <c r="G36" s="573">
        <v>22761</v>
      </c>
      <c r="H36" s="325" t="s">
        <v>780</v>
      </c>
      <c r="I36" s="325" t="s">
        <v>346</v>
      </c>
      <c r="J36" s="325" t="s">
        <v>313</v>
      </c>
      <c r="K36" s="325"/>
      <c r="L36" s="325"/>
      <c r="M36" s="325"/>
      <c r="O36" s="326"/>
      <c r="W36" s="249"/>
      <c r="X36" s="249"/>
      <c r="Y36" s="249"/>
      <c r="Z36" s="250"/>
      <c r="AA36" s="250"/>
      <c r="AB36" s="250"/>
      <c r="AC36" s="250"/>
    </row>
    <row r="37" spans="1:29" s="184" customFormat="1" ht="25.5" customHeight="1" x14ac:dyDescent="0.25">
      <c r="A37" s="325">
        <v>58</v>
      </c>
      <c r="B37" s="325"/>
      <c r="C37" s="325"/>
      <c r="D37" s="325" t="s">
        <v>309</v>
      </c>
      <c r="E37" s="577" t="s">
        <v>8685</v>
      </c>
      <c r="F37" s="459">
        <v>22761</v>
      </c>
      <c r="G37" s="573">
        <v>22761</v>
      </c>
      <c r="H37" s="325" t="s">
        <v>780</v>
      </c>
      <c r="I37" s="325" t="s">
        <v>346</v>
      </c>
      <c r="J37" s="325" t="s">
        <v>313</v>
      </c>
      <c r="K37" s="325"/>
      <c r="L37" s="325"/>
      <c r="M37" s="325"/>
      <c r="O37" s="326"/>
      <c r="W37" s="249"/>
      <c r="X37" s="249"/>
      <c r="Y37" s="249"/>
      <c r="Z37" s="250"/>
      <c r="AA37" s="250"/>
      <c r="AB37" s="250"/>
      <c r="AC37" s="250"/>
    </row>
    <row r="38" spans="1:29" s="184" customFormat="1" ht="25.5" customHeight="1" x14ac:dyDescent="0.25">
      <c r="A38" s="325">
        <v>59</v>
      </c>
      <c r="B38" s="325"/>
      <c r="C38" s="325"/>
      <c r="D38" s="325" t="s">
        <v>309</v>
      </c>
      <c r="E38" s="577" t="s">
        <v>8686</v>
      </c>
      <c r="F38" s="459">
        <v>22816</v>
      </c>
      <c r="G38" s="573">
        <v>22816</v>
      </c>
      <c r="H38" s="325" t="s">
        <v>780</v>
      </c>
      <c r="I38" s="325" t="s">
        <v>346</v>
      </c>
      <c r="J38" s="325" t="s">
        <v>313</v>
      </c>
      <c r="K38" s="325"/>
      <c r="L38" s="325"/>
      <c r="M38" s="325"/>
      <c r="O38" s="326"/>
      <c r="W38" s="249"/>
      <c r="X38" s="249"/>
      <c r="Y38" s="249"/>
      <c r="Z38" s="250"/>
      <c r="AA38" s="250"/>
      <c r="AB38" s="250"/>
      <c r="AC38" s="250"/>
    </row>
    <row r="39" spans="1:29" s="184" customFormat="1" ht="25.5" customHeight="1" x14ac:dyDescent="0.25">
      <c r="A39" s="325">
        <v>60</v>
      </c>
      <c r="B39" s="325"/>
      <c r="C39" s="325"/>
      <c r="D39" s="325" t="s">
        <v>309</v>
      </c>
      <c r="E39" s="577" t="s">
        <v>8687</v>
      </c>
      <c r="F39" s="459">
        <v>22816</v>
      </c>
      <c r="G39" s="573">
        <v>22816</v>
      </c>
      <c r="H39" s="325" t="s">
        <v>780</v>
      </c>
      <c r="I39" s="325" t="s">
        <v>346</v>
      </c>
      <c r="J39" s="325" t="s">
        <v>313</v>
      </c>
      <c r="K39" s="325"/>
      <c r="L39" s="325"/>
      <c r="M39" s="325"/>
      <c r="O39" s="326"/>
      <c r="W39" s="249"/>
      <c r="X39" s="249"/>
      <c r="Y39" s="249"/>
      <c r="Z39" s="250"/>
      <c r="AA39" s="250"/>
      <c r="AB39" s="250"/>
      <c r="AC39" s="250"/>
    </row>
    <row r="40" spans="1:29" s="184" customFormat="1" ht="25.5" customHeight="1" x14ac:dyDescent="0.25">
      <c r="A40" s="325">
        <v>61</v>
      </c>
      <c r="B40" s="325"/>
      <c r="C40" s="325"/>
      <c r="D40" s="325" t="s">
        <v>309</v>
      </c>
      <c r="E40" s="577" t="s">
        <v>8688</v>
      </c>
      <c r="F40" s="459">
        <v>22906</v>
      </c>
      <c r="G40" s="573">
        <v>22906</v>
      </c>
      <c r="H40" s="325" t="s">
        <v>781</v>
      </c>
      <c r="I40" s="325" t="s">
        <v>359</v>
      </c>
      <c r="J40" s="325" t="s">
        <v>308</v>
      </c>
      <c r="K40" s="325"/>
      <c r="L40" s="325"/>
      <c r="M40" s="325"/>
      <c r="O40" s="326"/>
      <c r="W40" s="249"/>
      <c r="X40" s="249"/>
      <c r="Y40" s="249"/>
      <c r="Z40" s="250"/>
      <c r="AA40" s="250"/>
      <c r="AB40" s="250"/>
      <c r="AC40" s="250"/>
    </row>
    <row r="41" spans="1:29" s="184" customFormat="1" ht="25.5" customHeight="1" x14ac:dyDescent="0.25">
      <c r="A41" s="325">
        <v>62</v>
      </c>
      <c r="B41" s="325"/>
      <c r="C41" s="325"/>
      <c r="D41" s="325" t="s">
        <v>309</v>
      </c>
      <c r="E41" s="577" t="s">
        <v>8689</v>
      </c>
      <c r="F41" s="459">
        <v>22913</v>
      </c>
      <c r="G41" s="573">
        <v>22913</v>
      </c>
      <c r="H41" s="325" t="s">
        <v>782</v>
      </c>
      <c r="I41" s="325" t="s">
        <v>362</v>
      </c>
      <c r="J41" s="325" t="s">
        <v>313</v>
      </c>
      <c r="K41" s="325"/>
      <c r="L41" s="325"/>
      <c r="M41" s="325"/>
      <c r="O41" s="326"/>
      <c r="W41" s="249"/>
      <c r="X41" s="249"/>
      <c r="Y41" s="249"/>
      <c r="Z41" s="250"/>
      <c r="AA41" s="250"/>
      <c r="AB41" s="250"/>
      <c r="AC41" s="250"/>
    </row>
    <row r="42" spans="1:29" s="184" customFormat="1" ht="25.5" customHeight="1" x14ac:dyDescent="0.25">
      <c r="A42" s="324">
        <v>4</v>
      </c>
      <c r="B42" s="324"/>
      <c r="C42" s="324"/>
      <c r="D42" s="324" t="s">
        <v>309</v>
      </c>
      <c r="E42" s="578" t="s">
        <v>8665</v>
      </c>
      <c r="F42" s="458">
        <v>6399</v>
      </c>
      <c r="G42" s="572">
        <v>6399</v>
      </c>
      <c r="H42" s="324" t="s">
        <v>314</v>
      </c>
      <c r="I42" s="324" t="s">
        <v>315</v>
      </c>
      <c r="J42" s="324" t="s">
        <v>313</v>
      </c>
      <c r="K42" s="324"/>
      <c r="L42" s="324"/>
      <c r="M42" s="324"/>
    </row>
    <row r="43" spans="1:29" s="184" customFormat="1" ht="25.5" customHeight="1" x14ac:dyDescent="0.25">
      <c r="A43" s="324">
        <v>5</v>
      </c>
      <c r="B43" s="324"/>
      <c r="C43" s="324"/>
      <c r="D43" s="324" t="s">
        <v>309</v>
      </c>
      <c r="E43" s="578" t="s">
        <v>8666</v>
      </c>
      <c r="F43" s="458">
        <v>6399</v>
      </c>
      <c r="G43" s="572">
        <v>6399</v>
      </c>
      <c r="H43" s="324" t="s">
        <v>316</v>
      </c>
      <c r="I43" s="324" t="s">
        <v>315</v>
      </c>
      <c r="J43" s="324" t="s">
        <v>313</v>
      </c>
      <c r="K43" s="324"/>
      <c r="L43" s="324"/>
      <c r="M43" s="324"/>
    </row>
    <row r="44" spans="1:29" s="184" customFormat="1" ht="114.75" customHeight="1" x14ac:dyDescent="0.25">
      <c r="A44" s="324">
        <v>9</v>
      </c>
      <c r="B44" s="324"/>
      <c r="C44" s="324"/>
      <c r="D44" s="324" t="s">
        <v>309</v>
      </c>
      <c r="E44" s="578" t="s">
        <v>8667</v>
      </c>
      <c r="F44" s="458">
        <v>8513</v>
      </c>
      <c r="G44" s="572">
        <v>8513</v>
      </c>
      <c r="H44" s="324" t="s">
        <v>323</v>
      </c>
      <c r="I44" s="324" t="s">
        <v>324</v>
      </c>
      <c r="J44" s="324" t="s">
        <v>313</v>
      </c>
      <c r="K44" s="324"/>
      <c r="L44" s="324"/>
      <c r="M44" s="324"/>
    </row>
    <row r="45" spans="1:29" s="184" customFormat="1" ht="25.5" customHeight="1" x14ac:dyDescent="0.25">
      <c r="A45" s="325">
        <v>63</v>
      </c>
      <c r="B45" s="325"/>
      <c r="C45" s="325"/>
      <c r="D45" s="325" t="s">
        <v>309</v>
      </c>
      <c r="E45" s="577" t="s">
        <v>8690</v>
      </c>
      <c r="F45" s="459">
        <v>24512</v>
      </c>
      <c r="G45" s="573">
        <v>24512</v>
      </c>
      <c r="H45" s="325" t="s">
        <v>783</v>
      </c>
      <c r="I45" s="325" t="s">
        <v>365</v>
      </c>
      <c r="J45" s="325" t="s">
        <v>313</v>
      </c>
      <c r="K45" s="325"/>
      <c r="L45" s="325"/>
      <c r="M45" s="325"/>
      <c r="O45" s="326"/>
      <c r="W45" s="249"/>
      <c r="X45" s="249"/>
      <c r="Y45" s="249"/>
      <c r="Z45" s="250"/>
      <c r="AA45" s="250"/>
      <c r="AB45" s="250"/>
      <c r="AC45" s="250"/>
    </row>
    <row r="46" spans="1:29" s="184" customFormat="1" ht="25.5" customHeight="1" x14ac:dyDescent="0.25">
      <c r="A46" s="324">
        <v>10</v>
      </c>
      <c r="B46" s="324"/>
      <c r="C46" s="324"/>
      <c r="D46" s="324" t="s">
        <v>309</v>
      </c>
      <c r="E46" s="578" t="s">
        <v>8668</v>
      </c>
      <c r="F46" s="458">
        <v>11164</v>
      </c>
      <c r="G46" s="572">
        <v>11164</v>
      </c>
      <c r="H46" s="324" t="s">
        <v>325</v>
      </c>
      <c r="I46" s="324" t="s">
        <v>326</v>
      </c>
      <c r="J46" s="324" t="s">
        <v>308</v>
      </c>
      <c r="K46" s="324"/>
      <c r="L46" s="324"/>
      <c r="M46" s="324"/>
    </row>
    <row r="47" spans="1:29" s="184" customFormat="1" ht="25.5" customHeight="1" x14ac:dyDescent="0.25">
      <c r="A47" s="324">
        <v>12</v>
      </c>
      <c r="B47" s="324"/>
      <c r="C47" s="324"/>
      <c r="D47" s="324" t="s">
        <v>309</v>
      </c>
      <c r="E47" s="578" t="s">
        <v>8693</v>
      </c>
      <c r="F47" s="458">
        <v>11177</v>
      </c>
      <c r="G47" s="572">
        <v>11177</v>
      </c>
      <c r="H47" s="324" t="s">
        <v>328</v>
      </c>
      <c r="I47" s="324" t="s">
        <v>326</v>
      </c>
      <c r="J47" s="324" t="s">
        <v>313</v>
      </c>
      <c r="K47" s="324"/>
      <c r="L47" s="324"/>
      <c r="M47" s="324"/>
    </row>
    <row r="48" spans="1:29" s="184" customFormat="1" ht="25.5" customHeight="1" x14ac:dyDescent="0.25">
      <c r="A48" s="324">
        <v>11</v>
      </c>
      <c r="B48" s="324"/>
      <c r="C48" s="324"/>
      <c r="D48" s="324" t="s">
        <v>309</v>
      </c>
      <c r="E48" s="578" t="s">
        <v>8694</v>
      </c>
      <c r="F48" s="458">
        <v>11174</v>
      </c>
      <c r="G48" s="572">
        <v>11174</v>
      </c>
      <c r="H48" s="324" t="s">
        <v>327</v>
      </c>
      <c r="I48" s="324" t="s">
        <v>326</v>
      </c>
      <c r="J48" s="324" t="s">
        <v>313</v>
      </c>
      <c r="K48" s="324"/>
      <c r="L48" s="324"/>
      <c r="M48" s="324"/>
    </row>
    <row r="49" spans="1:29" s="184" customFormat="1" ht="38.25" customHeight="1" x14ac:dyDescent="0.25">
      <c r="A49" s="324">
        <v>13</v>
      </c>
      <c r="B49" s="324"/>
      <c r="C49" s="324"/>
      <c r="D49" s="324" t="s">
        <v>309</v>
      </c>
      <c r="E49" s="578" t="s">
        <v>8695</v>
      </c>
      <c r="F49" s="458">
        <v>11223</v>
      </c>
      <c r="G49" s="572">
        <v>11223</v>
      </c>
      <c r="H49" s="324" t="s">
        <v>329</v>
      </c>
      <c r="I49" s="324" t="s">
        <v>326</v>
      </c>
      <c r="J49" s="324" t="s">
        <v>313</v>
      </c>
      <c r="K49" s="324"/>
      <c r="L49" s="324"/>
      <c r="M49" s="324"/>
    </row>
    <row r="50" spans="1:29" s="184" customFormat="1" ht="25.5" customHeight="1" x14ac:dyDescent="0.25">
      <c r="A50" s="324">
        <v>14</v>
      </c>
      <c r="B50" s="324"/>
      <c r="C50" s="324"/>
      <c r="D50" s="324" t="s">
        <v>309</v>
      </c>
      <c r="E50" s="578" t="s">
        <v>8669</v>
      </c>
      <c r="F50" s="458">
        <v>11260</v>
      </c>
      <c r="G50" s="572">
        <v>11260</v>
      </c>
      <c r="H50" s="324" t="s">
        <v>330</v>
      </c>
      <c r="I50" s="324" t="s">
        <v>326</v>
      </c>
      <c r="J50" s="324" t="s">
        <v>313</v>
      </c>
      <c r="K50" s="324"/>
      <c r="L50" s="324"/>
      <c r="M50" s="324"/>
    </row>
    <row r="51" spans="1:29" s="184" customFormat="1" ht="25.5" customHeight="1" x14ac:dyDescent="0.25">
      <c r="A51" s="324">
        <v>15</v>
      </c>
      <c r="B51" s="324"/>
      <c r="C51" s="324"/>
      <c r="D51" s="324" t="s">
        <v>309</v>
      </c>
      <c r="E51" s="578" t="s">
        <v>8670</v>
      </c>
      <c r="F51" s="458">
        <v>11272</v>
      </c>
      <c r="G51" s="572">
        <v>11272</v>
      </c>
      <c r="H51" s="324" t="s">
        <v>331</v>
      </c>
      <c r="I51" s="324" t="s">
        <v>326</v>
      </c>
      <c r="J51" s="324" t="s">
        <v>313</v>
      </c>
      <c r="K51" s="324"/>
      <c r="L51" s="324"/>
      <c r="M51" s="324"/>
    </row>
    <row r="52" spans="1:29" s="184" customFormat="1" ht="25.5" customHeight="1" x14ac:dyDescent="0.25">
      <c r="A52" s="324">
        <v>16</v>
      </c>
      <c r="B52" s="324"/>
      <c r="C52" s="324"/>
      <c r="D52" s="324" t="s">
        <v>309</v>
      </c>
      <c r="E52" s="578" t="s">
        <v>8671</v>
      </c>
      <c r="F52" s="458">
        <v>11279</v>
      </c>
      <c r="G52" s="572">
        <v>11279</v>
      </c>
      <c r="H52" s="324" t="s">
        <v>332</v>
      </c>
      <c r="I52" s="324" t="s">
        <v>326</v>
      </c>
      <c r="J52" s="324" t="s">
        <v>313</v>
      </c>
      <c r="K52" s="324"/>
      <c r="L52" s="324"/>
      <c r="M52" s="324"/>
    </row>
    <row r="53" spans="1:29" s="184" customFormat="1" ht="25.5" customHeight="1" x14ac:dyDescent="0.25">
      <c r="A53" s="324">
        <v>17</v>
      </c>
      <c r="B53" s="324"/>
      <c r="C53" s="324"/>
      <c r="D53" s="324" t="s">
        <v>309</v>
      </c>
      <c r="E53" s="578" t="s">
        <v>8672</v>
      </c>
      <c r="F53" s="458">
        <v>11364</v>
      </c>
      <c r="G53" s="572">
        <v>11364</v>
      </c>
      <c r="H53" s="324" t="s">
        <v>331</v>
      </c>
      <c r="I53" s="324" t="s">
        <v>326</v>
      </c>
      <c r="J53" s="324" t="s">
        <v>313</v>
      </c>
      <c r="K53" s="324"/>
      <c r="L53" s="324"/>
      <c r="M53" s="324"/>
    </row>
    <row r="54" spans="1:29" s="184" customFormat="1" ht="25.5" customHeight="1" x14ac:dyDescent="0.25">
      <c r="A54" s="324">
        <v>20</v>
      </c>
      <c r="B54" s="324"/>
      <c r="C54" s="324"/>
      <c r="D54" s="324" t="s">
        <v>309</v>
      </c>
      <c r="E54" s="578" t="s">
        <v>8674</v>
      </c>
      <c r="F54" s="458">
        <v>16977</v>
      </c>
      <c r="G54" s="572">
        <v>16977</v>
      </c>
      <c r="H54" s="324" t="s">
        <v>335</v>
      </c>
      <c r="I54" s="324" t="s">
        <v>336</v>
      </c>
      <c r="J54" s="324" t="s">
        <v>308</v>
      </c>
      <c r="K54" s="324"/>
      <c r="L54" s="324"/>
      <c r="M54" s="324"/>
    </row>
    <row r="55" spans="1:29" s="184" customFormat="1" ht="25.5" customHeight="1" x14ac:dyDescent="0.25">
      <c r="A55" s="324">
        <v>21</v>
      </c>
      <c r="B55" s="324"/>
      <c r="C55" s="324"/>
      <c r="D55" s="324" t="s">
        <v>309</v>
      </c>
      <c r="E55" s="578" t="s">
        <v>8675</v>
      </c>
      <c r="F55" s="458">
        <v>17504</v>
      </c>
      <c r="G55" s="572">
        <v>17504</v>
      </c>
      <c r="H55" s="324" t="s">
        <v>337</v>
      </c>
      <c r="I55" s="324" t="s">
        <v>338</v>
      </c>
      <c r="J55" s="324" t="s">
        <v>313</v>
      </c>
      <c r="K55" s="324"/>
      <c r="L55" s="324"/>
      <c r="M55" s="324"/>
    </row>
    <row r="56" spans="1:29" s="184" customFormat="1" ht="25.5" customHeight="1" x14ac:dyDescent="0.25">
      <c r="A56" s="324">
        <v>18</v>
      </c>
      <c r="B56" s="324"/>
      <c r="C56" s="324"/>
      <c r="D56" s="324" t="s">
        <v>309</v>
      </c>
      <c r="E56" s="578" t="s">
        <v>8696</v>
      </c>
      <c r="F56" s="458">
        <v>16860</v>
      </c>
      <c r="G56" s="572">
        <v>16860</v>
      </c>
      <c r="H56" s="324" t="s">
        <v>327</v>
      </c>
      <c r="I56" s="324" t="s">
        <v>333</v>
      </c>
      <c r="J56" s="324" t="s">
        <v>313</v>
      </c>
      <c r="K56" s="324"/>
      <c r="L56" s="324"/>
      <c r="M56" s="324"/>
    </row>
    <row r="57" spans="1:29" s="184" customFormat="1" ht="25.5" customHeight="1" x14ac:dyDescent="0.25">
      <c r="A57" s="324">
        <v>19</v>
      </c>
      <c r="B57" s="324"/>
      <c r="C57" s="324"/>
      <c r="D57" s="324" t="s">
        <v>309</v>
      </c>
      <c r="E57" s="578" t="s">
        <v>8697</v>
      </c>
      <c r="F57" s="458">
        <v>16860</v>
      </c>
      <c r="G57" s="572">
        <v>16860</v>
      </c>
      <c r="H57" s="324" t="s">
        <v>329</v>
      </c>
      <c r="I57" s="324" t="s">
        <v>334</v>
      </c>
      <c r="J57" s="324" t="s">
        <v>313</v>
      </c>
      <c r="K57" s="324"/>
      <c r="L57" s="324"/>
      <c r="M57" s="324"/>
    </row>
    <row r="58" spans="1:29" s="184" customFormat="1" ht="25.5" customHeight="1" x14ac:dyDescent="0.25">
      <c r="A58" s="324">
        <v>22</v>
      </c>
      <c r="B58" s="324"/>
      <c r="C58" s="324"/>
      <c r="D58" s="324" t="s">
        <v>309</v>
      </c>
      <c r="E58" s="578" t="s">
        <v>8676</v>
      </c>
      <c r="F58" s="458">
        <v>17549</v>
      </c>
      <c r="G58" s="572">
        <v>17549</v>
      </c>
      <c r="H58" s="324" t="s">
        <v>339</v>
      </c>
      <c r="I58" s="324" t="s">
        <v>338</v>
      </c>
      <c r="J58" s="324" t="s">
        <v>313</v>
      </c>
      <c r="K58" s="324"/>
      <c r="L58" s="324"/>
      <c r="M58" s="324"/>
    </row>
    <row r="59" spans="1:29" s="184" customFormat="1" ht="25.5" customHeight="1" x14ac:dyDescent="0.25">
      <c r="A59" s="324">
        <v>23</v>
      </c>
      <c r="B59" s="324"/>
      <c r="C59" s="324"/>
      <c r="D59" s="324" t="s">
        <v>309</v>
      </c>
      <c r="E59" s="578" t="s">
        <v>8677</v>
      </c>
      <c r="F59" s="458">
        <v>17566</v>
      </c>
      <c r="G59" s="572">
        <v>17566</v>
      </c>
      <c r="H59" s="324" t="s">
        <v>340</v>
      </c>
      <c r="I59" s="324" t="s">
        <v>341</v>
      </c>
      <c r="J59" s="324" t="s">
        <v>313</v>
      </c>
      <c r="K59" s="324"/>
      <c r="L59" s="324"/>
      <c r="M59" s="324"/>
    </row>
    <row r="60" spans="1:29" s="184" customFormat="1" ht="25.5" customHeight="1" x14ac:dyDescent="0.25">
      <c r="A60" s="325">
        <v>64</v>
      </c>
      <c r="B60" s="325"/>
      <c r="C60" s="325"/>
      <c r="D60" s="325" t="s">
        <v>309</v>
      </c>
      <c r="E60" s="577" t="s">
        <v>1486</v>
      </c>
      <c r="F60" s="459">
        <v>25743</v>
      </c>
      <c r="G60" s="573">
        <v>25743</v>
      </c>
      <c r="H60" s="325" t="s">
        <v>785</v>
      </c>
      <c r="I60" s="325" t="s">
        <v>367</v>
      </c>
      <c r="J60" s="325" t="s">
        <v>308</v>
      </c>
      <c r="K60" s="325"/>
      <c r="L60" s="325"/>
      <c r="M60" s="325"/>
      <c r="O60" s="326"/>
      <c r="W60" s="249"/>
      <c r="X60" s="249"/>
      <c r="Y60" s="249"/>
      <c r="Z60" s="250"/>
      <c r="AA60" s="250"/>
      <c r="AB60" s="250"/>
      <c r="AC60" s="250"/>
    </row>
    <row r="61" spans="1:29" s="184" customFormat="1" ht="25.5" customHeight="1" x14ac:dyDescent="0.25">
      <c r="A61" s="325">
        <v>65</v>
      </c>
      <c r="B61" s="325"/>
      <c r="C61" s="325"/>
      <c r="D61" s="325" t="s">
        <v>309</v>
      </c>
      <c r="E61" s="577" t="s">
        <v>1489</v>
      </c>
      <c r="F61" s="459">
        <v>25829</v>
      </c>
      <c r="G61" s="573">
        <v>25829</v>
      </c>
      <c r="H61" s="325" t="s">
        <v>340</v>
      </c>
      <c r="I61" s="325" t="s">
        <v>787</v>
      </c>
      <c r="J61" s="325" t="s">
        <v>308</v>
      </c>
      <c r="K61" s="325"/>
      <c r="L61" s="325"/>
      <c r="M61" s="325"/>
      <c r="O61" s="326"/>
      <c r="W61" s="249"/>
      <c r="X61" s="249"/>
      <c r="Y61" s="249"/>
      <c r="Z61" s="250"/>
      <c r="AA61" s="250"/>
      <c r="AB61" s="250"/>
      <c r="AC61" s="250"/>
    </row>
    <row r="62" spans="1:29" s="184" customFormat="1" ht="25.5" customHeight="1" x14ac:dyDescent="0.25">
      <c r="A62" s="325">
        <v>66</v>
      </c>
      <c r="B62" s="325"/>
      <c r="C62" s="325"/>
      <c r="D62" s="325" t="s">
        <v>309</v>
      </c>
      <c r="E62" s="577" t="s">
        <v>1491</v>
      </c>
      <c r="F62" s="459">
        <v>25829</v>
      </c>
      <c r="G62" s="573">
        <v>25829</v>
      </c>
      <c r="H62" s="325" t="s">
        <v>789</v>
      </c>
      <c r="I62" s="325" t="s">
        <v>787</v>
      </c>
      <c r="J62" s="325" t="s">
        <v>308</v>
      </c>
      <c r="K62" s="325"/>
      <c r="L62" s="325"/>
      <c r="M62" s="325"/>
      <c r="O62" s="326"/>
      <c r="W62" s="249"/>
      <c r="X62" s="249"/>
      <c r="Y62" s="249"/>
      <c r="Z62" s="250"/>
      <c r="AA62" s="250"/>
      <c r="AB62" s="250"/>
      <c r="AC62" s="250"/>
    </row>
    <row r="63" spans="1:29" s="184" customFormat="1" ht="25.5" customHeight="1" x14ac:dyDescent="0.25">
      <c r="A63" s="325">
        <v>67</v>
      </c>
      <c r="B63" s="325"/>
      <c r="C63" s="325"/>
      <c r="D63" s="325" t="s">
        <v>309</v>
      </c>
      <c r="E63" s="577" t="s">
        <v>1494</v>
      </c>
      <c r="F63" s="459">
        <v>25829</v>
      </c>
      <c r="G63" s="573">
        <v>25829</v>
      </c>
      <c r="H63" s="325" t="s">
        <v>778</v>
      </c>
      <c r="I63" s="325" t="s">
        <v>787</v>
      </c>
      <c r="J63" s="325" t="s">
        <v>308</v>
      </c>
      <c r="K63" s="325"/>
      <c r="L63" s="325"/>
      <c r="M63" s="325"/>
      <c r="O63" s="326"/>
      <c r="W63" s="249"/>
      <c r="X63" s="249"/>
      <c r="Y63" s="249"/>
      <c r="Z63" s="250"/>
      <c r="AA63" s="250"/>
      <c r="AB63" s="250"/>
      <c r="AC63" s="250"/>
    </row>
    <row r="64" spans="1:29" s="184" customFormat="1" ht="25.5" customHeight="1" x14ac:dyDescent="0.25">
      <c r="A64" s="325">
        <v>68</v>
      </c>
      <c r="B64" s="325"/>
      <c r="C64" s="325"/>
      <c r="D64" s="325" t="s">
        <v>309</v>
      </c>
      <c r="E64" s="577" t="s">
        <v>1496</v>
      </c>
      <c r="F64" s="459">
        <v>25884</v>
      </c>
      <c r="G64" s="573">
        <v>25884</v>
      </c>
      <c r="H64" s="325" t="s">
        <v>792</v>
      </c>
      <c r="I64" s="325" t="s">
        <v>793</v>
      </c>
      <c r="J64" s="325" t="s">
        <v>308</v>
      </c>
      <c r="K64" s="325"/>
      <c r="L64" s="325"/>
      <c r="M64" s="325"/>
      <c r="O64" s="326"/>
      <c r="W64" s="249"/>
      <c r="X64" s="249"/>
      <c r="Y64" s="249"/>
      <c r="Z64" s="250"/>
      <c r="AA64" s="250"/>
      <c r="AB64" s="250"/>
      <c r="AC64" s="250"/>
    </row>
    <row r="65" spans="1:29" s="184" customFormat="1" ht="25.5" customHeight="1" x14ac:dyDescent="0.25">
      <c r="A65" s="325">
        <v>69</v>
      </c>
      <c r="B65" s="325"/>
      <c r="C65" s="325"/>
      <c r="D65" s="325" t="s">
        <v>309</v>
      </c>
      <c r="E65" s="577" t="s">
        <v>1517</v>
      </c>
      <c r="F65" s="459">
        <v>25910</v>
      </c>
      <c r="G65" s="573">
        <v>25910</v>
      </c>
      <c r="H65" s="325" t="s">
        <v>372</v>
      </c>
      <c r="I65" s="325" t="s">
        <v>787</v>
      </c>
      <c r="J65" s="325" t="s">
        <v>308</v>
      </c>
      <c r="K65" s="325"/>
      <c r="L65" s="325"/>
      <c r="M65" s="325"/>
      <c r="O65" s="326"/>
      <c r="W65" s="249"/>
      <c r="X65" s="249"/>
      <c r="Y65" s="249"/>
      <c r="Z65" s="250"/>
      <c r="AA65" s="250"/>
      <c r="AB65" s="250"/>
      <c r="AC65" s="250"/>
    </row>
    <row r="66" spans="1:29" s="184" customFormat="1" ht="25.5" customHeight="1" x14ac:dyDescent="0.25">
      <c r="A66" s="324">
        <v>24</v>
      </c>
      <c r="B66" s="324"/>
      <c r="C66" s="324"/>
      <c r="D66" s="324" t="s">
        <v>309</v>
      </c>
      <c r="E66" s="578" t="s">
        <v>8678</v>
      </c>
      <c r="F66" s="458">
        <v>18015</v>
      </c>
      <c r="G66" s="572">
        <v>18015</v>
      </c>
      <c r="H66" s="324" t="s">
        <v>327</v>
      </c>
      <c r="I66" s="324" t="s">
        <v>333</v>
      </c>
      <c r="J66" s="324" t="s">
        <v>313</v>
      </c>
      <c r="K66" s="324"/>
      <c r="L66" s="324"/>
      <c r="M66" s="324"/>
    </row>
    <row r="67" spans="1:29" s="184" customFormat="1" ht="25.5" customHeight="1" x14ac:dyDescent="0.25">
      <c r="A67" s="325">
        <v>70</v>
      </c>
      <c r="B67" s="325"/>
      <c r="C67" s="325"/>
      <c r="D67" s="325" t="s">
        <v>309</v>
      </c>
      <c r="E67" s="577" t="s">
        <v>1523</v>
      </c>
      <c r="F67" s="459">
        <v>26130</v>
      </c>
      <c r="G67" s="573">
        <v>26130</v>
      </c>
      <c r="H67" s="325" t="s">
        <v>796</v>
      </c>
      <c r="I67" s="325" t="s">
        <v>359</v>
      </c>
      <c r="J67" s="325" t="s">
        <v>313</v>
      </c>
      <c r="K67" s="325"/>
      <c r="L67" s="325"/>
      <c r="M67" s="325"/>
      <c r="O67" s="326"/>
      <c r="W67" s="249"/>
      <c r="X67" s="249"/>
      <c r="Y67" s="249"/>
      <c r="Z67" s="250"/>
      <c r="AA67" s="250"/>
      <c r="AB67" s="250"/>
      <c r="AC67" s="250"/>
    </row>
    <row r="68" spans="1:29" s="184" customFormat="1" ht="25.5" customHeight="1" x14ac:dyDescent="0.25">
      <c r="A68" s="325">
        <v>71</v>
      </c>
      <c r="B68" s="325"/>
      <c r="C68" s="325"/>
      <c r="D68" s="325" t="s">
        <v>309</v>
      </c>
      <c r="E68" s="577" t="s">
        <v>1527</v>
      </c>
      <c r="F68" s="459">
        <v>26158</v>
      </c>
      <c r="G68" s="573">
        <v>26158</v>
      </c>
      <c r="H68" s="325" t="s">
        <v>798</v>
      </c>
      <c r="I68" s="325" t="s">
        <v>799</v>
      </c>
      <c r="J68" s="325" t="s">
        <v>313</v>
      </c>
      <c r="K68" s="325"/>
      <c r="L68" s="325"/>
      <c r="M68" s="325"/>
      <c r="O68" s="326"/>
      <c r="W68" s="249"/>
      <c r="X68" s="249"/>
      <c r="Y68" s="249"/>
      <c r="Z68" s="250"/>
      <c r="AA68" s="250"/>
      <c r="AB68" s="250"/>
      <c r="AC68" s="250"/>
    </row>
    <row r="69" spans="1:29" s="184" customFormat="1" ht="25.5" customHeight="1" x14ac:dyDescent="0.25">
      <c r="A69" s="325">
        <v>72</v>
      </c>
      <c r="B69" s="325"/>
      <c r="C69" s="325"/>
      <c r="D69" s="325" t="s">
        <v>309</v>
      </c>
      <c r="E69" s="577" t="s">
        <v>1537</v>
      </c>
      <c r="F69" s="459">
        <v>26500</v>
      </c>
      <c r="G69" s="573">
        <v>26500</v>
      </c>
      <c r="H69" s="325" t="s">
        <v>801</v>
      </c>
      <c r="I69" s="325" t="s">
        <v>799</v>
      </c>
      <c r="J69" s="325" t="s">
        <v>308</v>
      </c>
      <c r="K69" s="325"/>
      <c r="L69" s="325"/>
      <c r="M69" s="325"/>
      <c r="O69" s="326"/>
      <c r="W69" s="249"/>
      <c r="X69" s="249"/>
      <c r="Y69" s="249"/>
      <c r="Z69" s="250"/>
      <c r="AA69" s="250"/>
      <c r="AB69" s="250"/>
      <c r="AC69" s="250"/>
    </row>
    <row r="70" spans="1:29" s="184" customFormat="1" ht="25.5" customHeight="1" x14ac:dyDescent="0.25">
      <c r="A70" s="325">
        <v>73</v>
      </c>
      <c r="B70" s="325"/>
      <c r="C70" s="325"/>
      <c r="D70" s="325" t="s">
        <v>309</v>
      </c>
      <c r="E70" s="577" t="s">
        <v>1546</v>
      </c>
      <c r="F70" s="459">
        <v>26500</v>
      </c>
      <c r="G70" s="573">
        <v>26500</v>
      </c>
      <c r="H70" s="325" t="s">
        <v>803</v>
      </c>
      <c r="I70" s="325" t="s">
        <v>799</v>
      </c>
      <c r="J70" s="325" t="s">
        <v>308</v>
      </c>
      <c r="K70" s="325"/>
      <c r="L70" s="325"/>
      <c r="M70" s="325"/>
      <c r="O70" s="326"/>
      <c r="W70" s="249"/>
      <c r="X70" s="249"/>
      <c r="Y70" s="249"/>
      <c r="Z70" s="250"/>
      <c r="AA70" s="250"/>
      <c r="AB70" s="250"/>
      <c r="AC70" s="250"/>
    </row>
    <row r="71" spans="1:29" s="184" customFormat="1" ht="25.5" customHeight="1" x14ac:dyDescent="0.25">
      <c r="A71" s="325">
        <v>74</v>
      </c>
      <c r="B71" s="325"/>
      <c r="C71" s="325"/>
      <c r="D71" s="325" t="s">
        <v>309</v>
      </c>
      <c r="E71" s="577" t="s">
        <v>1555</v>
      </c>
      <c r="F71" s="459">
        <v>26791</v>
      </c>
      <c r="G71" s="573">
        <v>26791</v>
      </c>
      <c r="H71" s="325" t="s">
        <v>805</v>
      </c>
      <c r="I71" s="325" t="s">
        <v>806</v>
      </c>
      <c r="J71" s="325" t="s">
        <v>313</v>
      </c>
      <c r="K71" s="325"/>
      <c r="L71" s="325"/>
      <c r="M71" s="325"/>
      <c r="O71" s="326"/>
      <c r="W71" s="249"/>
      <c r="X71" s="249"/>
      <c r="Y71" s="249"/>
      <c r="Z71" s="250"/>
      <c r="AA71" s="250"/>
      <c r="AB71" s="250"/>
      <c r="AC71" s="250"/>
    </row>
    <row r="72" spans="1:29" s="184" customFormat="1" ht="51" customHeight="1" x14ac:dyDescent="0.25">
      <c r="A72" s="325">
        <v>75</v>
      </c>
      <c r="B72" s="325"/>
      <c r="C72" s="325"/>
      <c r="D72" s="325" t="s">
        <v>309</v>
      </c>
      <c r="E72" s="577" t="s">
        <v>1557</v>
      </c>
      <c r="F72" s="459">
        <v>26882</v>
      </c>
      <c r="G72" s="573">
        <v>26882</v>
      </c>
      <c r="H72" s="325" t="s">
        <v>808</v>
      </c>
      <c r="I72" s="325" t="s">
        <v>806</v>
      </c>
      <c r="J72" s="325" t="s">
        <v>313</v>
      </c>
      <c r="K72" s="325"/>
      <c r="L72" s="325"/>
      <c r="M72" s="325"/>
      <c r="O72" s="326"/>
      <c r="W72" s="249"/>
      <c r="X72" s="249"/>
      <c r="Y72" s="249"/>
      <c r="Z72" s="250"/>
      <c r="AA72" s="250"/>
      <c r="AB72" s="250"/>
      <c r="AC72" s="250"/>
    </row>
    <row r="73" spans="1:29" s="184" customFormat="1" ht="38.25" customHeight="1" x14ac:dyDescent="0.25">
      <c r="A73" s="325">
        <v>76</v>
      </c>
      <c r="B73" s="325"/>
      <c r="C73" s="325"/>
      <c r="D73" s="325" t="s">
        <v>309</v>
      </c>
      <c r="E73" s="577" t="s">
        <v>1560</v>
      </c>
      <c r="F73" s="459">
        <v>27036</v>
      </c>
      <c r="G73" s="573">
        <v>27036</v>
      </c>
      <c r="H73" s="325" t="s">
        <v>381</v>
      </c>
      <c r="I73" s="325" t="s">
        <v>806</v>
      </c>
      <c r="J73" s="325" t="s">
        <v>308</v>
      </c>
      <c r="K73" s="325"/>
      <c r="L73" s="325"/>
      <c r="M73" s="325"/>
      <c r="O73" s="326"/>
      <c r="W73" s="249"/>
      <c r="X73" s="249"/>
      <c r="Y73" s="249"/>
      <c r="Z73" s="250"/>
      <c r="AA73" s="250"/>
      <c r="AB73" s="250"/>
      <c r="AC73" s="250"/>
    </row>
    <row r="74" spans="1:29" s="184" customFormat="1" ht="38.25" customHeight="1" x14ac:dyDescent="0.25">
      <c r="A74" s="325">
        <v>77</v>
      </c>
      <c r="B74" s="325"/>
      <c r="C74" s="325"/>
      <c r="D74" s="325" t="s">
        <v>309</v>
      </c>
      <c r="E74" s="577" t="s">
        <v>1565</v>
      </c>
      <c r="F74" s="459">
        <v>27148</v>
      </c>
      <c r="G74" s="573">
        <v>27148</v>
      </c>
      <c r="H74" s="325" t="s">
        <v>382</v>
      </c>
      <c r="I74" s="325" t="s">
        <v>383</v>
      </c>
      <c r="J74" s="325" t="s">
        <v>308</v>
      </c>
      <c r="K74" s="325"/>
      <c r="L74" s="325"/>
      <c r="M74" s="325"/>
      <c r="O74" s="326"/>
      <c r="W74" s="249"/>
      <c r="X74" s="249"/>
      <c r="Y74" s="249"/>
      <c r="Z74" s="250"/>
      <c r="AA74" s="250"/>
      <c r="AB74" s="250"/>
      <c r="AC74" s="250"/>
    </row>
    <row r="75" spans="1:29" s="184" customFormat="1" ht="25.5" customHeight="1" x14ac:dyDescent="0.25">
      <c r="A75" s="325">
        <v>78</v>
      </c>
      <c r="B75" s="325"/>
      <c r="C75" s="325"/>
      <c r="D75" s="325" t="s">
        <v>309</v>
      </c>
      <c r="E75" s="577" t="s">
        <v>1579</v>
      </c>
      <c r="F75" s="459">
        <v>27862</v>
      </c>
      <c r="G75" s="573">
        <v>27862</v>
      </c>
      <c r="H75" s="325" t="s">
        <v>384</v>
      </c>
      <c r="I75" s="325" t="s">
        <v>812</v>
      </c>
      <c r="J75" s="325" t="s">
        <v>313</v>
      </c>
      <c r="K75" s="325"/>
      <c r="L75" s="325"/>
      <c r="M75" s="325"/>
      <c r="O75" s="326"/>
      <c r="W75" s="249"/>
      <c r="X75" s="249"/>
      <c r="Y75" s="249"/>
      <c r="Z75" s="250"/>
      <c r="AA75" s="250"/>
      <c r="AB75" s="250"/>
      <c r="AC75" s="250"/>
    </row>
    <row r="76" spans="1:29" s="184" customFormat="1" ht="25.5" customHeight="1" x14ac:dyDescent="0.25">
      <c r="A76" s="325">
        <v>79</v>
      </c>
      <c r="B76" s="325"/>
      <c r="C76" s="325"/>
      <c r="D76" s="325" t="s">
        <v>309</v>
      </c>
      <c r="E76" s="577" t="s">
        <v>1590</v>
      </c>
      <c r="F76" s="459">
        <v>28167</v>
      </c>
      <c r="G76" s="573">
        <v>28167</v>
      </c>
      <c r="H76" s="325" t="s">
        <v>814</v>
      </c>
      <c r="I76" s="325" t="s">
        <v>387</v>
      </c>
      <c r="J76" s="325" t="s">
        <v>308</v>
      </c>
      <c r="K76" s="325"/>
      <c r="L76" s="325"/>
      <c r="M76" s="325"/>
      <c r="O76" s="326"/>
      <c r="W76" s="249"/>
      <c r="X76" s="249"/>
      <c r="Y76" s="249"/>
      <c r="Z76" s="250"/>
      <c r="AA76" s="250"/>
      <c r="AB76" s="250"/>
      <c r="AC76" s="250"/>
    </row>
    <row r="77" spans="1:29" s="184" customFormat="1" ht="25.5" customHeight="1" x14ac:dyDescent="0.25">
      <c r="A77" s="324">
        <v>25</v>
      </c>
      <c r="B77" s="324"/>
      <c r="C77" s="324"/>
      <c r="D77" s="324" t="s">
        <v>309</v>
      </c>
      <c r="E77" s="578" t="s">
        <v>8679</v>
      </c>
      <c r="F77" s="458">
        <v>21495</v>
      </c>
      <c r="G77" s="572">
        <v>21495</v>
      </c>
      <c r="H77" s="324" t="s">
        <v>342</v>
      </c>
      <c r="I77" s="324" t="s">
        <v>343</v>
      </c>
      <c r="J77" s="324" t="s">
        <v>308</v>
      </c>
      <c r="K77" s="324"/>
      <c r="L77" s="324"/>
      <c r="M77" s="324"/>
    </row>
    <row r="78" spans="1:29" s="184" customFormat="1" ht="25.5" customHeight="1" x14ac:dyDescent="0.25">
      <c r="A78" s="325">
        <v>80</v>
      </c>
      <c r="B78" s="325"/>
      <c r="C78" s="325"/>
      <c r="D78" s="325" t="s">
        <v>309</v>
      </c>
      <c r="E78" s="577" t="s">
        <v>1596</v>
      </c>
      <c r="F78" s="459">
        <v>28447</v>
      </c>
      <c r="G78" s="573">
        <v>28447</v>
      </c>
      <c r="H78" s="325" t="s">
        <v>816</v>
      </c>
      <c r="I78" s="325" t="s">
        <v>817</v>
      </c>
      <c r="J78" s="325" t="s">
        <v>308</v>
      </c>
      <c r="K78" s="325"/>
      <c r="L78" s="325"/>
      <c r="M78" s="325"/>
      <c r="O78" s="326"/>
      <c r="W78" s="249"/>
      <c r="X78" s="249"/>
      <c r="Y78" s="249"/>
      <c r="Z78" s="250"/>
      <c r="AA78" s="250"/>
      <c r="AB78" s="250"/>
      <c r="AC78" s="250"/>
    </row>
    <row r="79" spans="1:29" s="184" customFormat="1" ht="25.5" customHeight="1" x14ac:dyDescent="0.25">
      <c r="A79" s="325">
        <v>81</v>
      </c>
      <c r="B79" s="325"/>
      <c r="C79" s="325"/>
      <c r="D79" s="325" t="s">
        <v>309</v>
      </c>
      <c r="E79" s="577" t="s">
        <v>1599</v>
      </c>
      <c r="F79" s="459">
        <v>28583</v>
      </c>
      <c r="G79" s="573">
        <v>28583</v>
      </c>
      <c r="H79" s="325" t="s">
        <v>819</v>
      </c>
      <c r="I79" s="325" t="s">
        <v>391</v>
      </c>
      <c r="J79" s="325" t="s">
        <v>313</v>
      </c>
      <c r="K79" s="325"/>
      <c r="L79" s="325"/>
      <c r="M79" s="325"/>
      <c r="O79" s="326"/>
      <c r="W79" s="249"/>
      <c r="X79" s="249"/>
      <c r="Y79" s="249"/>
      <c r="Z79" s="250"/>
      <c r="AA79" s="250"/>
      <c r="AB79" s="250"/>
      <c r="AC79" s="250"/>
    </row>
    <row r="80" spans="1:29" s="184" customFormat="1" ht="25.5" customHeight="1" x14ac:dyDescent="0.25">
      <c r="A80" s="325">
        <v>82</v>
      </c>
      <c r="B80" s="325"/>
      <c r="C80" s="325"/>
      <c r="D80" s="325" t="s">
        <v>309</v>
      </c>
      <c r="E80" s="577" t="s">
        <v>1631</v>
      </c>
      <c r="F80" s="459">
        <v>28599</v>
      </c>
      <c r="G80" s="573">
        <v>28599</v>
      </c>
      <c r="H80" s="325" t="s">
        <v>392</v>
      </c>
      <c r="I80" s="325" t="s">
        <v>393</v>
      </c>
      <c r="J80" s="325" t="s">
        <v>313</v>
      </c>
      <c r="K80" s="325"/>
      <c r="L80" s="325"/>
      <c r="M80" s="325"/>
      <c r="O80" s="326"/>
      <c r="W80" s="249"/>
      <c r="X80" s="249"/>
      <c r="Y80" s="249"/>
      <c r="Z80" s="250"/>
      <c r="AA80" s="250"/>
      <c r="AB80" s="250"/>
      <c r="AC80" s="250"/>
    </row>
    <row r="81" spans="1:29" s="184" customFormat="1" ht="25.5" customHeight="1" x14ac:dyDescent="0.25">
      <c r="A81" s="325">
        <v>83</v>
      </c>
      <c r="B81" s="325"/>
      <c r="C81" s="325"/>
      <c r="D81" s="325" t="s">
        <v>309</v>
      </c>
      <c r="E81" s="577" t="s">
        <v>1633</v>
      </c>
      <c r="F81" s="459">
        <v>28599</v>
      </c>
      <c r="G81" s="573">
        <v>28599</v>
      </c>
      <c r="H81" s="325" t="s">
        <v>394</v>
      </c>
      <c r="I81" s="325" t="s">
        <v>393</v>
      </c>
      <c r="J81" s="325" t="s">
        <v>313</v>
      </c>
      <c r="K81" s="325"/>
      <c r="L81" s="325"/>
      <c r="M81" s="325"/>
      <c r="O81" s="326"/>
      <c r="W81" s="249"/>
      <c r="X81" s="249"/>
      <c r="Y81" s="249"/>
      <c r="Z81" s="250"/>
      <c r="AA81" s="250"/>
      <c r="AB81" s="250"/>
      <c r="AC81" s="250"/>
    </row>
    <row r="82" spans="1:29" s="184" customFormat="1" ht="25.5" customHeight="1" x14ac:dyDescent="0.25">
      <c r="A82" s="325">
        <v>84</v>
      </c>
      <c r="B82" s="325"/>
      <c r="C82" s="325"/>
      <c r="D82" s="325" t="s">
        <v>309</v>
      </c>
      <c r="E82" s="577" t="s">
        <v>1635</v>
      </c>
      <c r="F82" s="459">
        <v>28599</v>
      </c>
      <c r="G82" s="573">
        <v>28599</v>
      </c>
      <c r="H82" s="325" t="s">
        <v>395</v>
      </c>
      <c r="I82" s="325" t="s">
        <v>393</v>
      </c>
      <c r="J82" s="325" t="s">
        <v>313</v>
      </c>
      <c r="K82" s="325"/>
      <c r="L82" s="325"/>
      <c r="M82" s="325"/>
      <c r="O82" s="326"/>
      <c r="W82" s="249"/>
      <c r="X82" s="249"/>
      <c r="Y82" s="249"/>
      <c r="Z82" s="250"/>
      <c r="AA82" s="250"/>
      <c r="AB82" s="250"/>
      <c r="AC82" s="250"/>
    </row>
    <row r="83" spans="1:29" s="184" customFormat="1" ht="25.5" customHeight="1" x14ac:dyDescent="0.25">
      <c r="A83" s="325">
        <v>85</v>
      </c>
      <c r="B83" s="325"/>
      <c r="C83" s="325"/>
      <c r="D83" s="325" t="s">
        <v>309</v>
      </c>
      <c r="E83" s="577" t="s">
        <v>1637</v>
      </c>
      <c r="F83" s="459">
        <v>28607</v>
      </c>
      <c r="G83" s="573">
        <v>28607</v>
      </c>
      <c r="H83" s="325" t="s">
        <v>396</v>
      </c>
      <c r="I83" s="325" t="s">
        <v>393</v>
      </c>
      <c r="J83" s="325" t="s">
        <v>313</v>
      </c>
      <c r="K83" s="325"/>
      <c r="L83" s="325"/>
      <c r="M83" s="325"/>
      <c r="O83" s="326"/>
      <c r="W83" s="249"/>
      <c r="X83" s="249"/>
      <c r="Y83" s="249"/>
      <c r="Z83" s="250"/>
      <c r="AA83" s="250"/>
      <c r="AB83" s="250"/>
      <c r="AC83" s="250"/>
    </row>
    <row r="84" spans="1:29" s="184" customFormat="1" ht="25.5" customHeight="1" x14ac:dyDescent="0.25">
      <c r="A84" s="325">
        <v>86</v>
      </c>
      <c r="B84" s="325"/>
      <c r="C84" s="325"/>
      <c r="D84" s="325" t="s">
        <v>309</v>
      </c>
      <c r="E84" s="577" t="s">
        <v>1639</v>
      </c>
      <c r="F84" s="459">
        <v>28607</v>
      </c>
      <c r="G84" s="573">
        <v>28607</v>
      </c>
      <c r="H84" s="325" t="s">
        <v>397</v>
      </c>
      <c r="I84" s="325" t="s">
        <v>393</v>
      </c>
      <c r="J84" s="325" t="s">
        <v>313</v>
      </c>
      <c r="K84" s="325"/>
      <c r="L84" s="325"/>
      <c r="M84" s="325"/>
      <c r="O84" s="326"/>
      <c r="W84" s="249"/>
      <c r="X84" s="249"/>
      <c r="Y84" s="249"/>
      <c r="Z84" s="250"/>
      <c r="AA84" s="250"/>
      <c r="AB84" s="250"/>
      <c r="AC84" s="250"/>
    </row>
    <row r="85" spans="1:29" s="184" customFormat="1" ht="25.5" customHeight="1" x14ac:dyDescent="0.25">
      <c r="A85" s="325">
        <v>87</v>
      </c>
      <c r="B85" s="325"/>
      <c r="C85" s="325"/>
      <c r="D85" s="325" t="s">
        <v>309</v>
      </c>
      <c r="E85" s="577" t="s">
        <v>1641</v>
      </c>
      <c r="F85" s="459">
        <v>28607</v>
      </c>
      <c r="G85" s="573">
        <v>28607</v>
      </c>
      <c r="H85" s="325" t="s">
        <v>398</v>
      </c>
      <c r="I85" s="325" t="s">
        <v>826</v>
      </c>
      <c r="J85" s="325" t="s">
        <v>308</v>
      </c>
      <c r="K85" s="325"/>
      <c r="L85" s="325"/>
      <c r="M85" s="325"/>
      <c r="O85" s="326"/>
      <c r="W85" s="249"/>
      <c r="X85" s="249"/>
      <c r="Y85" s="249"/>
      <c r="Z85" s="250"/>
      <c r="AA85" s="250"/>
      <c r="AB85" s="250"/>
      <c r="AC85" s="250"/>
    </row>
    <row r="86" spans="1:29" s="184" customFormat="1" ht="25.5" customHeight="1" x14ac:dyDescent="0.25">
      <c r="A86" s="325">
        <v>88</v>
      </c>
      <c r="B86" s="325"/>
      <c r="C86" s="325"/>
      <c r="D86" s="325" t="s">
        <v>309</v>
      </c>
      <c r="E86" s="577" t="s">
        <v>1647</v>
      </c>
      <c r="F86" s="459">
        <v>28618</v>
      </c>
      <c r="G86" s="573">
        <v>28618</v>
      </c>
      <c r="H86" s="325" t="s">
        <v>400</v>
      </c>
      <c r="I86" s="325" t="s">
        <v>393</v>
      </c>
      <c r="J86" s="325" t="s">
        <v>313</v>
      </c>
      <c r="K86" s="325"/>
      <c r="L86" s="325"/>
      <c r="M86" s="325"/>
      <c r="O86" s="326"/>
      <c r="W86" s="249"/>
      <c r="X86" s="249"/>
      <c r="Y86" s="249"/>
      <c r="Z86" s="250"/>
      <c r="AA86" s="250"/>
      <c r="AB86" s="250"/>
      <c r="AC86" s="250"/>
    </row>
    <row r="87" spans="1:29" s="184" customFormat="1" ht="25.5" customHeight="1" x14ac:dyDescent="0.25">
      <c r="A87" s="325">
        <v>89</v>
      </c>
      <c r="B87" s="325"/>
      <c r="C87" s="325"/>
      <c r="D87" s="325" t="s">
        <v>309</v>
      </c>
      <c r="E87" s="577" t="s">
        <v>1649</v>
      </c>
      <c r="F87" s="459">
        <v>28618</v>
      </c>
      <c r="G87" s="573">
        <v>28618</v>
      </c>
      <c r="H87" s="325" t="s">
        <v>401</v>
      </c>
      <c r="I87" s="325" t="s">
        <v>393</v>
      </c>
      <c r="J87" s="325" t="s">
        <v>313</v>
      </c>
      <c r="K87" s="325"/>
      <c r="L87" s="325"/>
      <c r="M87" s="325"/>
      <c r="O87" s="326"/>
      <c r="W87" s="249"/>
      <c r="X87" s="249"/>
      <c r="Y87" s="249"/>
      <c r="Z87" s="250"/>
      <c r="AA87" s="250"/>
      <c r="AB87" s="250"/>
      <c r="AC87" s="250"/>
    </row>
    <row r="88" spans="1:29" s="184" customFormat="1" ht="25.5" customHeight="1" x14ac:dyDescent="0.25">
      <c r="A88" s="325">
        <v>90</v>
      </c>
      <c r="B88" s="325"/>
      <c r="C88" s="325"/>
      <c r="D88" s="325" t="s">
        <v>309</v>
      </c>
      <c r="E88" s="577" t="s">
        <v>1651</v>
      </c>
      <c r="F88" s="459">
        <v>28618</v>
      </c>
      <c r="G88" s="573">
        <v>28618</v>
      </c>
      <c r="H88" s="325" t="s">
        <v>796</v>
      </c>
      <c r="I88" s="325" t="s">
        <v>393</v>
      </c>
      <c r="J88" s="325" t="s">
        <v>313</v>
      </c>
      <c r="K88" s="325"/>
      <c r="L88" s="325"/>
      <c r="M88" s="325"/>
      <c r="O88" s="326"/>
      <c r="W88" s="249"/>
      <c r="X88" s="249"/>
      <c r="Y88" s="249"/>
      <c r="Z88" s="250"/>
      <c r="AA88" s="250"/>
      <c r="AB88" s="250"/>
      <c r="AC88" s="250"/>
    </row>
    <row r="89" spans="1:29" s="184" customFormat="1" ht="25.5" customHeight="1" x14ac:dyDescent="0.25">
      <c r="A89" s="325">
        <v>91</v>
      </c>
      <c r="B89" s="325"/>
      <c r="C89" s="325"/>
      <c r="D89" s="325" t="s">
        <v>309</v>
      </c>
      <c r="E89" s="577" t="s">
        <v>1653</v>
      </c>
      <c r="F89" s="459">
        <v>28620</v>
      </c>
      <c r="G89" s="573">
        <v>28620</v>
      </c>
      <c r="H89" s="325" t="s">
        <v>402</v>
      </c>
      <c r="I89" s="325" t="s">
        <v>393</v>
      </c>
      <c r="J89" s="325" t="s">
        <v>308</v>
      </c>
      <c r="K89" s="325"/>
      <c r="L89" s="325"/>
      <c r="M89" s="325"/>
      <c r="O89" s="326"/>
      <c r="W89" s="249"/>
      <c r="X89" s="249"/>
      <c r="Y89" s="249"/>
      <c r="Z89" s="250"/>
      <c r="AA89" s="250"/>
      <c r="AB89" s="250"/>
      <c r="AC89" s="250"/>
    </row>
    <row r="90" spans="1:29" s="184" customFormat="1" ht="25.5" customHeight="1" x14ac:dyDescent="0.25">
      <c r="A90" s="325">
        <v>92</v>
      </c>
      <c r="B90" s="325"/>
      <c r="C90" s="325"/>
      <c r="D90" s="325" t="s">
        <v>309</v>
      </c>
      <c r="E90" s="577" t="s">
        <v>1655</v>
      </c>
      <c r="F90" s="459">
        <v>28640</v>
      </c>
      <c r="G90" s="573">
        <v>28640</v>
      </c>
      <c r="H90" s="325" t="s">
        <v>832</v>
      </c>
      <c r="I90" s="325" t="s">
        <v>806</v>
      </c>
      <c r="J90" s="325" t="s">
        <v>313</v>
      </c>
      <c r="K90" s="325"/>
      <c r="L90" s="325"/>
      <c r="M90" s="325"/>
      <c r="O90" s="326"/>
      <c r="W90" s="249"/>
      <c r="X90" s="249"/>
      <c r="Y90" s="249"/>
      <c r="Z90" s="250"/>
      <c r="AA90" s="250"/>
      <c r="AB90" s="250"/>
      <c r="AC90" s="250"/>
    </row>
    <row r="91" spans="1:29" s="184" customFormat="1" ht="25.5" customHeight="1" x14ac:dyDescent="0.25">
      <c r="A91" s="325">
        <v>93</v>
      </c>
      <c r="B91" s="325"/>
      <c r="C91" s="325"/>
      <c r="D91" s="325" t="s">
        <v>309</v>
      </c>
      <c r="E91" s="577" t="s">
        <v>1658</v>
      </c>
      <c r="F91" s="459">
        <v>28640</v>
      </c>
      <c r="G91" s="573">
        <v>28640</v>
      </c>
      <c r="H91" s="325" t="s">
        <v>404</v>
      </c>
      <c r="I91" s="325" t="s">
        <v>806</v>
      </c>
      <c r="J91" s="325" t="s">
        <v>313</v>
      </c>
      <c r="K91" s="325"/>
      <c r="L91" s="325"/>
      <c r="M91" s="325"/>
      <c r="O91" s="326"/>
      <c r="W91" s="249"/>
      <c r="X91" s="249"/>
      <c r="Y91" s="249"/>
      <c r="Z91" s="250"/>
      <c r="AA91" s="250"/>
      <c r="AB91" s="250"/>
      <c r="AC91" s="250"/>
    </row>
    <row r="92" spans="1:29" s="184" customFormat="1" ht="25.5" customHeight="1" x14ac:dyDescent="0.25">
      <c r="A92" s="325">
        <v>94</v>
      </c>
      <c r="B92" s="325"/>
      <c r="C92" s="325"/>
      <c r="D92" s="325" t="s">
        <v>309</v>
      </c>
      <c r="E92" s="577" t="s">
        <v>1685</v>
      </c>
      <c r="F92" s="459">
        <v>28689</v>
      </c>
      <c r="G92" s="573">
        <v>28689</v>
      </c>
      <c r="H92" s="325" t="s">
        <v>405</v>
      </c>
      <c r="I92" s="325" t="s">
        <v>835</v>
      </c>
      <c r="J92" s="325" t="s">
        <v>313</v>
      </c>
      <c r="K92" s="325"/>
      <c r="L92" s="325"/>
      <c r="M92" s="325"/>
      <c r="O92" s="326"/>
      <c r="W92" s="249"/>
      <c r="X92" s="249"/>
      <c r="Y92" s="249"/>
      <c r="Z92" s="250"/>
      <c r="AA92" s="250"/>
      <c r="AB92" s="250"/>
      <c r="AC92" s="250"/>
    </row>
    <row r="93" spans="1:29" s="184" customFormat="1" ht="25.5" customHeight="1" x14ac:dyDescent="0.25">
      <c r="A93" s="325">
        <v>95</v>
      </c>
      <c r="B93" s="325"/>
      <c r="C93" s="325"/>
      <c r="D93" s="325" t="s">
        <v>309</v>
      </c>
      <c r="E93" s="577" t="s">
        <v>1741</v>
      </c>
      <c r="F93" s="459">
        <v>29299</v>
      </c>
      <c r="G93" s="573">
        <v>29299</v>
      </c>
      <c r="H93" s="325" t="s">
        <v>407</v>
      </c>
      <c r="I93" s="325" t="s">
        <v>837</v>
      </c>
      <c r="J93" s="325" t="s">
        <v>313</v>
      </c>
      <c r="K93" s="325"/>
      <c r="L93" s="325"/>
      <c r="M93" s="325"/>
      <c r="O93" s="326"/>
      <c r="W93" s="249"/>
      <c r="X93" s="249"/>
      <c r="Y93" s="249"/>
      <c r="Z93" s="250"/>
      <c r="AA93" s="250"/>
      <c r="AB93" s="250"/>
      <c r="AC93" s="250"/>
    </row>
    <row r="94" spans="1:29" s="184" customFormat="1" ht="25.5" customHeight="1" x14ac:dyDescent="0.25">
      <c r="A94" s="325">
        <v>96</v>
      </c>
      <c r="B94" s="325"/>
      <c r="C94" s="325"/>
      <c r="D94" s="325" t="s">
        <v>309</v>
      </c>
      <c r="E94" s="577" t="s">
        <v>1759</v>
      </c>
      <c r="F94" s="459">
        <v>29669</v>
      </c>
      <c r="G94" s="573">
        <v>29669</v>
      </c>
      <c r="H94" s="325" t="s">
        <v>839</v>
      </c>
      <c r="I94" s="325" t="s">
        <v>840</v>
      </c>
      <c r="J94" s="325" t="s">
        <v>308</v>
      </c>
      <c r="K94" s="325"/>
      <c r="L94" s="325"/>
      <c r="M94" s="325"/>
      <c r="O94" s="326"/>
      <c r="W94" s="249"/>
      <c r="X94" s="249"/>
      <c r="Y94" s="249"/>
      <c r="Z94" s="250"/>
      <c r="AA94" s="250"/>
      <c r="AB94" s="250"/>
      <c r="AC94" s="250"/>
    </row>
    <row r="95" spans="1:29" s="184" customFormat="1" ht="25.5" customHeight="1" x14ac:dyDescent="0.25">
      <c r="A95" s="325">
        <v>97</v>
      </c>
      <c r="B95" s="325"/>
      <c r="C95" s="325"/>
      <c r="D95" s="325" t="s">
        <v>309</v>
      </c>
      <c r="E95" s="577" t="s">
        <v>1781</v>
      </c>
      <c r="F95" s="459">
        <v>29861</v>
      </c>
      <c r="G95" s="573">
        <v>29861</v>
      </c>
      <c r="H95" s="325" t="s">
        <v>404</v>
      </c>
      <c r="I95" s="325" t="s">
        <v>383</v>
      </c>
      <c r="J95" s="325" t="s">
        <v>313</v>
      </c>
      <c r="K95" s="325"/>
      <c r="L95" s="325"/>
      <c r="M95" s="325"/>
      <c r="O95" s="326"/>
      <c r="W95" s="249"/>
      <c r="X95" s="249"/>
      <c r="Y95" s="249"/>
      <c r="Z95" s="250"/>
      <c r="AA95" s="250"/>
      <c r="AB95" s="250"/>
      <c r="AC95" s="250"/>
    </row>
    <row r="96" spans="1:29" s="184" customFormat="1" ht="25.5" customHeight="1" x14ac:dyDescent="0.25">
      <c r="A96" s="325">
        <v>98</v>
      </c>
      <c r="B96" s="325"/>
      <c r="C96" s="325"/>
      <c r="D96" s="325" t="s">
        <v>309</v>
      </c>
      <c r="E96" s="577" t="s">
        <v>1786</v>
      </c>
      <c r="F96" s="459">
        <v>29915</v>
      </c>
      <c r="G96" s="573">
        <v>29915</v>
      </c>
      <c r="H96" s="325" t="s">
        <v>843</v>
      </c>
      <c r="I96" s="325" t="s">
        <v>412</v>
      </c>
      <c r="J96" s="325" t="s">
        <v>313</v>
      </c>
      <c r="K96" s="325"/>
      <c r="L96" s="325"/>
      <c r="M96" s="325"/>
      <c r="O96" s="326"/>
      <c r="W96" s="249"/>
      <c r="X96" s="249"/>
      <c r="Y96" s="249"/>
      <c r="Z96" s="250"/>
      <c r="AA96" s="250"/>
      <c r="AB96" s="250"/>
      <c r="AC96" s="250"/>
    </row>
    <row r="97" spans="1:29" s="184" customFormat="1" ht="25.5" customHeight="1" x14ac:dyDescent="0.25">
      <c r="A97" s="325">
        <v>99</v>
      </c>
      <c r="B97" s="325"/>
      <c r="C97" s="325"/>
      <c r="D97" s="325" t="s">
        <v>309</v>
      </c>
      <c r="E97" s="577" t="s">
        <v>1788</v>
      </c>
      <c r="F97" s="459">
        <v>29969</v>
      </c>
      <c r="G97" s="573">
        <v>29969</v>
      </c>
      <c r="H97" s="325" t="s">
        <v>845</v>
      </c>
      <c r="I97" s="325" t="s">
        <v>414</v>
      </c>
      <c r="J97" s="325" t="s">
        <v>313</v>
      </c>
      <c r="K97" s="325"/>
      <c r="L97" s="325"/>
      <c r="M97" s="325"/>
      <c r="O97" s="326"/>
      <c r="W97" s="249"/>
      <c r="X97" s="249"/>
      <c r="Y97" s="249"/>
      <c r="Z97" s="250"/>
      <c r="AA97" s="250"/>
      <c r="AB97" s="250"/>
      <c r="AC97" s="250"/>
    </row>
    <row r="98" spans="1:29" s="184" customFormat="1" ht="25.5" customHeight="1" x14ac:dyDescent="0.25">
      <c r="A98" s="325">
        <v>100</v>
      </c>
      <c r="B98" s="325"/>
      <c r="C98" s="325"/>
      <c r="D98" s="325" t="s">
        <v>309</v>
      </c>
      <c r="E98" s="577" t="s">
        <v>1792</v>
      </c>
      <c r="F98" s="459">
        <v>29992</v>
      </c>
      <c r="G98" s="573">
        <v>29992</v>
      </c>
      <c r="H98" s="325" t="s">
        <v>372</v>
      </c>
      <c r="I98" s="325" t="s">
        <v>847</v>
      </c>
      <c r="J98" s="325" t="s">
        <v>313</v>
      </c>
      <c r="K98" s="325"/>
      <c r="L98" s="325"/>
      <c r="M98" s="325"/>
      <c r="O98" s="326"/>
      <c r="W98" s="249"/>
      <c r="X98" s="249"/>
      <c r="Y98" s="249"/>
      <c r="Z98" s="250"/>
      <c r="AA98" s="250"/>
      <c r="AB98" s="250"/>
      <c r="AC98" s="250"/>
    </row>
    <row r="99" spans="1:29" s="184" customFormat="1" ht="25.5" customHeight="1" x14ac:dyDescent="0.25">
      <c r="A99" s="325">
        <v>101</v>
      </c>
      <c r="B99" s="325"/>
      <c r="C99" s="325"/>
      <c r="D99" s="325" t="s">
        <v>309</v>
      </c>
      <c r="E99" s="577" t="s">
        <v>1796</v>
      </c>
      <c r="F99" s="459">
        <v>30028</v>
      </c>
      <c r="G99" s="573">
        <v>30028</v>
      </c>
      <c r="H99" s="325" t="s">
        <v>416</v>
      </c>
      <c r="I99" s="325" t="s">
        <v>847</v>
      </c>
      <c r="J99" s="325" t="s">
        <v>313</v>
      </c>
      <c r="K99" s="325"/>
      <c r="L99" s="325"/>
      <c r="M99" s="325"/>
      <c r="O99" s="326"/>
      <c r="W99" s="249"/>
      <c r="X99" s="249"/>
      <c r="Y99" s="249"/>
      <c r="Z99" s="250"/>
      <c r="AA99" s="250"/>
      <c r="AB99" s="250"/>
      <c r="AC99" s="250"/>
    </row>
    <row r="100" spans="1:29" s="184" customFormat="1" ht="25.5" customHeight="1" x14ac:dyDescent="0.25">
      <c r="A100" s="325">
        <v>102</v>
      </c>
      <c r="B100" s="325"/>
      <c r="C100" s="325"/>
      <c r="D100" s="325" t="s">
        <v>309</v>
      </c>
      <c r="E100" s="577" t="s">
        <v>1798</v>
      </c>
      <c r="F100" s="459">
        <v>30039</v>
      </c>
      <c r="G100" s="573">
        <v>30039</v>
      </c>
      <c r="H100" s="325" t="s">
        <v>850</v>
      </c>
      <c r="I100" s="325" t="s">
        <v>847</v>
      </c>
      <c r="J100" s="325" t="s">
        <v>313</v>
      </c>
      <c r="K100" s="325"/>
      <c r="L100" s="325"/>
      <c r="M100" s="325"/>
      <c r="O100" s="326"/>
      <c r="W100" s="249"/>
      <c r="X100" s="249"/>
      <c r="Y100" s="249"/>
      <c r="Z100" s="250"/>
      <c r="AA100" s="250"/>
      <c r="AB100" s="250"/>
      <c r="AC100" s="250"/>
    </row>
    <row r="101" spans="1:29" s="184" customFormat="1" ht="25.5" customHeight="1" x14ac:dyDescent="0.25">
      <c r="A101" s="325">
        <v>103</v>
      </c>
      <c r="B101" s="325"/>
      <c r="C101" s="325"/>
      <c r="D101" s="325" t="s">
        <v>309</v>
      </c>
      <c r="E101" s="577" t="s">
        <v>1816</v>
      </c>
      <c r="F101" s="459">
        <v>30095</v>
      </c>
      <c r="G101" s="573">
        <v>30095</v>
      </c>
      <c r="H101" s="325" t="s">
        <v>852</v>
      </c>
      <c r="I101" s="325" t="s">
        <v>847</v>
      </c>
      <c r="J101" s="325" t="s">
        <v>313</v>
      </c>
      <c r="K101" s="325"/>
      <c r="L101" s="325"/>
      <c r="M101" s="325"/>
      <c r="O101" s="326"/>
      <c r="W101" s="249"/>
      <c r="X101" s="249"/>
      <c r="Y101" s="249"/>
      <c r="Z101" s="250"/>
      <c r="AA101" s="250"/>
      <c r="AB101" s="250"/>
      <c r="AC101" s="250"/>
    </row>
    <row r="102" spans="1:29" s="184" customFormat="1" ht="25.5" customHeight="1" x14ac:dyDescent="0.25">
      <c r="A102" s="325">
        <v>104</v>
      </c>
      <c r="B102" s="325"/>
      <c r="C102" s="325"/>
      <c r="D102" s="325" t="s">
        <v>309</v>
      </c>
      <c r="E102" s="577" t="s">
        <v>1874</v>
      </c>
      <c r="F102" s="459">
        <v>30391</v>
      </c>
      <c r="G102" s="573">
        <v>30391</v>
      </c>
      <c r="H102" s="325" t="s">
        <v>407</v>
      </c>
      <c r="I102" s="325" t="s">
        <v>383</v>
      </c>
      <c r="J102" s="325" t="s">
        <v>313</v>
      </c>
      <c r="K102" s="325"/>
      <c r="L102" s="325"/>
      <c r="M102" s="325"/>
      <c r="O102" s="326"/>
      <c r="W102" s="249"/>
      <c r="X102" s="249"/>
      <c r="Y102" s="249"/>
      <c r="Z102" s="250"/>
      <c r="AA102" s="250"/>
      <c r="AB102" s="250"/>
      <c r="AC102" s="250"/>
    </row>
    <row r="103" spans="1:29" s="184" customFormat="1" ht="25.5" customHeight="1" x14ac:dyDescent="0.25">
      <c r="A103" s="325">
        <v>105</v>
      </c>
      <c r="B103" s="325"/>
      <c r="C103" s="325"/>
      <c r="D103" s="325" t="s">
        <v>309</v>
      </c>
      <c r="E103" s="577" t="s">
        <v>1876</v>
      </c>
      <c r="F103" s="459">
        <v>30396</v>
      </c>
      <c r="G103" s="573">
        <v>30396</v>
      </c>
      <c r="H103" s="325" t="s">
        <v>407</v>
      </c>
      <c r="I103" s="325" t="s">
        <v>383</v>
      </c>
      <c r="J103" s="325" t="s">
        <v>313</v>
      </c>
      <c r="K103" s="325"/>
      <c r="L103" s="325"/>
      <c r="M103" s="325"/>
      <c r="O103" s="326"/>
      <c r="W103" s="249"/>
      <c r="X103" s="249"/>
      <c r="Y103" s="249"/>
      <c r="Z103" s="250"/>
      <c r="AA103" s="250"/>
      <c r="AB103" s="250"/>
      <c r="AC103" s="250"/>
    </row>
    <row r="104" spans="1:29" s="184" customFormat="1" ht="38.25" customHeight="1" x14ac:dyDescent="0.25">
      <c r="A104" s="325">
        <v>106</v>
      </c>
      <c r="B104" s="325"/>
      <c r="C104" s="325"/>
      <c r="D104" s="325" t="s">
        <v>309</v>
      </c>
      <c r="E104" s="577" t="s">
        <v>1886</v>
      </c>
      <c r="F104" s="459">
        <v>30438</v>
      </c>
      <c r="G104" s="573">
        <v>30438</v>
      </c>
      <c r="H104" s="325" t="s">
        <v>778</v>
      </c>
      <c r="I104" s="325" t="s">
        <v>856</v>
      </c>
      <c r="J104" s="325" t="s">
        <v>308</v>
      </c>
      <c r="K104" s="325"/>
      <c r="L104" s="325"/>
      <c r="M104" s="325"/>
      <c r="O104" s="326"/>
      <c r="W104" s="249"/>
      <c r="X104" s="249"/>
      <c r="Y104" s="249"/>
      <c r="Z104" s="250"/>
      <c r="AA104" s="250"/>
      <c r="AB104" s="250"/>
      <c r="AC104" s="250"/>
    </row>
    <row r="105" spans="1:29" s="184" customFormat="1" ht="25.5" customHeight="1" x14ac:dyDescent="0.25">
      <c r="A105" s="325">
        <v>107</v>
      </c>
      <c r="B105" s="325"/>
      <c r="C105" s="325"/>
      <c r="D105" s="325" t="s">
        <v>309</v>
      </c>
      <c r="E105" s="577" t="s">
        <v>1888</v>
      </c>
      <c r="F105" s="459">
        <v>30438</v>
      </c>
      <c r="G105" s="573">
        <v>30438</v>
      </c>
      <c r="H105" s="325" t="s">
        <v>340</v>
      </c>
      <c r="I105" s="325" t="s">
        <v>856</v>
      </c>
      <c r="J105" s="325" t="s">
        <v>313</v>
      </c>
      <c r="K105" s="325"/>
      <c r="L105" s="325"/>
      <c r="M105" s="325"/>
      <c r="O105" s="326"/>
      <c r="W105" s="249"/>
      <c r="X105" s="249"/>
      <c r="Y105" s="249"/>
      <c r="Z105" s="250"/>
      <c r="AA105" s="250"/>
      <c r="AB105" s="250"/>
      <c r="AC105" s="250"/>
    </row>
    <row r="106" spans="1:29" s="184" customFormat="1" ht="25.5" customHeight="1" x14ac:dyDescent="0.25">
      <c r="A106" s="325">
        <v>108</v>
      </c>
      <c r="B106" s="325"/>
      <c r="C106" s="325"/>
      <c r="D106" s="325" t="s">
        <v>309</v>
      </c>
      <c r="E106" s="577" t="s">
        <v>1890</v>
      </c>
      <c r="F106" s="459">
        <v>30445</v>
      </c>
      <c r="G106" s="573">
        <v>30445</v>
      </c>
      <c r="H106" s="325" t="s">
        <v>777</v>
      </c>
      <c r="I106" s="325" t="s">
        <v>856</v>
      </c>
      <c r="J106" s="325" t="s">
        <v>313</v>
      </c>
      <c r="K106" s="325"/>
      <c r="L106" s="325"/>
      <c r="M106" s="325"/>
      <c r="O106" s="326"/>
      <c r="W106" s="249"/>
      <c r="X106" s="249"/>
      <c r="Y106" s="249"/>
      <c r="Z106" s="250"/>
      <c r="AA106" s="250"/>
      <c r="AB106" s="250"/>
      <c r="AC106" s="250"/>
    </row>
    <row r="107" spans="1:29" s="184" customFormat="1" ht="25.5" customHeight="1" x14ac:dyDescent="0.25">
      <c r="A107" s="325">
        <v>109</v>
      </c>
      <c r="B107" s="325"/>
      <c r="C107" s="325"/>
      <c r="D107" s="325" t="s">
        <v>309</v>
      </c>
      <c r="E107" s="577" t="s">
        <v>1892</v>
      </c>
      <c r="F107" s="459">
        <v>30445</v>
      </c>
      <c r="G107" s="573">
        <v>30445</v>
      </c>
      <c r="H107" s="325" t="s">
        <v>420</v>
      </c>
      <c r="I107" s="325" t="s">
        <v>856</v>
      </c>
      <c r="J107" s="325" t="s">
        <v>313</v>
      </c>
      <c r="K107" s="325"/>
      <c r="L107" s="325"/>
      <c r="M107" s="325"/>
      <c r="O107" s="326"/>
      <c r="W107" s="249"/>
      <c r="X107" s="249"/>
      <c r="Y107" s="249"/>
      <c r="Z107" s="250"/>
      <c r="AA107" s="250"/>
      <c r="AB107" s="250"/>
      <c r="AC107" s="250"/>
    </row>
    <row r="108" spans="1:29" s="184" customFormat="1" ht="25.5" customHeight="1" x14ac:dyDescent="0.25">
      <c r="A108" s="325">
        <v>110</v>
      </c>
      <c r="B108" s="325"/>
      <c r="C108" s="325"/>
      <c r="D108" s="325" t="s">
        <v>309</v>
      </c>
      <c r="E108" s="577" t="s">
        <v>1898</v>
      </c>
      <c r="F108" s="459">
        <v>30536</v>
      </c>
      <c r="G108" s="573">
        <v>30536</v>
      </c>
      <c r="H108" s="325" t="s">
        <v>861</v>
      </c>
      <c r="I108" s="325" t="s">
        <v>862</v>
      </c>
      <c r="J108" s="325" t="s">
        <v>313</v>
      </c>
      <c r="K108" s="325"/>
      <c r="L108" s="325"/>
      <c r="M108" s="325"/>
      <c r="O108" s="326"/>
      <c r="W108" s="249"/>
      <c r="X108" s="249"/>
      <c r="Y108" s="249"/>
      <c r="Z108" s="250"/>
      <c r="AA108" s="250"/>
      <c r="AB108" s="250"/>
      <c r="AC108" s="250"/>
    </row>
    <row r="109" spans="1:29" s="184" customFormat="1" ht="25.5" customHeight="1" x14ac:dyDescent="0.25">
      <c r="A109" s="325">
        <v>111</v>
      </c>
      <c r="B109" s="325"/>
      <c r="C109" s="325"/>
      <c r="D109" s="325" t="s">
        <v>309</v>
      </c>
      <c r="E109" s="577" t="s">
        <v>1904</v>
      </c>
      <c r="F109" s="459">
        <v>30536</v>
      </c>
      <c r="G109" s="573">
        <v>30536</v>
      </c>
      <c r="H109" s="325" t="s">
        <v>864</v>
      </c>
      <c r="I109" s="325" t="s">
        <v>862</v>
      </c>
      <c r="J109" s="325" t="s">
        <v>313</v>
      </c>
      <c r="K109" s="325"/>
      <c r="L109" s="325"/>
      <c r="M109" s="325"/>
      <c r="O109" s="326"/>
      <c r="W109" s="249"/>
      <c r="X109" s="249"/>
      <c r="Y109" s="249"/>
      <c r="Z109" s="250"/>
      <c r="AA109" s="250"/>
      <c r="AB109" s="250"/>
      <c r="AC109" s="250"/>
    </row>
    <row r="110" spans="1:29" s="184" customFormat="1" ht="25.5" customHeight="1" x14ac:dyDescent="0.25">
      <c r="A110" s="325">
        <v>112</v>
      </c>
      <c r="B110" s="325"/>
      <c r="C110" s="325"/>
      <c r="D110" s="325" t="s">
        <v>309</v>
      </c>
      <c r="E110" s="577" t="s">
        <v>1912</v>
      </c>
      <c r="F110" s="459">
        <v>30656</v>
      </c>
      <c r="G110" s="573">
        <v>30656</v>
      </c>
      <c r="H110" s="325" t="s">
        <v>286</v>
      </c>
      <c r="I110" s="325" t="s">
        <v>383</v>
      </c>
      <c r="J110" s="325" t="s">
        <v>313</v>
      </c>
      <c r="K110" s="325"/>
      <c r="L110" s="325"/>
      <c r="M110" s="325"/>
      <c r="O110" s="326"/>
      <c r="W110" s="249"/>
      <c r="X110" s="249"/>
      <c r="Y110" s="249"/>
      <c r="Z110" s="250"/>
      <c r="AA110" s="250"/>
      <c r="AB110" s="250"/>
      <c r="AC110" s="250"/>
    </row>
    <row r="111" spans="1:29" s="184" customFormat="1" ht="25.5" customHeight="1" x14ac:dyDescent="0.25">
      <c r="A111" s="325">
        <v>113</v>
      </c>
      <c r="B111" s="325"/>
      <c r="C111" s="325"/>
      <c r="D111" s="325" t="s">
        <v>309</v>
      </c>
      <c r="E111" s="577" t="s">
        <v>1914</v>
      </c>
      <c r="F111" s="459">
        <v>30656</v>
      </c>
      <c r="G111" s="573">
        <v>30656</v>
      </c>
      <c r="H111" s="325" t="s">
        <v>404</v>
      </c>
      <c r="I111" s="325" t="s">
        <v>383</v>
      </c>
      <c r="J111" s="325" t="s">
        <v>313</v>
      </c>
      <c r="K111" s="325"/>
      <c r="L111" s="325"/>
      <c r="M111" s="325"/>
      <c r="O111" s="326"/>
      <c r="W111" s="249"/>
      <c r="X111" s="249"/>
      <c r="Y111" s="249"/>
      <c r="Z111" s="250"/>
      <c r="AA111" s="250"/>
      <c r="AB111" s="250"/>
      <c r="AC111" s="250"/>
    </row>
    <row r="112" spans="1:29" s="184" customFormat="1" ht="25.5" customHeight="1" x14ac:dyDescent="0.25">
      <c r="A112" s="325">
        <v>114</v>
      </c>
      <c r="B112" s="325"/>
      <c r="C112" s="325"/>
      <c r="D112" s="325" t="s">
        <v>309</v>
      </c>
      <c r="E112" s="577" t="s">
        <v>1919</v>
      </c>
      <c r="F112" s="459">
        <v>30726</v>
      </c>
      <c r="G112" s="573">
        <v>30726</v>
      </c>
      <c r="H112" s="325" t="s">
        <v>868</v>
      </c>
      <c r="I112" s="325" t="s">
        <v>383</v>
      </c>
      <c r="J112" s="325" t="s">
        <v>313</v>
      </c>
      <c r="K112" s="325"/>
      <c r="L112" s="325"/>
      <c r="M112" s="325"/>
      <c r="O112" s="326"/>
      <c r="W112" s="249"/>
      <c r="X112" s="249"/>
      <c r="Y112" s="249"/>
      <c r="Z112" s="250"/>
      <c r="AA112" s="250"/>
      <c r="AB112" s="250"/>
      <c r="AC112" s="250"/>
    </row>
    <row r="113" spans="1:29" s="184" customFormat="1" ht="25.5" customHeight="1" x14ac:dyDescent="0.25">
      <c r="A113" s="325">
        <v>115</v>
      </c>
      <c r="B113" s="325"/>
      <c r="C113" s="325"/>
      <c r="D113" s="325" t="s">
        <v>309</v>
      </c>
      <c r="E113" s="577" t="s">
        <v>1922</v>
      </c>
      <c r="F113" s="459">
        <v>30728</v>
      </c>
      <c r="G113" s="573">
        <v>30728</v>
      </c>
      <c r="H113" s="325" t="s">
        <v>870</v>
      </c>
      <c r="I113" s="325" t="s">
        <v>426</v>
      </c>
      <c r="J113" s="325" t="s">
        <v>308</v>
      </c>
      <c r="K113" s="325"/>
      <c r="L113" s="325"/>
      <c r="M113" s="325"/>
      <c r="O113" s="326"/>
      <c r="W113" s="249"/>
      <c r="X113" s="249"/>
      <c r="Y113" s="249"/>
      <c r="Z113" s="250"/>
      <c r="AA113" s="250"/>
      <c r="AB113" s="250"/>
      <c r="AC113" s="250"/>
    </row>
    <row r="114" spans="1:29" s="184" customFormat="1" ht="25.5" customHeight="1" x14ac:dyDescent="0.25">
      <c r="A114" s="325">
        <v>116</v>
      </c>
      <c r="B114" s="325"/>
      <c r="C114" s="325"/>
      <c r="D114" s="325" t="s">
        <v>309</v>
      </c>
      <c r="E114" s="577" t="s">
        <v>1924</v>
      </c>
      <c r="F114" s="459">
        <v>30736</v>
      </c>
      <c r="G114" s="573">
        <v>30736</v>
      </c>
      <c r="H114" s="325" t="s">
        <v>247</v>
      </c>
      <c r="I114" s="325" t="s">
        <v>383</v>
      </c>
      <c r="J114" s="325" t="s">
        <v>313</v>
      </c>
      <c r="K114" s="325"/>
      <c r="L114" s="325"/>
      <c r="M114" s="325"/>
      <c r="O114" s="326"/>
      <c r="W114" s="249"/>
      <c r="X114" s="249"/>
      <c r="Y114" s="249"/>
      <c r="Z114" s="250"/>
      <c r="AA114" s="250"/>
      <c r="AB114" s="250"/>
      <c r="AC114" s="250"/>
    </row>
    <row r="115" spans="1:29" s="184" customFormat="1" ht="25.5" customHeight="1" x14ac:dyDescent="0.25">
      <c r="A115" s="325">
        <v>117</v>
      </c>
      <c r="B115" s="325"/>
      <c r="C115" s="325"/>
      <c r="D115" s="325" t="s">
        <v>309</v>
      </c>
      <c r="E115" s="577" t="s">
        <v>1926</v>
      </c>
      <c r="F115" s="459">
        <v>30736</v>
      </c>
      <c r="G115" s="573">
        <v>30736</v>
      </c>
      <c r="H115" s="325" t="s">
        <v>428</v>
      </c>
      <c r="I115" s="325" t="s">
        <v>383</v>
      </c>
      <c r="J115" s="325" t="s">
        <v>313</v>
      </c>
      <c r="K115" s="325"/>
      <c r="L115" s="325"/>
      <c r="M115" s="325"/>
      <c r="O115" s="326"/>
      <c r="W115" s="249"/>
      <c r="X115" s="249"/>
      <c r="Y115" s="249"/>
      <c r="Z115" s="250"/>
      <c r="AA115" s="250"/>
      <c r="AB115" s="250"/>
      <c r="AC115" s="250"/>
    </row>
    <row r="116" spans="1:29" s="184" customFormat="1" ht="38.25" customHeight="1" x14ac:dyDescent="0.25">
      <c r="A116" s="325">
        <v>119</v>
      </c>
      <c r="B116" s="325"/>
      <c r="C116" s="325"/>
      <c r="D116" s="325" t="s">
        <v>309</v>
      </c>
      <c r="E116" s="577" t="s">
        <v>1928</v>
      </c>
      <c r="F116" s="459">
        <v>30736</v>
      </c>
      <c r="G116" s="573">
        <v>30736</v>
      </c>
      <c r="H116" s="325" t="s">
        <v>430</v>
      </c>
      <c r="I116" s="325" t="s">
        <v>383</v>
      </c>
      <c r="J116" s="325" t="s">
        <v>313</v>
      </c>
      <c r="K116" s="325"/>
      <c r="L116" s="325"/>
      <c r="M116" s="325"/>
      <c r="O116" s="326"/>
      <c r="W116" s="249"/>
      <c r="X116" s="249"/>
      <c r="Y116" s="249"/>
      <c r="Z116" s="250"/>
      <c r="AA116" s="250"/>
      <c r="AB116" s="250"/>
      <c r="AC116" s="250"/>
    </row>
    <row r="117" spans="1:29" s="184" customFormat="1" ht="25.5" customHeight="1" x14ac:dyDescent="0.25">
      <c r="A117" s="325">
        <v>120</v>
      </c>
      <c r="B117" s="325"/>
      <c r="C117" s="325"/>
      <c r="D117" s="325" t="s">
        <v>309</v>
      </c>
      <c r="E117" s="577" t="s">
        <v>1930</v>
      </c>
      <c r="F117" s="459">
        <v>30736</v>
      </c>
      <c r="G117" s="573">
        <v>30736</v>
      </c>
      <c r="H117" s="325" t="s">
        <v>252</v>
      </c>
      <c r="I117" s="325" t="s">
        <v>383</v>
      </c>
      <c r="J117" s="325" t="s">
        <v>313</v>
      </c>
      <c r="K117" s="325"/>
      <c r="L117" s="325"/>
      <c r="M117" s="325"/>
      <c r="O117" s="326"/>
      <c r="W117" s="249"/>
      <c r="X117" s="249"/>
      <c r="Y117" s="249"/>
      <c r="Z117" s="250"/>
      <c r="AA117" s="250"/>
      <c r="AB117" s="250"/>
      <c r="AC117" s="250"/>
    </row>
    <row r="118" spans="1:29" s="184" customFormat="1" ht="25.5" customHeight="1" x14ac:dyDescent="0.25">
      <c r="A118" s="325">
        <v>121</v>
      </c>
      <c r="B118" s="325"/>
      <c r="C118" s="325"/>
      <c r="D118" s="325" t="s">
        <v>309</v>
      </c>
      <c r="E118" s="577" t="s">
        <v>1932</v>
      </c>
      <c r="F118" s="459">
        <v>30736</v>
      </c>
      <c r="G118" s="573">
        <v>30736</v>
      </c>
      <c r="H118" s="325" t="s">
        <v>263</v>
      </c>
      <c r="I118" s="325" t="s">
        <v>383</v>
      </c>
      <c r="J118" s="325" t="s">
        <v>313</v>
      </c>
      <c r="K118" s="325"/>
      <c r="L118" s="325"/>
      <c r="M118" s="325"/>
      <c r="O118" s="326"/>
      <c r="W118" s="249"/>
      <c r="X118" s="249"/>
      <c r="Y118" s="249"/>
      <c r="Z118" s="250"/>
      <c r="AA118" s="250"/>
      <c r="AB118" s="250"/>
      <c r="AC118" s="250"/>
    </row>
    <row r="119" spans="1:29" s="184" customFormat="1" ht="25.5" customHeight="1" x14ac:dyDescent="0.25">
      <c r="A119" s="325">
        <v>122</v>
      </c>
      <c r="B119" s="325"/>
      <c r="C119" s="325"/>
      <c r="D119" s="325" t="s">
        <v>309</v>
      </c>
      <c r="E119" s="577" t="s">
        <v>1934</v>
      </c>
      <c r="F119" s="459">
        <v>30736</v>
      </c>
      <c r="G119" s="573">
        <v>30736</v>
      </c>
      <c r="H119" s="325" t="s">
        <v>394</v>
      </c>
      <c r="I119" s="325" t="s">
        <v>383</v>
      </c>
      <c r="J119" s="325" t="s">
        <v>313</v>
      </c>
      <c r="K119" s="325"/>
      <c r="L119" s="325"/>
      <c r="M119" s="325"/>
      <c r="O119" s="326"/>
      <c r="W119" s="249"/>
      <c r="X119" s="249"/>
      <c r="Y119" s="249"/>
      <c r="Z119" s="250"/>
      <c r="AA119" s="250"/>
      <c r="AB119" s="250"/>
      <c r="AC119" s="250"/>
    </row>
    <row r="120" spans="1:29" s="184" customFormat="1" ht="25.5" customHeight="1" x14ac:dyDescent="0.25">
      <c r="A120" s="325">
        <v>123</v>
      </c>
      <c r="B120" s="325"/>
      <c r="C120" s="325"/>
      <c r="D120" s="325" t="s">
        <v>309</v>
      </c>
      <c r="E120" s="577" t="s">
        <v>1936</v>
      </c>
      <c r="F120" s="459">
        <v>30736</v>
      </c>
      <c r="G120" s="573">
        <v>30736</v>
      </c>
      <c r="H120" s="325" t="s">
        <v>396</v>
      </c>
      <c r="I120" s="325" t="s">
        <v>383</v>
      </c>
      <c r="J120" s="325" t="s">
        <v>313</v>
      </c>
      <c r="K120" s="325"/>
      <c r="L120" s="325"/>
      <c r="M120" s="325"/>
      <c r="O120" s="326"/>
      <c r="W120" s="249"/>
      <c r="X120" s="249"/>
      <c r="Y120" s="249"/>
      <c r="Z120" s="250"/>
      <c r="AA120" s="250"/>
      <c r="AB120" s="250"/>
      <c r="AC120" s="250"/>
    </row>
    <row r="121" spans="1:29" s="184" customFormat="1" ht="25.5" customHeight="1" x14ac:dyDescent="0.25">
      <c r="A121" s="325">
        <v>124</v>
      </c>
      <c r="B121" s="325"/>
      <c r="C121" s="325"/>
      <c r="D121" s="325" t="s">
        <v>309</v>
      </c>
      <c r="E121" s="577" t="s">
        <v>1938</v>
      </c>
      <c r="F121" s="459">
        <v>30736</v>
      </c>
      <c r="G121" s="573">
        <v>30736</v>
      </c>
      <c r="H121" s="325" t="s">
        <v>397</v>
      </c>
      <c r="I121" s="325" t="s">
        <v>383</v>
      </c>
      <c r="J121" s="325" t="s">
        <v>313</v>
      </c>
      <c r="K121" s="325"/>
      <c r="L121" s="325"/>
      <c r="M121" s="325"/>
      <c r="O121" s="326"/>
      <c r="W121" s="249"/>
      <c r="X121" s="249"/>
      <c r="Y121" s="249"/>
      <c r="Z121" s="250"/>
      <c r="AA121" s="250"/>
      <c r="AB121" s="250"/>
      <c r="AC121" s="250"/>
    </row>
    <row r="122" spans="1:29" s="184" customFormat="1" ht="25.5" customHeight="1" x14ac:dyDescent="0.25">
      <c r="A122" s="325">
        <v>125</v>
      </c>
      <c r="B122" s="325"/>
      <c r="C122" s="325"/>
      <c r="D122" s="325" t="s">
        <v>309</v>
      </c>
      <c r="E122" s="577" t="s">
        <v>1940</v>
      </c>
      <c r="F122" s="459">
        <v>30736</v>
      </c>
      <c r="G122" s="573">
        <v>30736</v>
      </c>
      <c r="H122" s="325" t="s">
        <v>431</v>
      </c>
      <c r="I122" s="325" t="s">
        <v>383</v>
      </c>
      <c r="J122" s="325" t="s">
        <v>313</v>
      </c>
      <c r="K122" s="325"/>
      <c r="L122" s="325"/>
      <c r="M122" s="325"/>
      <c r="O122" s="326"/>
      <c r="W122" s="249"/>
      <c r="X122" s="249"/>
      <c r="Y122" s="249"/>
      <c r="Z122" s="250"/>
      <c r="AA122" s="250"/>
      <c r="AB122" s="250"/>
      <c r="AC122" s="250"/>
    </row>
    <row r="123" spans="1:29" s="184" customFormat="1" ht="25.5" customHeight="1" x14ac:dyDescent="0.25">
      <c r="A123" s="325">
        <v>118</v>
      </c>
      <c r="B123" s="325"/>
      <c r="C123" s="325"/>
      <c r="D123" s="325" t="s">
        <v>309</v>
      </c>
      <c r="E123" s="577" t="s">
        <v>1943</v>
      </c>
      <c r="F123" s="459">
        <v>30736</v>
      </c>
      <c r="G123" s="573">
        <v>30736</v>
      </c>
      <c r="H123" s="325" t="s">
        <v>874</v>
      </c>
      <c r="I123" s="325" t="s">
        <v>383</v>
      </c>
      <c r="J123" s="325" t="s">
        <v>313</v>
      </c>
      <c r="K123" s="325"/>
      <c r="L123" s="325"/>
      <c r="M123" s="325"/>
      <c r="O123" s="326"/>
      <c r="W123" s="249"/>
      <c r="X123" s="249"/>
      <c r="Y123" s="249"/>
      <c r="Z123" s="250"/>
      <c r="AA123" s="250"/>
      <c r="AB123" s="250"/>
      <c r="AC123" s="250"/>
    </row>
    <row r="124" spans="1:29" s="184" customFormat="1" ht="25.5" customHeight="1" x14ac:dyDescent="0.25">
      <c r="A124" s="325">
        <v>129</v>
      </c>
      <c r="B124" s="325"/>
      <c r="C124" s="325"/>
      <c r="D124" s="325" t="s">
        <v>309</v>
      </c>
      <c r="E124" s="577" t="s">
        <v>1946</v>
      </c>
      <c r="F124" s="459">
        <v>30739</v>
      </c>
      <c r="G124" s="573">
        <v>30739</v>
      </c>
      <c r="H124" s="325" t="s">
        <v>431</v>
      </c>
      <c r="I124" s="325" t="s">
        <v>383</v>
      </c>
      <c r="J124" s="325" t="s">
        <v>313</v>
      </c>
      <c r="K124" s="325"/>
      <c r="L124" s="325"/>
      <c r="M124" s="325"/>
      <c r="O124" s="326"/>
      <c r="W124" s="249"/>
      <c r="X124" s="249"/>
      <c r="Y124" s="249"/>
      <c r="Z124" s="250"/>
      <c r="AA124" s="250"/>
      <c r="AB124" s="250"/>
      <c r="AC124" s="250"/>
    </row>
    <row r="125" spans="1:29" s="184" customFormat="1" ht="25.5" customHeight="1" x14ac:dyDescent="0.25">
      <c r="A125" s="325">
        <v>126</v>
      </c>
      <c r="B125" s="325"/>
      <c r="C125" s="325"/>
      <c r="D125" s="325" t="s">
        <v>309</v>
      </c>
      <c r="E125" s="577" t="s">
        <v>1949</v>
      </c>
      <c r="F125" s="459">
        <v>30739</v>
      </c>
      <c r="G125" s="573">
        <v>30739</v>
      </c>
      <c r="H125" s="325" t="s">
        <v>392</v>
      </c>
      <c r="I125" s="325" t="s">
        <v>383</v>
      </c>
      <c r="J125" s="325" t="s">
        <v>313</v>
      </c>
      <c r="K125" s="325"/>
      <c r="L125" s="325"/>
      <c r="M125" s="325"/>
      <c r="O125" s="326"/>
      <c r="W125" s="249"/>
      <c r="X125" s="249"/>
      <c r="Y125" s="249"/>
      <c r="Z125" s="250"/>
      <c r="AA125" s="250"/>
      <c r="AB125" s="250"/>
      <c r="AC125" s="250"/>
    </row>
    <row r="126" spans="1:29" s="184" customFormat="1" ht="25.5" customHeight="1" x14ac:dyDescent="0.25">
      <c r="A126" s="325">
        <v>127</v>
      </c>
      <c r="B126" s="325"/>
      <c r="C126" s="325"/>
      <c r="D126" s="325" t="s">
        <v>309</v>
      </c>
      <c r="E126" s="577" t="s">
        <v>1951</v>
      </c>
      <c r="F126" s="459">
        <v>30739</v>
      </c>
      <c r="G126" s="573">
        <v>30739</v>
      </c>
      <c r="H126" s="325" t="s">
        <v>884</v>
      </c>
      <c r="I126" s="325" t="s">
        <v>383</v>
      </c>
      <c r="J126" s="325" t="s">
        <v>313</v>
      </c>
      <c r="K126" s="325"/>
      <c r="L126" s="325"/>
      <c r="M126" s="325"/>
      <c r="O126" s="326"/>
      <c r="W126" s="249"/>
      <c r="X126" s="249"/>
      <c r="Y126" s="249"/>
      <c r="Z126" s="250"/>
      <c r="AA126" s="250"/>
      <c r="AB126" s="250"/>
      <c r="AC126" s="250"/>
    </row>
    <row r="127" spans="1:29" s="184" customFormat="1" ht="25.5" customHeight="1" x14ac:dyDescent="0.25">
      <c r="A127" s="325">
        <v>128</v>
      </c>
      <c r="B127" s="325"/>
      <c r="C127" s="325"/>
      <c r="D127" s="325" t="s">
        <v>309</v>
      </c>
      <c r="E127" s="577" t="s">
        <v>1953</v>
      </c>
      <c r="F127" s="459">
        <v>30739</v>
      </c>
      <c r="G127" s="573">
        <v>30739</v>
      </c>
      <c r="H127" s="325" t="s">
        <v>433</v>
      </c>
      <c r="I127" s="325" t="s">
        <v>383</v>
      </c>
      <c r="J127" s="325" t="s">
        <v>313</v>
      </c>
      <c r="K127" s="325"/>
      <c r="L127" s="325"/>
      <c r="M127" s="325"/>
      <c r="O127" s="326"/>
      <c r="W127" s="249"/>
      <c r="X127" s="249"/>
      <c r="Y127" s="249"/>
      <c r="Z127" s="250"/>
      <c r="AA127" s="250"/>
      <c r="AB127" s="250"/>
      <c r="AC127" s="250"/>
    </row>
    <row r="128" spans="1:29" s="184" customFormat="1" ht="25.5" customHeight="1" x14ac:dyDescent="0.25">
      <c r="A128" s="325">
        <v>130</v>
      </c>
      <c r="B128" s="325"/>
      <c r="C128" s="325"/>
      <c r="D128" s="325" t="s">
        <v>309</v>
      </c>
      <c r="E128" s="577" t="s">
        <v>1955</v>
      </c>
      <c r="F128" s="459">
        <v>30741</v>
      </c>
      <c r="G128" s="573">
        <v>30741</v>
      </c>
      <c r="H128" s="325" t="s">
        <v>400</v>
      </c>
      <c r="I128" s="325" t="s">
        <v>383</v>
      </c>
      <c r="J128" s="325" t="s">
        <v>313</v>
      </c>
      <c r="K128" s="325"/>
      <c r="L128" s="325"/>
      <c r="M128" s="325"/>
      <c r="O128" s="326"/>
      <c r="W128" s="249"/>
      <c r="X128" s="249"/>
      <c r="Y128" s="249"/>
      <c r="Z128" s="250"/>
      <c r="AA128" s="250"/>
      <c r="AB128" s="250"/>
      <c r="AC128" s="250"/>
    </row>
    <row r="129" spans="1:29" s="184" customFormat="1" ht="25.5" customHeight="1" x14ac:dyDescent="0.25">
      <c r="A129" s="325">
        <v>131</v>
      </c>
      <c r="B129" s="325"/>
      <c r="C129" s="325"/>
      <c r="D129" s="325" t="s">
        <v>309</v>
      </c>
      <c r="E129" s="577" t="s">
        <v>1957</v>
      </c>
      <c r="F129" s="459">
        <v>30742</v>
      </c>
      <c r="G129" s="573">
        <v>30742</v>
      </c>
      <c r="H129" s="325" t="s">
        <v>752</v>
      </c>
      <c r="I129" s="325" t="s">
        <v>383</v>
      </c>
      <c r="J129" s="325" t="s">
        <v>313</v>
      </c>
      <c r="K129" s="325"/>
      <c r="L129" s="325"/>
      <c r="M129" s="325"/>
      <c r="O129" s="326"/>
      <c r="W129" s="249"/>
      <c r="X129" s="249"/>
      <c r="Y129" s="249"/>
      <c r="Z129" s="250"/>
      <c r="AA129" s="250"/>
      <c r="AB129" s="250"/>
      <c r="AC129" s="250"/>
    </row>
    <row r="130" spans="1:29" s="184" customFormat="1" ht="25.5" customHeight="1" x14ac:dyDescent="0.25">
      <c r="A130" s="325">
        <v>132</v>
      </c>
      <c r="B130" s="325"/>
      <c r="C130" s="325"/>
      <c r="D130" s="325" t="s">
        <v>309</v>
      </c>
      <c r="E130" s="577" t="s">
        <v>1960</v>
      </c>
      <c r="F130" s="459">
        <v>30748</v>
      </c>
      <c r="G130" s="573">
        <v>30748</v>
      </c>
      <c r="H130" s="325" t="s">
        <v>435</v>
      </c>
      <c r="I130" s="325" t="s">
        <v>383</v>
      </c>
      <c r="J130" s="325" t="s">
        <v>313</v>
      </c>
      <c r="K130" s="325"/>
      <c r="L130" s="325"/>
      <c r="M130" s="325"/>
      <c r="O130" s="326"/>
      <c r="W130" s="249"/>
      <c r="X130" s="249"/>
      <c r="Y130" s="249"/>
      <c r="Z130" s="250"/>
      <c r="AA130" s="250"/>
      <c r="AB130" s="250"/>
      <c r="AC130" s="250"/>
    </row>
    <row r="131" spans="1:29" s="184" customFormat="1" ht="25.5" customHeight="1" x14ac:dyDescent="0.25">
      <c r="A131" s="325">
        <v>133</v>
      </c>
      <c r="B131" s="325"/>
      <c r="C131" s="325"/>
      <c r="D131" s="325" t="s">
        <v>309</v>
      </c>
      <c r="E131" s="577" t="s">
        <v>1962</v>
      </c>
      <c r="F131" s="459">
        <v>30749</v>
      </c>
      <c r="G131" s="573">
        <v>30749</v>
      </c>
      <c r="H131" s="325" t="s">
        <v>436</v>
      </c>
      <c r="I131" s="325" t="s">
        <v>383</v>
      </c>
      <c r="J131" s="325" t="s">
        <v>313</v>
      </c>
      <c r="K131" s="325"/>
      <c r="L131" s="325"/>
      <c r="M131" s="325"/>
      <c r="O131" s="326"/>
      <c r="W131" s="249"/>
      <c r="X131" s="249"/>
      <c r="Y131" s="249"/>
      <c r="Z131" s="250"/>
      <c r="AA131" s="250"/>
      <c r="AB131" s="250"/>
      <c r="AC131" s="250"/>
    </row>
    <row r="132" spans="1:29" s="184" customFormat="1" ht="25.5" customHeight="1" x14ac:dyDescent="0.25">
      <c r="A132" s="325">
        <v>134</v>
      </c>
      <c r="B132" s="325"/>
      <c r="C132" s="325"/>
      <c r="D132" s="325" t="s">
        <v>309</v>
      </c>
      <c r="E132" s="577" t="s">
        <v>1964</v>
      </c>
      <c r="F132" s="459">
        <v>30756</v>
      </c>
      <c r="G132" s="573">
        <v>30756</v>
      </c>
      <c r="H132" s="325" t="s">
        <v>437</v>
      </c>
      <c r="I132" s="325" t="s">
        <v>383</v>
      </c>
      <c r="J132" s="325" t="s">
        <v>313</v>
      </c>
      <c r="K132" s="325"/>
      <c r="L132" s="325"/>
      <c r="M132" s="325"/>
      <c r="O132" s="326"/>
      <c r="W132" s="249"/>
      <c r="X132" s="249"/>
      <c r="Y132" s="249"/>
      <c r="Z132" s="250"/>
      <c r="AA132" s="250"/>
      <c r="AB132" s="250"/>
      <c r="AC132" s="250"/>
    </row>
    <row r="133" spans="1:29" s="184" customFormat="1" ht="25.5" customHeight="1" x14ac:dyDescent="0.25">
      <c r="A133" s="325">
        <v>135</v>
      </c>
      <c r="B133" s="325"/>
      <c r="C133" s="325"/>
      <c r="D133" s="325" t="s">
        <v>309</v>
      </c>
      <c r="E133" s="577" t="s">
        <v>1966</v>
      </c>
      <c r="F133" s="459">
        <v>30756</v>
      </c>
      <c r="G133" s="573">
        <v>30756</v>
      </c>
      <c r="H133" s="325" t="s">
        <v>438</v>
      </c>
      <c r="I133" s="325" t="s">
        <v>383</v>
      </c>
      <c r="J133" s="325" t="s">
        <v>313</v>
      </c>
      <c r="K133" s="325"/>
      <c r="L133" s="325"/>
      <c r="M133" s="325"/>
      <c r="O133" s="326"/>
      <c r="W133" s="249"/>
      <c r="X133" s="249"/>
      <c r="Y133" s="249"/>
      <c r="Z133" s="250"/>
      <c r="AA133" s="250"/>
      <c r="AB133" s="250"/>
      <c r="AC133" s="250"/>
    </row>
    <row r="134" spans="1:29" s="184" customFormat="1" ht="25.5" customHeight="1" x14ac:dyDescent="0.25">
      <c r="A134" s="325">
        <v>136</v>
      </c>
      <c r="B134" s="325"/>
      <c r="C134" s="325"/>
      <c r="D134" s="325" t="s">
        <v>309</v>
      </c>
      <c r="E134" s="577" t="s">
        <v>1968</v>
      </c>
      <c r="F134" s="459">
        <v>30756</v>
      </c>
      <c r="G134" s="573">
        <v>30756</v>
      </c>
      <c r="H134" s="325" t="s">
        <v>240</v>
      </c>
      <c r="I134" s="325" t="s">
        <v>383</v>
      </c>
      <c r="J134" s="325" t="s">
        <v>313</v>
      </c>
      <c r="K134" s="325"/>
      <c r="L134" s="325"/>
      <c r="M134" s="325"/>
      <c r="O134" s="326"/>
      <c r="W134" s="249"/>
      <c r="X134" s="249"/>
      <c r="Y134" s="249"/>
      <c r="Z134" s="250"/>
      <c r="AA134" s="250"/>
      <c r="AB134" s="250"/>
      <c r="AC134" s="250"/>
    </row>
    <row r="135" spans="1:29" s="184" customFormat="1" ht="25.5" customHeight="1" x14ac:dyDescent="0.25">
      <c r="A135" s="325">
        <v>137</v>
      </c>
      <c r="B135" s="325"/>
      <c r="C135" s="325"/>
      <c r="D135" s="325" t="s">
        <v>309</v>
      </c>
      <c r="E135" s="577" t="s">
        <v>1997</v>
      </c>
      <c r="F135" s="459">
        <v>31051</v>
      </c>
      <c r="G135" s="573">
        <v>31051</v>
      </c>
      <c r="H135" s="325" t="s">
        <v>895</v>
      </c>
      <c r="I135" s="325" t="s">
        <v>896</v>
      </c>
      <c r="J135" s="325" t="s">
        <v>313</v>
      </c>
      <c r="K135" s="325"/>
      <c r="L135" s="325"/>
      <c r="M135" s="325"/>
      <c r="O135" s="326"/>
      <c r="W135" s="249"/>
      <c r="X135" s="249"/>
      <c r="Y135" s="249"/>
      <c r="Z135" s="250"/>
      <c r="AA135" s="250"/>
      <c r="AB135" s="250"/>
      <c r="AC135" s="250"/>
    </row>
    <row r="136" spans="1:29" s="184" customFormat="1" ht="25.5" customHeight="1" x14ac:dyDescent="0.25">
      <c r="A136" s="325">
        <v>138</v>
      </c>
      <c r="B136" s="325"/>
      <c r="C136" s="325"/>
      <c r="D136" s="325" t="s">
        <v>309</v>
      </c>
      <c r="E136" s="577" t="s">
        <v>2007</v>
      </c>
      <c r="F136" s="459">
        <v>31147</v>
      </c>
      <c r="G136" s="573">
        <v>31147</v>
      </c>
      <c r="H136" s="325" t="s">
        <v>392</v>
      </c>
      <c r="I136" s="325" t="s">
        <v>383</v>
      </c>
      <c r="J136" s="325" t="s">
        <v>313</v>
      </c>
      <c r="K136" s="325"/>
      <c r="L136" s="325"/>
      <c r="M136" s="325"/>
      <c r="O136" s="326"/>
      <c r="W136" s="249"/>
      <c r="X136" s="249"/>
      <c r="Y136" s="249"/>
      <c r="Z136" s="250"/>
      <c r="AA136" s="250"/>
      <c r="AB136" s="250"/>
      <c r="AC136" s="250"/>
    </row>
    <row r="137" spans="1:29" s="184" customFormat="1" ht="25.5" customHeight="1" x14ac:dyDescent="0.25">
      <c r="A137" s="325">
        <v>139</v>
      </c>
      <c r="B137" s="325"/>
      <c r="C137" s="325"/>
      <c r="D137" s="325" t="s">
        <v>309</v>
      </c>
      <c r="E137" s="577" t="s">
        <v>2009</v>
      </c>
      <c r="F137" s="459">
        <v>31147</v>
      </c>
      <c r="G137" s="573">
        <v>31147</v>
      </c>
      <c r="H137" s="325" t="s">
        <v>394</v>
      </c>
      <c r="I137" s="325" t="s">
        <v>383</v>
      </c>
      <c r="J137" s="325" t="s">
        <v>313</v>
      </c>
      <c r="K137" s="325"/>
      <c r="L137" s="325"/>
      <c r="M137" s="325"/>
      <c r="O137" s="326"/>
      <c r="W137" s="249"/>
      <c r="X137" s="249"/>
      <c r="Y137" s="249"/>
      <c r="Z137" s="250"/>
      <c r="AA137" s="250"/>
      <c r="AB137" s="250"/>
      <c r="AC137" s="250"/>
    </row>
    <row r="138" spans="1:29" s="184" customFormat="1" ht="25.5" customHeight="1" x14ac:dyDescent="0.25">
      <c r="A138" s="325">
        <v>140</v>
      </c>
      <c r="B138" s="325"/>
      <c r="C138" s="325"/>
      <c r="D138" s="325" t="s">
        <v>309</v>
      </c>
      <c r="E138" s="577" t="s">
        <v>2011</v>
      </c>
      <c r="F138" s="459">
        <v>31147</v>
      </c>
      <c r="G138" s="573">
        <v>31147</v>
      </c>
      <c r="H138" s="325" t="s">
        <v>396</v>
      </c>
      <c r="I138" s="325" t="s">
        <v>383</v>
      </c>
      <c r="J138" s="325" t="s">
        <v>313</v>
      </c>
      <c r="K138" s="325"/>
      <c r="L138" s="325"/>
      <c r="M138" s="325"/>
      <c r="O138" s="326"/>
      <c r="W138" s="249"/>
      <c r="X138" s="249"/>
      <c r="Y138" s="249"/>
      <c r="Z138" s="250"/>
      <c r="AA138" s="250"/>
      <c r="AB138" s="250"/>
      <c r="AC138" s="250"/>
    </row>
    <row r="139" spans="1:29" s="184" customFormat="1" ht="25.5" customHeight="1" x14ac:dyDescent="0.25">
      <c r="A139" s="325">
        <v>143</v>
      </c>
      <c r="B139" s="325"/>
      <c r="C139" s="325"/>
      <c r="D139" s="325" t="s">
        <v>309</v>
      </c>
      <c r="E139" s="577" t="s">
        <v>2013</v>
      </c>
      <c r="F139" s="459">
        <v>31147</v>
      </c>
      <c r="G139" s="573">
        <v>31147</v>
      </c>
      <c r="H139" s="325" t="s">
        <v>903</v>
      </c>
      <c r="I139" s="325" t="s">
        <v>383</v>
      </c>
      <c r="J139" s="325" t="s">
        <v>313</v>
      </c>
      <c r="K139" s="325"/>
      <c r="L139" s="325"/>
      <c r="M139" s="325"/>
      <c r="O139" s="326"/>
      <c r="W139" s="249"/>
      <c r="X139" s="249"/>
      <c r="Y139" s="249"/>
      <c r="Z139" s="250"/>
      <c r="AA139" s="250"/>
      <c r="AB139" s="250"/>
      <c r="AC139" s="250"/>
    </row>
    <row r="140" spans="1:29" s="184" customFormat="1" ht="25.5" customHeight="1" x14ac:dyDescent="0.25">
      <c r="A140" s="325">
        <v>144</v>
      </c>
      <c r="B140" s="325"/>
      <c r="C140" s="325"/>
      <c r="D140" s="325" t="s">
        <v>309</v>
      </c>
      <c r="E140" s="577" t="s">
        <v>2016</v>
      </c>
      <c r="F140" s="459">
        <v>31147</v>
      </c>
      <c r="G140" s="573">
        <v>31147</v>
      </c>
      <c r="H140" s="325" t="s">
        <v>433</v>
      </c>
      <c r="I140" s="325" t="s">
        <v>383</v>
      </c>
      <c r="J140" s="325" t="s">
        <v>313</v>
      </c>
      <c r="K140" s="325"/>
      <c r="L140" s="325"/>
      <c r="M140" s="325"/>
      <c r="O140" s="326"/>
      <c r="W140" s="249"/>
      <c r="X140" s="249"/>
      <c r="Y140" s="249"/>
      <c r="Z140" s="250"/>
      <c r="AA140" s="250"/>
      <c r="AB140" s="250"/>
      <c r="AC140" s="250"/>
    </row>
    <row r="141" spans="1:29" s="184" customFormat="1" ht="25.5" customHeight="1" x14ac:dyDescent="0.25">
      <c r="A141" s="325">
        <v>141</v>
      </c>
      <c r="B141" s="325"/>
      <c r="C141" s="325"/>
      <c r="D141" s="325" t="s">
        <v>309</v>
      </c>
      <c r="E141" s="577" t="s">
        <v>2018</v>
      </c>
      <c r="F141" s="459">
        <v>31147</v>
      </c>
      <c r="G141" s="573">
        <v>31147</v>
      </c>
      <c r="H141" s="325" t="s">
        <v>397</v>
      </c>
      <c r="I141" s="325" t="s">
        <v>383</v>
      </c>
      <c r="J141" s="325" t="s">
        <v>313</v>
      </c>
      <c r="K141" s="325"/>
      <c r="L141" s="325"/>
      <c r="M141" s="325"/>
      <c r="O141" s="326"/>
      <c r="W141" s="249"/>
      <c r="X141" s="249"/>
      <c r="Y141" s="249"/>
      <c r="Z141" s="250"/>
      <c r="AA141" s="250"/>
      <c r="AB141" s="250"/>
      <c r="AC141" s="250"/>
    </row>
    <row r="142" spans="1:29" s="184" customFormat="1" ht="25.5" customHeight="1" x14ac:dyDescent="0.25">
      <c r="A142" s="325">
        <v>142</v>
      </c>
      <c r="B142" s="325"/>
      <c r="C142" s="325"/>
      <c r="D142" s="325" t="s">
        <v>309</v>
      </c>
      <c r="E142" s="577" t="s">
        <v>2020</v>
      </c>
      <c r="F142" s="459">
        <v>31147</v>
      </c>
      <c r="G142" s="573">
        <v>31147</v>
      </c>
      <c r="H142" s="325" t="s">
        <v>395</v>
      </c>
      <c r="I142" s="325" t="s">
        <v>383</v>
      </c>
      <c r="J142" s="325" t="s">
        <v>313</v>
      </c>
      <c r="K142" s="325"/>
      <c r="L142" s="325"/>
      <c r="M142" s="325"/>
      <c r="O142" s="326"/>
      <c r="W142" s="249"/>
      <c r="X142" s="249"/>
      <c r="Y142" s="249"/>
      <c r="Z142" s="250"/>
      <c r="AA142" s="250"/>
      <c r="AB142" s="250"/>
      <c r="AC142" s="250"/>
    </row>
    <row r="143" spans="1:29" s="184" customFormat="1" ht="25.5" customHeight="1" x14ac:dyDescent="0.25">
      <c r="A143" s="325">
        <v>145</v>
      </c>
      <c r="B143" s="325"/>
      <c r="C143" s="325"/>
      <c r="D143" s="325" t="s">
        <v>309</v>
      </c>
      <c r="E143" s="577" t="s">
        <v>2022</v>
      </c>
      <c r="F143" s="459">
        <v>31147</v>
      </c>
      <c r="G143" s="573">
        <v>31147</v>
      </c>
      <c r="H143" s="325" t="s">
        <v>431</v>
      </c>
      <c r="I143" s="325" t="s">
        <v>383</v>
      </c>
      <c r="J143" s="325" t="s">
        <v>313</v>
      </c>
      <c r="K143" s="325"/>
      <c r="L143" s="325"/>
      <c r="M143" s="325"/>
      <c r="O143" s="326"/>
      <c r="W143" s="249"/>
      <c r="X143" s="249"/>
      <c r="Y143" s="249"/>
      <c r="Z143" s="250"/>
      <c r="AA143" s="250"/>
      <c r="AB143" s="250"/>
      <c r="AC143" s="250"/>
    </row>
    <row r="144" spans="1:29" s="184" customFormat="1" ht="25.5" customHeight="1" x14ac:dyDescent="0.25">
      <c r="A144" s="325">
        <v>146</v>
      </c>
      <c r="B144" s="325"/>
      <c r="C144" s="325"/>
      <c r="D144" s="325" t="s">
        <v>309</v>
      </c>
      <c r="E144" s="577" t="s">
        <v>2024</v>
      </c>
      <c r="F144" s="459">
        <v>31147</v>
      </c>
      <c r="G144" s="573">
        <v>31147</v>
      </c>
      <c r="H144" s="325" t="s">
        <v>907</v>
      </c>
      <c r="I144" s="325" t="s">
        <v>383</v>
      </c>
      <c r="J144" s="325" t="s">
        <v>313</v>
      </c>
      <c r="K144" s="325"/>
      <c r="L144" s="325"/>
      <c r="M144" s="325"/>
      <c r="O144" s="326"/>
      <c r="W144" s="249"/>
      <c r="X144" s="249"/>
      <c r="Y144" s="249"/>
      <c r="Z144" s="250"/>
      <c r="AA144" s="250"/>
      <c r="AB144" s="250"/>
      <c r="AC144" s="250"/>
    </row>
    <row r="145" spans="1:29" s="184" customFormat="1" ht="25.5" customHeight="1" x14ac:dyDescent="0.25">
      <c r="A145" s="325">
        <v>147</v>
      </c>
      <c r="B145" s="325"/>
      <c r="C145" s="325"/>
      <c r="D145" s="325" t="s">
        <v>309</v>
      </c>
      <c r="E145" s="577" t="s">
        <v>2027</v>
      </c>
      <c r="F145" s="459">
        <v>31147</v>
      </c>
      <c r="G145" s="573">
        <v>31147</v>
      </c>
      <c r="H145" s="325" t="s">
        <v>909</v>
      </c>
      <c r="I145" s="325" t="s">
        <v>383</v>
      </c>
      <c r="J145" s="325" t="s">
        <v>313</v>
      </c>
      <c r="K145" s="325"/>
      <c r="L145" s="325"/>
      <c r="M145" s="325"/>
      <c r="O145" s="326"/>
      <c r="W145" s="249"/>
      <c r="X145" s="249"/>
      <c r="Y145" s="249"/>
      <c r="Z145" s="250"/>
      <c r="AA145" s="250"/>
      <c r="AB145" s="250"/>
      <c r="AC145" s="250"/>
    </row>
    <row r="146" spans="1:29" s="184" customFormat="1" ht="25.5" customHeight="1" x14ac:dyDescent="0.25">
      <c r="A146" s="325">
        <v>148</v>
      </c>
      <c r="B146" s="325"/>
      <c r="C146" s="325"/>
      <c r="D146" s="325" t="s">
        <v>309</v>
      </c>
      <c r="E146" s="577" t="s">
        <v>2033</v>
      </c>
      <c r="F146" s="459">
        <v>31158</v>
      </c>
      <c r="G146" s="573">
        <v>31158</v>
      </c>
      <c r="H146" s="325" t="s">
        <v>752</v>
      </c>
      <c r="I146" s="325" t="s">
        <v>383</v>
      </c>
      <c r="J146" s="325" t="s">
        <v>313</v>
      </c>
      <c r="K146" s="325"/>
      <c r="L146" s="325"/>
      <c r="M146" s="325"/>
      <c r="O146" s="326"/>
      <c r="W146" s="249"/>
      <c r="X146" s="249"/>
      <c r="Y146" s="249"/>
      <c r="Z146" s="250"/>
      <c r="AA146" s="250"/>
      <c r="AB146" s="250"/>
      <c r="AC146" s="250"/>
    </row>
    <row r="147" spans="1:29" s="184" customFormat="1" ht="25.5" customHeight="1" x14ac:dyDescent="0.25">
      <c r="A147" s="325">
        <v>149</v>
      </c>
      <c r="B147" s="325"/>
      <c r="C147" s="325"/>
      <c r="D147" s="325" t="s">
        <v>309</v>
      </c>
      <c r="E147" s="577" t="s">
        <v>2035</v>
      </c>
      <c r="F147" s="459">
        <v>31158</v>
      </c>
      <c r="G147" s="573">
        <v>31158</v>
      </c>
      <c r="H147" s="325" t="s">
        <v>400</v>
      </c>
      <c r="I147" s="325" t="s">
        <v>383</v>
      </c>
      <c r="J147" s="325" t="s">
        <v>308</v>
      </c>
      <c r="K147" s="325"/>
      <c r="L147" s="325"/>
      <c r="M147" s="325"/>
      <c r="O147" s="326"/>
      <c r="W147" s="249"/>
      <c r="X147" s="249"/>
      <c r="Y147" s="249"/>
      <c r="Z147" s="250"/>
      <c r="AA147" s="250"/>
      <c r="AB147" s="250"/>
      <c r="AC147" s="250"/>
    </row>
    <row r="148" spans="1:29" s="184" customFormat="1" ht="38.25" customHeight="1" x14ac:dyDescent="0.25">
      <c r="A148" s="325">
        <v>150</v>
      </c>
      <c r="B148" s="325"/>
      <c r="C148" s="325"/>
      <c r="D148" s="325" t="s">
        <v>309</v>
      </c>
      <c r="E148" s="577" t="s">
        <v>2037</v>
      </c>
      <c r="F148" s="459">
        <v>31166</v>
      </c>
      <c r="G148" s="573">
        <v>31166</v>
      </c>
      <c r="H148" s="325" t="s">
        <v>249</v>
      </c>
      <c r="I148" s="325" t="s">
        <v>383</v>
      </c>
      <c r="J148" s="325" t="s">
        <v>313</v>
      </c>
      <c r="K148" s="325"/>
      <c r="L148" s="325"/>
      <c r="M148" s="325"/>
      <c r="O148" s="326"/>
      <c r="W148" s="249"/>
      <c r="X148" s="249"/>
      <c r="Y148" s="249"/>
      <c r="Z148" s="250"/>
      <c r="AA148" s="250"/>
      <c r="AB148" s="250"/>
      <c r="AC148" s="250"/>
    </row>
    <row r="149" spans="1:29" s="184" customFormat="1" ht="25.5" customHeight="1" x14ac:dyDescent="0.25">
      <c r="A149" s="325">
        <v>151</v>
      </c>
      <c r="B149" s="325"/>
      <c r="C149" s="325"/>
      <c r="D149" s="325" t="s">
        <v>309</v>
      </c>
      <c r="E149" s="577" t="s">
        <v>2042</v>
      </c>
      <c r="F149" s="459">
        <v>31226</v>
      </c>
      <c r="G149" s="573">
        <v>31226</v>
      </c>
      <c r="H149" s="325" t="s">
        <v>435</v>
      </c>
      <c r="I149" s="325" t="s">
        <v>383</v>
      </c>
      <c r="J149" s="325" t="s">
        <v>313</v>
      </c>
      <c r="K149" s="325"/>
      <c r="L149" s="325"/>
      <c r="M149" s="325"/>
      <c r="O149" s="326"/>
      <c r="W149" s="249"/>
      <c r="X149" s="249"/>
      <c r="Y149" s="249"/>
      <c r="Z149" s="250"/>
      <c r="AA149" s="250"/>
      <c r="AB149" s="250"/>
      <c r="AC149" s="250"/>
    </row>
    <row r="150" spans="1:29" s="184" customFormat="1" ht="25.5" customHeight="1" x14ac:dyDescent="0.25">
      <c r="A150" s="325">
        <v>152</v>
      </c>
      <c r="B150" s="325"/>
      <c r="C150" s="325"/>
      <c r="D150" s="325" t="s">
        <v>309</v>
      </c>
      <c r="E150" s="577" t="s">
        <v>2058</v>
      </c>
      <c r="F150" s="459">
        <v>31347</v>
      </c>
      <c r="G150" s="573">
        <v>31347</v>
      </c>
      <c r="H150" s="325" t="s">
        <v>407</v>
      </c>
      <c r="I150" s="325" t="s">
        <v>383</v>
      </c>
      <c r="J150" s="325" t="s">
        <v>313</v>
      </c>
      <c r="K150" s="325"/>
      <c r="L150" s="325"/>
      <c r="M150" s="325"/>
      <c r="O150" s="326"/>
      <c r="W150" s="249"/>
      <c r="X150" s="249"/>
      <c r="Y150" s="249"/>
      <c r="Z150" s="250"/>
      <c r="AA150" s="250"/>
      <c r="AB150" s="250"/>
      <c r="AC150" s="250"/>
    </row>
    <row r="151" spans="1:29" s="184" customFormat="1" ht="25.5" customHeight="1" x14ac:dyDescent="0.25">
      <c r="A151" s="325">
        <v>153</v>
      </c>
      <c r="B151" s="325"/>
      <c r="C151" s="325"/>
      <c r="D151" s="325" t="s">
        <v>309</v>
      </c>
      <c r="E151" s="577" t="s">
        <v>2084</v>
      </c>
      <c r="F151" s="459">
        <v>31755</v>
      </c>
      <c r="G151" s="573">
        <v>31755</v>
      </c>
      <c r="H151" s="325" t="s">
        <v>843</v>
      </c>
      <c r="I151" s="325" t="s">
        <v>444</v>
      </c>
      <c r="J151" s="325" t="s">
        <v>313</v>
      </c>
      <c r="K151" s="325"/>
      <c r="L151" s="325"/>
      <c r="M151" s="325"/>
      <c r="O151" s="326"/>
      <c r="W151" s="249"/>
      <c r="X151" s="249"/>
      <c r="Y151" s="249"/>
      <c r="Z151" s="250"/>
      <c r="AA151" s="250"/>
      <c r="AB151" s="250"/>
      <c r="AC151" s="250"/>
    </row>
    <row r="152" spans="1:29" s="184" customFormat="1" ht="25.5" customHeight="1" x14ac:dyDescent="0.25">
      <c r="A152" s="325">
        <v>154</v>
      </c>
      <c r="B152" s="325"/>
      <c r="C152" s="325"/>
      <c r="D152" s="325" t="s">
        <v>309</v>
      </c>
      <c r="E152" s="577" t="s">
        <v>2094</v>
      </c>
      <c r="F152" s="459">
        <v>31971</v>
      </c>
      <c r="G152" s="573">
        <v>31971</v>
      </c>
      <c r="H152" s="325" t="s">
        <v>436</v>
      </c>
      <c r="I152" s="325" t="s">
        <v>445</v>
      </c>
      <c r="J152" s="325" t="s">
        <v>313</v>
      </c>
      <c r="K152" s="325"/>
      <c r="L152" s="325"/>
      <c r="M152" s="325"/>
      <c r="O152" s="326"/>
      <c r="W152" s="249"/>
      <c r="X152" s="249"/>
      <c r="Y152" s="249"/>
      <c r="Z152" s="250"/>
      <c r="AA152" s="250"/>
      <c r="AB152" s="250"/>
      <c r="AC152" s="250"/>
    </row>
    <row r="153" spans="1:29" s="184" customFormat="1" ht="25.5" customHeight="1" x14ac:dyDescent="0.25">
      <c r="A153" s="325">
        <v>155</v>
      </c>
      <c r="B153" s="325"/>
      <c r="C153" s="325"/>
      <c r="D153" s="325" t="s">
        <v>309</v>
      </c>
      <c r="E153" s="577" t="s">
        <v>2096</v>
      </c>
      <c r="F153" s="459">
        <v>31971</v>
      </c>
      <c r="G153" s="573">
        <v>31971</v>
      </c>
      <c r="H153" s="325" t="s">
        <v>446</v>
      </c>
      <c r="I153" s="325" t="s">
        <v>445</v>
      </c>
      <c r="J153" s="325" t="s">
        <v>313</v>
      </c>
      <c r="K153" s="325"/>
      <c r="L153" s="325"/>
      <c r="M153" s="325"/>
      <c r="O153" s="326"/>
      <c r="W153" s="249"/>
      <c r="X153" s="249"/>
      <c r="Y153" s="249"/>
      <c r="Z153" s="250"/>
      <c r="AA153" s="250"/>
      <c r="AB153" s="250"/>
      <c r="AC153" s="250"/>
    </row>
    <row r="154" spans="1:29" s="184" customFormat="1" ht="25.5" customHeight="1" x14ac:dyDescent="0.25">
      <c r="A154" s="325">
        <v>156</v>
      </c>
      <c r="B154" s="325"/>
      <c r="C154" s="325"/>
      <c r="D154" s="325" t="s">
        <v>309</v>
      </c>
      <c r="E154" s="577" t="s">
        <v>2098</v>
      </c>
      <c r="F154" s="459">
        <v>32002</v>
      </c>
      <c r="G154" s="573">
        <v>32002</v>
      </c>
      <c r="H154" s="325" t="s">
        <v>407</v>
      </c>
      <c r="I154" s="325" t="s">
        <v>447</v>
      </c>
      <c r="J154" s="325" t="s">
        <v>313</v>
      </c>
      <c r="K154" s="325"/>
      <c r="L154" s="325"/>
      <c r="M154" s="325"/>
      <c r="O154" s="326"/>
      <c r="W154" s="249"/>
      <c r="X154" s="249"/>
      <c r="Y154" s="249"/>
      <c r="Z154" s="250"/>
      <c r="AA154" s="250"/>
      <c r="AB154" s="250"/>
      <c r="AC154" s="250"/>
    </row>
    <row r="155" spans="1:29" s="184" customFormat="1" ht="25.5" customHeight="1" x14ac:dyDescent="0.25">
      <c r="A155" s="325">
        <v>157</v>
      </c>
      <c r="B155" s="325"/>
      <c r="C155" s="325"/>
      <c r="D155" s="325" t="s">
        <v>309</v>
      </c>
      <c r="E155" s="577" t="s">
        <v>2105</v>
      </c>
      <c r="F155" s="459">
        <v>32010</v>
      </c>
      <c r="G155" s="573">
        <v>32010</v>
      </c>
      <c r="H155" s="325" t="s">
        <v>446</v>
      </c>
      <c r="I155" s="325" t="s">
        <v>447</v>
      </c>
      <c r="J155" s="325" t="s">
        <v>313</v>
      </c>
      <c r="K155" s="325"/>
      <c r="L155" s="325"/>
      <c r="M155" s="325"/>
      <c r="O155" s="326"/>
      <c r="W155" s="249"/>
      <c r="X155" s="249"/>
      <c r="Y155" s="249"/>
      <c r="Z155" s="250"/>
      <c r="AA155" s="250"/>
      <c r="AB155" s="250"/>
      <c r="AC155" s="250"/>
    </row>
    <row r="156" spans="1:29" s="184" customFormat="1" ht="25.5" customHeight="1" x14ac:dyDescent="0.25">
      <c r="A156" s="325">
        <v>158</v>
      </c>
      <c r="B156" s="325"/>
      <c r="C156" s="325"/>
      <c r="D156" s="325" t="s">
        <v>309</v>
      </c>
      <c r="E156" s="577" t="s">
        <v>2129</v>
      </c>
      <c r="F156" s="459">
        <v>32129</v>
      </c>
      <c r="G156" s="573">
        <v>32129</v>
      </c>
      <c r="H156" s="325" t="s">
        <v>446</v>
      </c>
      <c r="I156" s="325" t="s">
        <v>445</v>
      </c>
      <c r="J156" s="325" t="s">
        <v>313</v>
      </c>
      <c r="K156" s="325"/>
      <c r="L156" s="325"/>
      <c r="M156" s="325"/>
      <c r="O156" s="326"/>
      <c r="W156" s="249"/>
      <c r="X156" s="249"/>
      <c r="Y156" s="249"/>
      <c r="Z156" s="250"/>
      <c r="AA156" s="250"/>
      <c r="AB156" s="250"/>
      <c r="AC156" s="250"/>
    </row>
    <row r="157" spans="1:29" s="184" customFormat="1" ht="25.5" customHeight="1" x14ac:dyDescent="0.25">
      <c r="A157" s="325">
        <v>159</v>
      </c>
      <c r="B157" s="325"/>
      <c r="C157" s="325"/>
      <c r="D157" s="325" t="s">
        <v>309</v>
      </c>
      <c r="E157" s="577" t="s">
        <v>2131</v>
      </c>
      <c r="F157" s="459">
        <v>32155</v>
      </c>
      <c r="G157" s="573">
        <v>32155</v>
      </c>
      <c r="H157" s="325" t="s">
        <v>845</v>
      </c>
      <c r="I157" s="325" t="s">
        <v>448</v>
      </c>
      <c r="J157" s="325" t="s">
        <v>313</v>
      </c>
      <c r="K157" s="325"/>
      <c r="L157" s="325"/>
      <c r="M157" s="325"/>
      <c r="O157" s="326"/>
      <c r="W157" s="249"/>
      <c r="X157" s="249"/>
      <c r="Y157" s="249"/>
      <c r="Z157" s="250"/>
      <c r="AA157" s="250"/>
      <c r="AB157" s="250"/>
      <c r="AC157" s="250"/>
    </row>
    <row r="158" spans="1:29" s="184" customFormat="1" ht="25.5" customHeight="1" x14ac:dyDescent="0.25">
      <c r="A158" s="325">
        <v>161</v>
      </c>
      <c r="B158" s="325"/>
      <c r="C158" s="325"/>
      <c r="D158" s="325" t="s">
        <v>309</v>
      </c>
      <c r="E158" s="577" t="s">
        <v>2142</v>
      </c>
      <c r="F158" s="459">
        <v>32335</v>
      </c>
      <c r="G158" s="573">
        <v>32335</v>
      </c>
      <c r="H158" s="325" t="s">
        <v>420</v>
      </c>
      <c r="I158" s="325" t="s">
        <v>925</v>
      </c>
      <c r="J158" s="325" t="s">
        <v>313</v>
      </c>
      <c r="K158" s="325"/>
      <c r="L158" s="325"/>
      <c r="M158" s="325"/>
      <c r="O158" s="326"/>
      <c r="W158" s="249"/>
      <c r="X158" s="249"/>
      <c r="Y158" s="249"/>
      <c r="Z158" s="250"/>
      <c r="AA158" s="250"/>
      <c r="AB158" s="250"/>
      <c r="AC158" s="250"/>
    </row>
    <row r="159" spans="1:29" s="184" customFormat="1" ht="25.5" customHeight="1" x14ac:dyDescent="0.25">
      <c r="A159" s="325">
        <v>160</v>
      </c>
      <c r="B159" s="325"/>
      <c r="C159" s="325"/>
      <c r="D159" s="325" t="s">
        <v>309</v>
      </c>
      <c r="E159" s="577" t="s">
        <v>2144</v>
      </c>
      <c r="F159" s="459">
        <v>32335</v>
      </c>
      <c r="G159" s="573">
        <v>32335</v>
      </c>
      <c r="H159" s="325" t="s">
        <v>449</v>
      </c>
      <c r="I159" s="325" t="s">
        <v>923</v>
      </c>
      <c r="J159" s="325" t="s">
        <v>313</v>
      </c>
      <c r="K159" s="325"/>
      <c r="L159" s="325"/>
      <c r="M159" s="325"/>
      <c r="O159" s="326"/>
      <c r="W159" s="249"/>
      <c r="X159" s="249"/>
      <c r="Y159" s="249"/>
      <c r="Z159" s="250"/>
      <c r="AA159" s="250"/>
      <c r="AB159" s="250"/>
      <c r="AC159" s="250"/>
    </row>
    <row r="160" spans="1:29" s="184" customFormat="1" ht="25.5" customHeight="1" x14ac:dyDescent="0.25">
      <c r="A160" s="325">
        <v>162</v>
      </c>
      <c r="B160" s="325"/>
      <c r="C160" s="325"/>
      <c r="D160" s="325" t="s">
        <v>309</v>
      </c>
      <c r="E160" s="577" t="s">
        <v>2146</v>
      </c>
      <c r="F160" s="459">
        <v>32342</v>
      </c>
      <c r="G160" s="573">
        <v>32342</v>
      </c>
      <c r="H160" s="325" t="s">
        <v>927</v>
      </c>
      <c r="I160" s="325" t="s">
        <v>923</v>
      </c>
      <c r="J160" s="325" t="s">
        <v>313</v>
      </c>
      <c r="K160" s="325"/>
      <c r="L160" s="325"/>
      <c r="M160" s="325"/>
      <c r="O160" s="326"/>
      <c r="W160" s="249"/>
      <c r="X160" s="249"/>
      <c r="Y160" s="249"/>
      <c r="Z160" s="250"/>
      <c r="AA160" s="250"/>
      <c r="AB160" s="250"/>
      <c r="AC160" s="250"/>
    </row>
    <row r="161" spans="1:29" s="184" customFormat="1" ht="25.5" customHeight="1" x14ac:dyDescent="0.25">
      <c r="A161" s="324">
        <v>136</v>
      </c>
      <c r="B161" s="324"/>
      <c r="C161" s="324"/>
      <c r="D161" s="324" t="s">
        <v>309</v>
      </c>
      <c r="E161" s="578" t="s">
        <v>2175</v>
      </c>
      <c r="F161" s="458">
        <v>32525</v>
      </c>
      <c r="G161" s="572">
        <v>32525</v>
      </c>
      <c r="H161" s="324" t="s">
        <v>454</v>
      </c>
      <c r="I161" s="324" t="s">
        <v>455</v>
      </c>
      <c r="J161" s="324" t="s">
        <v>313</v>
      </c>
      <c r="K161" s="324"/>
      <c r="L161" s="324"/>
      <c r="M161" s="324"/>
    </row>
    <row r="162" spans="1:29" s="184" customFormat="1" ht="25.5" customHeight="1" x14ac:dyDescent="0.25">
      <c r="A162" s="325">
        <v>163</v>
      </c>
      <c r="B162" s="325"/>
      <c r="C162" s="325"/>
      <c r="D162" s="325" t="s">
        <v>309</v>
      </c>
      <c r="E162" s="577" t="s">
        <v>2175</v>
      </c>
      <c r="F162" s="459">
        <v>32525</v>
      </c>
      <c r="G162" s="573">
        <v>32525</v>
      </c>
      <c r="H162" s="325" t="s">
        <v>454</v>
      </c>
      <c r="I162" s="325" t="s">
        <v>928</v>
      </c>
      <c r="J162" s="325" t="s">
        <v>313</v>
      </c>
      <c r="K162" s="325"/>
      <c r="L162" s="325"/>
      <c r="M162" s="325"/>
      <c r="O162" s="326"/>
      <c r="W162" s="249"/>
      <c r="X162" s="249"/>
      <c r="Y162" s="249"/>
      <c r="Z162" s="250"/>
      <c r="AA162" s="250"/>
      <c r="AB162" s="250"/>
      <c r="AC162" s="250"/>
    </row>
    <row r="163" spans="1:29" s="184" customFormat="1" ht="25.5" customHeight="1" x14ac:dyDescent="0.25">
      <c r="A163" s="324">
        <v>137</v>
      </c>
      <c r="B163" s="324"/>
      <c r="C163" s="324"/>
      <c r="D163" s="324" t="s">
        <v>309</v>
      </c>
      <c r="E163" s="578" t="s">
        <v>2177</v>
      </c>
      <c r="F163" s="458">
        <v>32525</v>
      </c>
      <c r="G163" s="572">
        <v>32525</v>
      </c>
      <c r="H163" s="324" t="s">
        <v>431</v>
      </c>
      <c r="I163" s="324" t="s">
        <v>455</v>
      </c>
      <c r="J163" s="324" t="s">
        <v>313</v>
      </c>
      <c r="K163" s="324"/>
      <c r="L163" s="324"/>
      <c r="M163" s="324"/>
    </row>
    <row r="164" spans="1:29" s="184" customFormat="1" ht="25.5" customHeight="1" x14ac:dyDescent="0.25">
      <c r="A164" s="325">
        <v>164</v>
      </c>
      <c r="B164" s="325"/>
      <c r="C164" s="325"/>
      <c r="D164" s="325" t="s">
        <v>309</v>
      </c>
      <c r="E164" s="577" t="s">
        <v>2177</v>
      </c>
      <c r="F164" s="459">
        <v>32525</v>
      </c>
      <c r="G164" s="573">
        <v>32525</v>
      </c>
      <c r="H164" s="325" t="s">
        <v>431</v>
      </c>
      <c r="I164" s="325" t="s">
        <v>928</v>
      </c>
      <c r="J164" s="325" t="s">
        <v>313</v>
      </c>
      <c r="K164" s="325"/>
      <c r="L164" s="325"/>
      <c r="M164" s="325"/>
      <c r="O164" s="326"/>
      <c r="W164" s="249"/>
      <c r="X164" s="249"/>
      <c r="Y164" s="249"/>
      <c r="Z164" s="250"/>
      <c r="AA164" s="250"/>
      <c r="AB164" s="250"/>
      <c r="AC164" s="250"/>
    </row>
    <row r="165" spans="1:29" s="184" customFormat="1" ht="25.5" customHeight="1" x14ac:dyDescent="0.25">
      <c r="A165" s="324">
        <v>138</v>
      </c>
      <c r="B165" s="324"/>
      <c r="C165" s="324"/>
      <c r="D165" s="324" t="s">
        <v>309</v>
      </c>
      <c r="E165" s="578" t="s">
        <v>2179</v>
      </c>
      <c r="F165" s="458">
        <v>32525</v>
      </c>
      <c r="G165" s="572">
        <v>32525</v>
      </c>
      <c r="H165" s="324" t="s">
        <v>431</v>
      </c>
      <c r="I165" s="324" t="s">
        <v>455</v>
      </c>
      <c r="J165" s="324" t="s">
        <v>313</v>
      </c>
      <c r="K165" s="324"/>
      <c r="L165" s="324"/>
      <c r="M165" s="324"/>
    </row>
    <row r="166" spans="1:29" s="184" customFormat="1" ht="25.5" customHeight="1" x14ac:dyDescent="0.25">
      <c r="A166" s="325">
        <v>165</v>
      </c>
      <c r="B166" s="325"/>
      <c r="C166" s="325"/>
      <c r="D166" s="325" t="s">
        <v>309</v>
      </c>
      <c r="E166" s="577" t="s">
        <v>2179</v>
      </c>
      <c r="F166" s="459">
        <v>32525</v>
      </c>
      <c r="G166" s="573">
        <v>32525</v>
      </c>
      <c r="H166" s="325" t="s">
        <v>431</v>
      </c>
      <c r="I166" s="325" t="s">
        <v>928</v>
      </c>
      <c r="J166" s="325" t="s">
        <v>313</v>
      </c>
      <c r="K166" s="325"/>
      <c r="L166" s="325"/>
      <c r="M166" s="325"/>
      <c r="O166" s="326"/>
      <c r="W166" s="249"/>
      <c r="X166" s="249"/>
      <c r="Y166" s="249"/>
      <c r="Z166" s="250"/>
      <c r="AA166" s="250"/>
      <c r="AB166" s="250"/>
      <c r="AC166" s="250"/>
    </row>
    <row r="167" spans="1:29" s="184" customFormat="1" ht="25.5" customHeight="1" x14ac:dyDescent="0.25">
      <c r="A167" s="324">
        <v>139</v>
      </c>
      <c r="B167" s="324"/>
      <c r="C167" s="324"/>
      <c r="D167" s="324" t="s">
        <v>309</v>
      </c>
      <c r="E167" s="578" t="s">
        <v>2181</v>
      </c>
      <c r="F167" s="458">
        <v>32525</v>
      </c>
      <c r="G167" s="572">
        <v>32525</v>
      </c>
      <c r="H167" s="324" t="s">
        <v>395</v>
      </c>
      <c r="I167" s="324" t="s">
        <v>455</v>
      </c>
      <c r="J167" s="324" t="s">
        <v>313</v>
      </c>
      <c r="K167" s="324"/>
      <c r="L167" s="324"/>
      <c r="M167" s="324"/>
    </row>
    <row r="168" spans="1:29" s="184" customFormat="1" ht="25.5" customHeight="1" x14ac:dyDescent="0.25">
      <c r="A168" s="325">
        <v>166</v>
      </c>
      <c r="B168" s="325"/>
      <c r="C168" s="325"/>
      <c r="D168" s="325" t="s">
        <v>309</v>
      </c>
      <c r="E168" s="577" t="s">
        <v>2181</v>
      </c>
      <c r="F168" s="459">
        <v>32525</v>
      </c>
      <c r="G168" s="573">
        <v>32525</v>
      </c>
      <c r="H168" s="325" t="s">
        <v>395</v>
      </c>
      <c r="I168" s="325" t="s">
        <v>928</v>
      </c>
      <c r="J168" s="325" t="s">
        <v>313</v>
      </c>
      <c r="K168" s="325"/>
      <c r="L168" s="325"/>
      <c r="M168" s="325"/>
      <c r="O168" s="326"/>
      <c r="W168" s="249"/>
      <c r="X168" s="249"/>
      <c r="Y168" s="249"/>
      <c r="Z168" s="250"/>
      <c r="AA168" s="250"/>
      <c r="AB168" s="250"/>
      <c r="AC168" s="250"/>
    </row>
    <row r="169" spans="1:29" s="184" customFormat="1" ht="25.5" customHeight="1" x14ac:dyDescent="0.25">
      <c r="A169" s="324">
        <v>140</v>
      </c>
      <c r="B169" s="324"/>
      <c r="C169" s="324"/>
      <c r="D169" s="324" t="s">
        <v>309</v>
      </c>
      <c r="E169" s="578" t="s">
        <v>2183</v>
      </c>
      <c r="F169" s="458">
        <v>32525</v>
      </c>
      <c r="G169" s="572">
        <v>32525</v>
      </c>
      <c r="H169" s="324" t="s">
        <v>460</v>
      </c>
      <c r="I169" s="324" t="s">
        <v>455</v>
      </c>
      <c r="J169" s="324" t="s">
        <v>313</v>
      </c>
      <c r="K169" s="324"/>
      <c r="L169" s="324"/>
      <c r="M169" s="324"/>
    </row>
    <row r="170" spans="1:29" s="184" customFormat="1" ht="25.5" customHeight="1" x14ac:dyDescent="0.25">
      <c r="A170" s="325">
        <v>167</v>
      </c>
      <c r="B170" s="325"/>
      <c r="C170" s="325"/>
      <c r="D170" s="325" t="s">
        <v>309</v>
      </c>
      <c r="E170" s="577" t="s">
        <v>2183</v>
      </c>
      <c r="F170" s="459">
        <v>32525</v>
      </c>
      <c r="G170" s="573">
        <v>32525</v>
      </c>
      <c r="H170" s="325" t="s">
        <v>460</v>
      </c>
      <c r="I170" s="325" t="s">
        <v>928</v>
      </c>
      <c r="J170" s="325" t="s">
        <v>313</v>
      </c>
      <c r="K170" s="325"/>
      <c r="L170" s="325"/>
      <c r="M170" s="325"/>
      <c r="O170" s="326"/>
      <c r="W170" s="249"/>
      <c r="X170" s="249"/>
      <c r="Y170" s="249"/>
      <c r="Z170" s="250"/>
      <c r="AA170" s="250"/>
      <c r="AB170" s="250"/>
      <c r="AC170" s="250"/>
    </row>
    <row r="171" spans="1:29" s="184" customFormat="1" ht="25.5" customHeight="1" x14ac:dyDescent="0.25">
      <c r="A171" s="324">
        <v>141</v>
      </c>
      <c r="B171" s="324"/>
      <c r="C171" s="324"/>
      <c r="D171" s="324" t="s">
        <v>309</v>
      </c>
      <c r="E171" s="578" t="s">
        <v>2188</v>
      </c>
      <c r="F171" s="458">
        <v>32560</v>
      </c>
      <c r="G171" s="572">
        <v>32560</v>
      </c>
      <c r="H171" s="324" t="s">
        <v>392</v>
      </c>
      <c r="I171" s="324" t="s">
        <v>455</v>
      </c>
      <c r="J171" s="324" t="s">
        <v>313</v>
      </c>
      <c r="K171" s="324"/>
      <c r="L171" s="324"/>
      <c r="M171" s="324"/>
    </row>
    <row r="172" spans="1:29" s="184" customFormat="1" ht="25.5" customHeight="1" x14ac:dyDescent="0.25">
      <c r="A172" s="325">
        <v>168</v>
      </c>
      <c r="B172" s="325"/>
      <c r="C172" s="325"/>
      <c r="D172" s="325" t="s">
        <v>309</v>
      </c>
      <c r="E172" s="577" t="s">
        <v>2188</v>
      </c>
      <c r="F172" s="459">
        <v>32560</v>
      </c>
      <c r="G172" s="573">
        <v>32560</v>
      </c>
      <c r="H172" s="325" t="s">
        <v>392</v>
      </c>
      <c r="I172" s="325" t="s">
        <v>928</v>
      </c>
      <c r="J172" s="325" t="s">
        <v>313</v>
      </c>
      <c r="K172" s="325"/>
      <c r="L172" s="325"/>
      <c r="M172" s="325"/>
      <c r="O172" s="326"/>
      <c r="W172" s="249"/>
      <c r="X172" s="249"/>
      <c r="Y172" s="249"/>
      <c r="Z172" s="250"/>
      <c r="AA172" s="250"/>
      <c r="AB172" s="250"/>
      <c r="AC172" s="250"/>
    </row>
    <row r="173" spans="1:29" s="184" customFormat="1" ht="25.5" customHeight="1" x14ac:dyDescent="0.25">
      <c r="A173" s="324">
        <v>142</v>
      </c>
      <c r="B173" s="324"/>
      <c r="C173" s="324"/>
      <c r="D173" s="324" t="s">
        <v>309</v>
      </c>
      <c r="E173" s="578" t="s">
        <v>2214</v>
      </c>
      <c r="F173" s="458">
        <v>32653</v>
      </c>
      <c r="G173" s="572">
        <v>32653</v>
      </c>
      <c r="H173" s="324" t="s">
        <v>463</v>
      </c>
      <c r="I173" s="324" t="s">
        <v>455</v>
      </c>
      <c r="J173" s="324" t="s">
        <v>313</v>
      </c>
      <c r="K173" s="324"/>
      <c r="L173" s="324"/>
      <c r="M173" s="324"/>
    </row>
    <row r="174" spans="1:29" s="184" customFormat="1" ht="25.5" customHeight="1" x14ac:dyDescent="0.25">
      <c r="A174" s="325">
        <v>169</v>
      </c>
      <c r="B174" s="325"/>
      <c r="C174" s="325"/>
      <c r="D174" s="325" t="s">
        <v>309</v>
      </c>
      <c r="E174" s="577" t="s">
        <v>2214</v>
      </c>
      <c r="F174" s="459">
        <v>32653</v>
      </c>
      <c r="G174" s="573">
        <v>32653</v>
      </c>
      <c r="H174" s="325" t="s">
        <v>929</v>
      </c>
      <c r="I174" s="325" t="s">
        <v>928</v>
      </c>
      <c r="J174" s="325" t="s">
        <v>313</v>
      </c>
      <c r="K174" s="325"/>
      <c r="L174" s="325"/>
      <c r="M174" s="325"/>
      <c r="O174" s="326"/>
      <c r="W174" s="249"/>
      <c r="X174" s="249"/>
      <c r="Y174" s="249"/>
      <c r="Z174" s="250"/>
      <c r="AA174" s="250"/>
      <c r="AB174" s="250"/>
      <c r="AC174" s="250"/>
    </row>
    <row r="175" spans="1:29" s="184" customFormat="1" ht="25.5" customHeight="1" x14ac:dyDescent="0.25">
      <c r="A175" s="324">
        <v>143</v>
      </c>
      <c r="B175" s="324"/>
      <c r="C175" s="324"/>
      <c r="D175" s="324" t="s">
        <v>309</v>
      </c>
      <c r="E175" s="578" t="s">
        <v>2219</v>
      </c>
      <c r="F175" s="458">
        <v>32678</v>
      </c>
      <c r="G175" s="572">
        <v>32678</v>
      </c>
      <c r="H175" s="324" t="s">
        <v>465</v>
      </c>
      <c r="I175" s="324" t="s">
        <v>466</v>
      </c>
      <c r="J175" s="324" t="s">
        <v>308</v>
      </c>
      <c r="K175" s="324"/>
      <c r="L175" s="324"/>
      <c r="M175" s="324"/>
    </row>
    <row r="176" spans="1:29" s="184" customFormat="1" ht="25.5" customHeight="1" x14ac:dyDescent="0.25">
      <c r="A176" s="325">
        <v>170</v>
      </c>
      <c r="B176" s="325"/>
      <c r="C176" s="325"/>
      <c r="D176" s="325" t="s">
        <v>309</v>
      </c>
      <c r="E176" s="577" t="s">
        <v>2219</v>
      </c>
      <c r="F176" s="459">
        <v>32678</v>
      </c>
      <c r="G176" s="573">
        <v>32678</v>
      </c>
      <c r="H176" s="325" t="s">
        <v>465</v>
      </c>
      <c r="I176" s="325" t="s">
        <v>466</v>
      </c>
      <c r="J176" s="325" t="s">
        <v>308</v>
      </c>
      <c r="K176" s="325"/>
      <c r="L176" s="325"/>
      <c r="M176" s="325"/>
      <c r="O176" s="326"/>
      <c r="W176" s="249"/>
      <c r="X176" s="249"/>
      <c r="Y176" s="249"/>
      <c r="Z176" s="250"/>
      <c r="AA176" s="250"/>
      <c r="AB176" s="250"/>
      <c r="AC176" s="250"/>
    </row>
    <row r="177" spans="1:29" s="184" customFormat="1" ht="25.5" customHeight="1" x14ac:dyDescent="0.25">
      <c r="A177" s="324">
        <v>144</v>
      </c>
      <c r="B177" s="324"/>
      <c r="C177" s="324"/>
      <c r="D177" s="324" t="s">
        <v>309</v>
      </c>
      <c r="E177" s="578" t="s">
        <v>2264</v>
      </c>
      <c r="F177" s="458">
        <v>32800</v>
      </c>
      <c r="G177" s="572">
        <v>32800</v>
      </c>
      <c r="H177" s="324" t="s">
        <v>411</v>
      </c>
      <c r="I177" s="324" t="s">
        <v>266</v>
      </c>
      <c r="J177" s="324" t="s">
        <v>313</v>
      </c>
      <c r="K177" s="324"/>
      <c r="L177" s="324"/>
      <c r="M177" s="324"/>
    </row>
    <row r="178" spans="1:29" s="184" customFormat="1" ht="25.5" customHeight="1" x14ac:dyDescent="0.25">
      <c r="A178" s="325">
        <v>171</v>
      </c>
      <c r="B178" s="325"/>
      <c r="C178" s="325"/>
      <c r="D178" s="325" t="s">
        <v>309</v>
      </c>
      <c r="E178" s="577" t="s">
        <v>2264</v>
      </c>
      <c r="F178" s="459">
        <v>32800</v>
      </c>
      <c r="G178" s="573">
        <v>32800</v>
      </c>
      <c r="H178" s="325" t="s">
        <v>843</v>
      </c>
      <c r="I178" s="325" t="s">
        <v>266</v>
      </c>
      <c r="J178" s="325" t="s">
        <v>313</v>
      </c>
      <c r="K178" s="325"/>
      <c r="L178" s="325"/>
      <c r="M178" s="325"/>
      <c r="O178" s="326"/>
      <c r="W178" s="249"/>
      <c r="X178" s="249"/>
      <c r="Y178" s="249"/>
      <c r="Z178" s="250"/>
      <c r="AA178" s="250"/>
      <c r="AB178" s="250"/>
      <c r="AC178" s="250"/>
    </row>
    <row r="179" spans="1:29" s="184" customFormat="1" ht="25.5" customHeight="1" x14ac:dyDescent="0.25">
      <c r="A179" s="324">
        <v>37</v>
      </c>
      <c r="B179" s="324"/>
      <c r="C179" s="324"/>
      <c r="D179" s="324" t="s">
        <v>309</v>
      </c>
      <c r="E179" s="578" t="s">
        <v>1486</v>
      </c>
      <c r="F179" s="458">
        <v>25743</v>
      </c>
      <c r="G179" s="572">
        <v>25743</v>
      </c>
      <c r="H179" s="324" t="s">
        <v>366</v>
      </c>
      <c r="I179" s="324" t="s">
        <v>367</v>
      </c>
      <c r="J179" s="324" t="s">
        <v>308</v>
      </c>
      <c r="K179" s="324"/>
      <c r="L179" s="324"/>
      <c r="M179" s="324"/>
    </row>
    <row r="180" spans="1:29" s="184" customFormat="1" ht="25.5" customHeight="1" x14ac:dyDescent="0.25">
      <c r="A180" s="324">
        <v>145</v>
      </c>
      <c r="B180" s="324"/>
      <c r="C180" s="324"/>
      <c r="D180" s="324" t="s">
        <v>309</v>
      </c>
      <c r="E180" s="578" t="s">
        <v>2274</v>
      </c>
      <c r="F180" s="458">
        <v>32864</v>
      </c>
      <c r="G180" s="572">
        <v>32864</v>
      </c>
      <c r="H180" s="324" t="s">
        <v>286</v>
      </c>
      <c r="I180" s="324" t="s">
        <v>455</v>
      </c>
      <c r="J180" s="324" t="s">
        <v>313</v>
      </c>
      <c r="K180" s="324"/>
      <c r="L180" s="324"/>
      <c r="M180" s="324"/>
    </row>
    <row r="181" spans="1:29" s="184" customFormat="1" ht="25.5" customHeight="1" x14ac:dyDescent="0.25">
      <c r="A181" s="325">
        <v>172</v>
      </c>
      <c r="B181" s="325"/>
      <c r="C181" s="325"/>
      <c r="D181" s="325" t="s">
        <v>309</v>
      </c>
      <c r="E181" s="577" t="s">
        <v>2274</v>
      </c>
      <c r="F181" s="459">
        <v>32864</v>
      </c>
      <c r="G181" s="573">
        <v>32864</v>
      </c>
      <c r="H181" s="325" t="s">
        <v>286</v>
      </c>
      <c r="I181" s="325" t="s">
        <v>928</v>
      </c>
      <c r="J181" s="325" t="s">
        <v>313</v>
      </c>
      <c r="K181" s="325"/>
      <c r="L181" s="325"/>
      <c r="M181" s="325"/>
      <c r="O181" s="326"/>
      <c r="W181" s="249"/>
      <c r="X181" s="249"/>
      <c r="Y181" s="249"/>
      <c r="Z181" s="250"/>
      <c r="AA181" s="250"/>
      <c r="AB181" s="250"/>
      <c r="AC181" s="250"/>
    </row>
    <row r="182" spans="1:29" s="184" customFormat="1" ht="25.5" customHeight="1" x14ac:dyDescent="0.25">
      <c r="A182" s="324">
        <v>146</v>
      </c>
      <c r="B182" s="324"/>
      <c r="C182" s="324"/>
      <c r="D182" s="324" t="s">
        <v>309</v>
      </c>
      <c r="E182" s="578" t="s">
        <v>2276</v>
      </c>
      <c r="F182" s="458">
        <v>32864</v>
      </c>
      <c r="G182" s="572">
        <v>32864</v>
      </c>
      <c r="H182" s="324" t="s">
        <v>470</v>
      </c>
      <c r="I182" s="324" t="s">
        <v>455</v>
      </c>
      <c r="J182" s="324" t="s">
        <v>313</v>
      </c>
      <c r="K182" s="324"/>
      <c r="L182" s="324"/>
      <c r="M182" s="324"/>
    </row>
    <row r="183" spans="1:29" s="184" customFormat="1" ht="25.5" customHeight="1" x14ac:dyDescent="0.25">
      <c r="A183" s="325">
        <v>173</v>
      </c>
      <c r="B183" s="325"/>
      <c r="C183" s="325"/>
      <c r="D183" s="325" t="s">
        <v>309</v>
      </c>
      <c r="E183" s="577" t="s">
        <v>2276</v>
      </c>
      <c r="F183" s="459">
        <v>32864</v>
      </c>
      <c r="G183" s="573">
        <v>32864</v>
      </c>
      <c r="H183" s="325" t="s">
        <v>930</v>
      </c>
      <c r="I183" s="325" t="s">
        <v>928</v>
      </c>
      <c r="J183" s="325" t="s">
        <v>313</v>
      </c>
      <c r="K183" s="325"/>
      <c r="L183" s="325"/>
      <c r="M183" s="325"/>
      <c r="O183" s="326"/>
      <c r="W183" s="249"/>
      <c r="X183" s="249"/>
      <c r="Y183" s="249"/>
      <c r="Z183" s="250"/>
      <c r="AA183" s="250"/>
      <c r="AB183" s="250"/>
      <c r="AC183" s="250"/>
    </row>
    <row r="184" spans="1:29" s="184" customFormat="1" ht="25.5" customHeight="1" x14ac:dyDescent="0.25">
      <c r="A184" s="324">
        <v>149</v>
      </c>
      <c r="B184" s="324"/>
      <c r="C184" s="324"/>
      <c r="D184" s="324" t="s">
        <v>309</v>
      </c>
      <c r="E184" s="578" t="s">
        <v>2290</v>
      </c>
      <c r="F184" s="458">
        <v>32903</v>
      </c>
      <c r="G184" s="572">
        <v>32903</v>
      </c>
      <c r="H184" s="324" t="s">
        <v>431</v>
      </c>
      <c r="I184" s="324" t="s">
        <v>455</v>
      </c>
      <c r="J184" s="324" t="s">
        <v>308</v>
      </c>
      <c r="K184" s="324"/>
      <c r="L184" s="324"/>
      <c r="M184" s="324"/>
    </row>
    <row r="185" spans="1:29" s="184" customFormat="1" ht="25.5" customHeight="1" x14ac:dyDescent="0.25">
      <c r="A185" s="325">
        <v>176</v>
      </c>
      <c r="B185" s="325"/>
      <c r="C185" s="325"/>
      <c r="D185" s="325" t="s">
        <v>309</v>
      </c>
      <c r="E185" s="577" t="s">
        <v>2290</v>
      </c>
      <c r="F185" s="459">
        <v>32903</v>
      </c>
      <c r="G185" s="573">
        <v>32903</v>
      </c>
      <c r="H185" s="325" t="s">
        <v>431</v>
      </c>
      <c r="I185" s="325" t="s">
        <v>928</v>
      </c>
      <c r="J185" s="325" t="s">
        <v>308</v>
      </c>
      <c r="K185" s="325"/>
      <c r="L185" s="325"/>
      <c r="M185" s="325"/>
      <c r="O185" s="326"/>
      <c r="W185" s="249"/>
      <c r="X185" s="249"/>
      <c r="Y185" s="249"/>
      <c r="Z185" s="250"/>
      <c r="AA185" s="250"/>
      <c r="AB185" s="250"/>
      <c r="AC185" s="250"/>
    </row>
    <row r="186" spans="1:29" s="184" customFormat="1" ht="25.5" customHeight="1" x14ac:dyDescent="0.25">
      <c r="A186" s="324">
        <v>150</v>
      </c>
      <c r="B186" s="324"/>
      <c r="C186" s="324"/>
      <c r="D186" s="324" t="s">
        <v>309</v>
      </c>
      <c r="E186" s="578" t="s">
        <v>2292</v>
      </c>
      <c r="F186" s="458">
        <v>32903</v>
      </c>
      <c r="G186" s="572">
        <v>32903</v>
      </c>
      <c r="H186" s="324" t="s">
        <v>478</v>
      </c>
      <c r="I186" s="324" t="s">
        <v>473</v>
      </c>
      <c r="J186" s="324" t="s">
        <v>313</v>
      </c>
      <c r="K186" s="324"/>
      <c r="L186" s="324"/>
      <c r="M186" s="324"/>
    </row>
    <row r="187" spans="1:29" s="184" customFormat="1" ht="25.5" customHeight="1" x14ac:dyDescent="0.25">
      <c r="A187" s="325">
        <v>177</v>
      </c>
      <c r="B187" s="325"/>
      <c r="C187" s="325"/>
      <c r="D187" s="325" t="s">
        <v>309</v>
      </c>
      <c r="E187" s="577" t="s">
        <v>2292</v>
      </c>
      <c r="F187" s="459">
        <v>32903</v>
      </c>
      <c r="G187" s="573">
        <v>32903</v>
      </c>
      <c r="H187" s="325" t="s">
        <v>478</v>
      </c>
      <c r="I187" s="325" t="s">
        <v>931</v>
      </c>
      <c r="J187" s="325" t="s">
        <v>313</v>
      </c>
      <c r="K187" s="325"/>
      <c r="L187" s="325"/>
      <c r="M187" s="325"/>
      <c r="O187" s="326"/>
      <c r="W187" s="249"/>
      <c r="X187" s="249"/>
      <c r="Y187" s="249"/>
      <c r="Z187" s="250"/>
      <c r="AA187" s="250"/>
      <c r="AB187" s="250"/>
      <c r="AC187" s="250"/>
    </row>
    <row r="188" spans="1:29" s="184" customFormat="1" ht="25.5" customHeight="1" x14ac:dyDescent="0.25">
      <c r="A188" s="324">
        <v>151</v>
      </c>
      <c r="B188" s="324"/>
      <c r="C188" s="324"/>
      <c r="D188" s="324" t="s">
        <v>309</v>
      </c>
      <c r="E188" s="578" t="s">
        <v>2295</v>
      </c>
      <c r="F188" s="458">
        <v>32903</v>
      </c>
      <c r="G188" s="572">
        <v>32903</v>
      </c>
      <c r="H188" s="324" t="s">
        <v>480</v>
      </c>
      <c r="I188" s="324" t="s">
        <v>473</v>
      </c>
      <c r="J188" s="324" t="s">
        <v>313</v>
      </c>
      <c r="K188" s="324"/>
      <c r="L188" s="324"/>
      <c r="M188" s="324"/>
    </row>
    <row r="189" spans="1:29" s="184" customFormat="1" ht="25.5" customHeight="1" x14ac:dyDescent="0.25">
      <c r="A189" s="325">
        <v>178</v>
      </c>
      <c r="B189" s="325"/>
      <c r="C189" s="325"/>
      <c r="D189" s="325" t="s">
        <v>309</v>
      </c>
      <c r="E189" s="577" t="s">
        <v>2295</v>
      </c>
      <c r="F189" s="459">
        <v>32903</v>
      </c>
      <c r="G189" s="573">
        <v>32903</v>
      </c>
      <c r="H189" s="325" t="s">
        <v>480</v>
      </c>
      <c r="I189" s="325" t="s">
        <v>931</v>
      </c>
      <c r="J189" s="325" t="s">
        <v>313</v>
      </c>
      <c r="K189" s="325"/>
      <c r="L189" s="325"/>
      <c r="M189" s="325"/>
      <c r="O189" s="326"/>
      <c r="W189" s="249"/>
      <c r="X189" s="249"/>
      <c r="Y189" s="249"/>
      <c r="Z189" s="250"/>
      <c r="AA189" s="250"/>
      <c r="AB189" s="250"/>
      <c r="AC189" s="250"/>
    </row>
    <row r="190" spans="1:29" s="184" customFormat="1" ht="25.5" customHeight="1" x14ac:dyDescent="0.25">
      <c r="A190" s="324">
        <v>152</v>
      </c>
      <c r="B190" s="324"/>
      <c r="C190" s="324"/>
      <c r="D190" s="324" t="s">
        <v>309</v>
      </c>
      <c r="E190" s="578" t="s">
        <v>2297</v>
      </c>
      <c r="F190" s="458">
        <v>32903</v>
      </c>
      <c r="G190" s="572">
        <v>32903</v>
      </c>
      <c r="H190" s="324" t="s">
        <v>482</v>
      </c>
      <c r="I190" s="324" t="s">
        <v>473</v>
      </c>
      <c r="J190" s="324" t="s">
        <v>313</v>
      </c>
      <c r="K190" s="324"/>
      <c r="L190" s="324"/>
      <c r="M190" s="324"/>
    </row>
    <row r="191" spans="1:29" s="184" customFormat="1" ht="25.5" customHeight="1" x14ac:dyDescent="0.25">
      <c r="A191" s="325">
        <v>179</v>
      </c>
      <c r="B191" s="325"/>
      <c r="C191" s="325"/>
      <c r="D191" s="325" t="s">
        <v>309</v>
      </c>
      <c r="E191" s="577" t="s">
        <v>2297</v>
      </c>
      <c r="F191" s="459">
        <v>32903</v>
      </c>
      <c r="G191" s="573">
        <v>32903</v>
      </c>
      <c r="H191" s="325" t="s">
        <v>482</v>
      </c>
      <c r="I191" s="325" t="s">
        <v>931</v>
      </c>
      <c r="J191" s="325" t="s">
        <v>313</v>
      </c>
      <c r="K191" s="325"/>
      <c r="L191" s="325"/>
      <c r="M191" s="325"/>
      <c r="O191" s="326"/>
      <c r="W191" s="249"/>
      <c r="X191" s="249"/>
      <c r="Y191" s="249"/>
      <c r="Z191" s="250"/>
      <c r="AA191" s="250"/>
      <c r="AB191" s="250"/>
      <c r="AC191" s="250"/>
    </row>
    <row r="192" spans="1:29" s="184" customFormat="1" ht="25.5" customHeight="1" x14ac:dyDescent="0.25">
      <c r="A192" s="324">
        <v>147</v>
      </c>
      <c r="B192" s="324"/>
      <c r="C192" s="324"/>
      <c r="D192" s="324" t="s">
        <v>309</v>
      </c>
      <c r="E192" s="578" t="s">
        <v>2299</v>
      </c>
      <c r="F192" s="458">
        <v>32903</v>
      </c>
      <c r="G192" s="572">
        <v>32903</v>
      </c>
      <c r="H192" s="324" t="s">
        <v>472</v>
      </c>
      <c r="I192" s="324" t="s">
        <v>473</v>
      </c>
      <c r="J192" s="324" t="s">
        <v>313</v>
      </c>
      <c r="K192" s="324"/>
      <c r="L192" s="324"/>
      <c r="M192" s="324"/>
    </row>
    <row r="193" spans="1:29" s="184" customFormat="1" ht="25.5" customHeight="1" x14ac:dyDescent="0.25">
      <c r="A193" s="325">
        <v>174</v>
      </c>
      <c r="B193" s="325"/>
      <c r="C193" s="325"/>
      <c r="D193" s="325" t="s">
        <v>309</v>
      </c>
      <c r="E193" s="577" t="s">
        <v>2299</v>
      </c>
      <c r="F193" s="459">
        <v>32903</v>
      </c>
      <c r="G193" s="573">
        <v>32903</v>
      </c>
      <c r="H193" s="325" t="s">
        <v>472</v>
      </c>
      <c r="I193" s="325" t="s">
        <v>931</v>
      </c>
      <c r="J193" s="325" t="s">
        <v>313</v>
      </c>
      <c r="K193" s="325"/>
      <c r="L193" s="325"/>
      <c r="M193" s="325"/>
      <c r="O193" s="326"/>
      <c r="W193" s="249"/>
      <c r="X193" s="249"/>
      <c r="Y193" s="249"/>
      <c r="Z193" s="250"/>
      <c r="AA193" s="250"/>
      <c r="AB193" s="250"/>
      <c r="AC193" s="250"/>
    </row>
    <row r="194" spans="1:29" s="184" customFormat="1" ht="25.5" customHeight="1" x14ac:dyDescent="0.25">
      <c r="A194" s="324">
        <v>148</v>
      </c>
      <c r="B194" s="324"/>
      <c r="C194" s="324"/>
      <c r="D194" s="324" t="s">
        <v>309</v>
      </c>
      <c r="E194" s="578" t="s">
        <v>2301</v>
      </c>
      <c r="F194" s="458">
        <v>32903</v>
      </c>
      <c r="G194" s="572">
        <v>32903</v>
      </c>
      <c r="H194" s="324" t="s">
        <v>475</v>
      </c>
      <c r="I194" s="324" t="s">
        <v>455</v>
      </c>
      <c r="J194" s="324" t="s">
        <v>308</v>
      </c>
      <c r="K194" s="324"/>
      <c r="L194" s="324"/>
      <c r="M194" s="324"/>
    </row>
    <row r="195" spans="1:29" s="184" customFormat="1" ht="25.5" customHeight="1" x14ac:dyDescent="0.25">
      <c r="A195" s="325">
        <v>175</v>
      </c>
      <c r="B195" s="325"/>
      <c r="C195" s="325"/>
      <c r="D195" s="325" t="s">
        <v>309</v>
      </c>
      <c r="E195" s="577" t="s">
        <v>2301</v>
      </c>
      <c r="F195" s="459">
        <v>32903</v>
      </c>
      <c r="G195" s="573">
        <v>32903</v>
      </c>
      <c r="H195" s="325" t="s">
        <v>475</v>
      </c>
      <c r="I195" s="325" t="s">
        <v>928</v>
      </c>
      <c r="J195" s="325" t="s">
        <v>308</v>
      </c>
      <c r="K195" s="325"/>
      <c r="L195" s="325"/>
      <c r="M195" s="325"/>
      <c r="O195" s="326"/>
      <c r="W195" s="249"/>
      <c r="X195" s="249"/>
      <c r="Y195" s="249"/>
      <c r="Z195" s="250"/>
      <c r="AA195" s="250"/>
      <c r="AB195" s="250"/>
      <c r="AC195" s="250"/>
    </row>
    <row r="196" spans="1:29" s="184" customFormat="1" ht="25.5" customHeight="1" x14ac:dyDescent="0.25">
      <c r="A196" s="324">
        <v>153</v>
      </c>
      <c r="B196" s="324"/>
      <c r="C196" s="324"/>
      <c r="D196" s="324" t="s">
        <v>309</v>
      </c>
      <c r="E196" s="578" t="s">
        <v>2307</v>
      </c>
      <c r="F196" s="458">
        <v>32904</v>
      </c>
      <c r="G196" s="572">
        <v>32904</v>
      </c>
      <c r="H196" s="324" t="s">
        <v>392</v>
      </c>
      <c r="I196" s="324" t="s">
        <v>455</v>
      </c>
      <c r="J196" s="324" t="s">
        <v>313</v>
      </c>
      <c r="K196" s="324"/>
      <c r="L196" s="324"/>
      <c r="M196" s="324"/>
    </row>
    <row r="197" spans="1:29" s="184" customFormat="1" ht="25.5" customHeight="1" x14ac:dyDescent="0.25">
      <c r="A197" s="325">
        <v>180</v>
      </c>
      <c r="B197" s="325"/>
      <c r="C197" s="325"/>
      <c r="D197" s="325" t="s">
        <v>309</v>
      </c>
      <c r="E197" s="577" t="s">
        <v>2307</v>
      </c>
      <c r="F197" s="459">
        <v>32904</v>
      </c>
      <c r="G197" s="573">
        <v>32904</v>
      </c>
      <c r="H197" s="325" t="s">
        <v>392</v>
      </c>
      <c r="I197" s="325" t="s">
        <v>928</v>
      </c>
      <c r="J197" s="325" t="s">
        <v>313</v>
      </c>
      <c r="K197" s="325"/>
      <c r="L197" s="325"/>
      <c r="M197" s="325"/>
      <c r="O197" s="326"/>
      <c r="W197" s="249"/>
      <c r="X197" s="249"/>
      <c r="Y197" s="249"/>
      <c r="Z197" s="250"/>
      <c r="AA197" s="250"/>
      <c r="AB197" s="250"/>
      <c r="AC197" s="250"/>
    </row>
    <row r="198" spans="1:29" s="184" customFormat="1" ht="25.5" customHeight="1" x14ac:dyDescent="0.25">
      <c r="A198" s="324">
        <v>154</v>
      </c>
      <c r="B198" s="324"/>
      <c r="C198" s="324"/>
      <c r="D198" s="324" t="s">
        <v>309</v>
      </c>
      <c r="E198" s="578" t="s">
        <v>2309</v>
      </c>
      <c r="F198" s="458">
        <v>32904</v>
      </c>
      <c r="G198" s="572">
        <v>32904</v>
      </c>
      <c r="H198" s="324" t="s">
        <v>485</v>
      </c>
      <c r="I198" s="324" t="s">
        <v>455</v>
      </c>
      <c r="J198" s="324" t="s">
        <v>313</v>
      </c>
      <c r="K198" s="324"/>
      <c r="L198" s="324"/>
      <c r="M198" s="324"/>
    </row>
    <row r="199" spans="1:29" s="184" customFormat="1" ht="25.5" customHeight="1" x14ac:dyDescent="0.25">
      <c r="A199" s="325">
        <v>181</v>
      </c>
      <c r="B199" s="325"/>
      <c r="C199" s="325"/>
      <c r="D199" s="325" t="s">
        <v>309</v>
      </c>
      <c r="E199" s="577" t="s">
        <v>2309</v>
      </c>
      <c r="F199" s="459">
        <v>32904</v>
      </c>
      <c r="G199" s="573">
        <v>32904</v>
      </c>
      <c r="H199" s="325" t="s">
        <v>932</v>
      </c>
      <c r="I199" s="325" t="s">
        <v>928</v>
      </c>
      <c r="J199" s="325" t="s">
        <v>313</v>
      </c>
      <c r="K199" s="325"/>
      <c r="L199" s="325"/>
      <c r="M199" s="325"/>
      <c r="O199" s="326"/>
      <c r="W199" s="249"/>
      <c r="X199" s="249"/>
      <c r="Y199" s="249"/>
      <c r="Z199" s="250"/>
      <c r="AA199" s="250"/>
      <c r="AB199" s="250"/>
      <c r="AC199" s="250"/>
    </row>
    <row r="200" spans="1:29" s="184" customFormat="1" ht="25.5" customHeight="1" x14ac:dyDescent="0.25">
      <c r="A200" s="324">
        <v>38</v>
      </c>
      <c r="B200" s="324"/>
      <c r="C200" s="324"/>
      <c r="D200" s="324" t="s">
        <v>309</v>
      </c>
      <c r="E200" s="578" t="s">
        <v>1489</v>
      </c>
      <c r="F200" s="458">
        <v>25829</v>
      </c>
      <c r="G200" s="572">
        <v>25829</v>
      </c>
      <c r="H200" s="324" t="s">
        <v>340</v>
      </c>
      <c r="I200" s="324" t="s">
        <v>368</v>
      </c>
      <c r="J200" s="324" t="s">
        <v>308</v>
      </c>
      <c r="K200" s="324"/>
      <c r="L200" s="324"/>
      <c r="M200" s="324"/>
    </row>
    <row r="201" spans="1:29" s="184" customFormat="1" ht="25.5" customHeight="1" x14ac:dyDescent="0.25">
      <c r="A201" s="324">
        <v>39</v>
      </c>
      <c r="B201" s="324"/>
      <c r="C201" s="324"/>
      <c r="D201" s="324" t="s">
        <v>309</v>
      </c>
      <c r="E201" s="578" t="s">
        <v>1491</v>
      </c>
      <c r="F201" s="458">
        <v>25829</v>
      </c>
      <c r="G201" s="572">
        <v>25829</v>
      </c>
      <c r="H201" s="324" t="s">
        <v>369</v>
      </c>
      <c r="I201" s="324" t="s">
        <v>368</v>
      </c>
      <c r="J201" s="324" t="s">
        <v>308</v>
      </c>
      <c r="K201" s="324"/>
      <c r="L201" s="324"/>
      <c r="M201" s="324"/>
    </row>
    <row r="202" spans="1:29" s="184" customFormat="1" ht="25.5" customHeight="1" x14ac:dyDescent="0.25">
      <c r="A202" s="324">
        <v>40</v>
      </c>
      <c r="B202" s="324"/>
      <c r="C202" s="324"/>
      <c r="D202" s="324" t="s">
        <v>309</v>
      </c>
      <c r="E202" s="578" t="s">
        <v>1494</v>
      </c>
      <c r="F202" s="458">
        <v>25829</v>
      </c>
      <c r="G202" s="572">
        <v>25829</v>
      </c>
      <c r="H202" s="324" t="s">
        <v>348</v>
      </c>
      <c r="I202" s="324" t="s">
        <v>368</v>
      </c>
      <c r="J202" s="324" t="s">
        <v>308</v>
      </c>
      <c r="K202" s="324"/>
      <c r="L202" s="324"/>
      <c r="M202" s="324"/>
    </row>
    <row r="203" spans="1:29" s="184" customFormat="1" ht="25.5" customHeight="1" x14ac:dyDescent="0.25">
      <c r="A203" s="324">
        <v>41</v>
      </c>
      <c r="B203" s="324"/>
      <c r="C203" s="324"/>
      <c r="D203" s="324" t="s">
        <v>309</v>
      </c>
      <c r="E203" s="578" t="s">
        <v>1496</v>
      </c>
      <c r="F203" s="458">
        <v>25884</v>
      </c>
      <c r="G203" s="572">
        <v>25884</v>
      </c>
      <c r="H203" s="324" t="s">
        <v>370</v>
      </c>
      <c r="I203" s="324" t="s">
        <v>371</v>
      </c>
      <c r="J203" s="324" t="s">
        <v>308</v>
      </c>
      <c r="K203" s="324"/>
      <c r="L203" s="324"/>
      <c r="M203" s="324"/>
    </row>
    <row r="204" spans="1:29" s="184" customFormat="1" ht="25.5" customHeight="1" x14ac:dyDescent="0.25">
      <c r="A204" s="324">
        <v>42</v>
      </c>
      <c r="B204" s="324"/>
      <c r="C204" s="324"/>
      <c r="D204" s="324" t="s">
        <v>309</v>
      </c>
      <c r="E204" s="578" t="s">
        <v>1517</v>
      </c>
      <c r="F204" s="458">
        <v>25910</v>
      </c>
      <c r="G204" s="572">
        <v>25910</v>
      </c>
      <c r="H204" s="324" t="s">
        <v>372</v>
      </c>
      <c r="I204" s="324" t="s">
        <v>368</v>
      </c>
      <c r="J204" s="324" t="s">
        <v>308</v>
      </c>
      <c r="K204" s="324"/>
      <c r="L204" s="324"/>
      <c r="M204" s="324"/>
    </row>
    <row r="205" spans="1:29" s="184" customFormat="1" ht="25.5" customHeight="1" x14ac:dyDescent="0.25">
      <c r="A205" s="324">
        <v>43</v>
      </c>
      <c r="B205" s="324"/>
      <c r="C205" s="324"/>
      <c r="D205" s="324" t="s">
        <v>309</v>
      </c>
      <c r="E205" s="578" t="s">
        <v>1523</v>
      </c>
      <c r="F205" s="458">
        <v>26130</v>
      </c>
      <c r="G205" s="572">
        <v>26130</v>
      </c>
      <c r="H205" s="324" t="s">
        <v>373</v>
      </c>
      <c r="I205" s="324" t="s">
        <v>359</v>
      </c>
      <c r="J205" s="324" t="s">
        <v>313</v>
      </c>
      <c r="K205" s="324"/>
      <c r="L205" s="324"/>
      <c r="M205" s="324"/>
    </row>
    <row r="206" spans="1:29" s="184" customFormat="1" ht="25.5" customHeight="1" x14ac:dyDescent="0.25">
      <c r="A206" s="324">
        <v>44</v>
      </c>
      <c r="B206" s="324"/>
      <c r="C206" s="324"/>
      <c r="D206" s="324" t="s">
        <v>309</v>
      </c>
      <c r="E206" s="578" t="s">
        <v>1527</v>
      </c>
      <c r="F206" s="458">
        <v>26158</v>
      </c>
      <c r="G206" s="572">
        <v>26158</v>
      </c>
      <c r="H206" s="324" t="s">
        <v>374</v>
      </c>
      <c r="I206" s="324" t="s">
        <v>375</v>
      </c>
      <c r="J206" s="324" t="s">
        <v>313</v>
      </c>
      <c r="K206" s="324"/>
      <c r="L206" s="324"/>
      <c r="M206" s="324"/>
    </row>
    <row r="207" spans="1:29" s="184" customFormat="1" ht="25.5" customHeight="1" x14ac:dyDescent="0.25">
      <c r="A207" s="324">
        <v>45</v>
      </c>
      <c r="B207" s="324"/>
      <c r="C207" s="324"/>
      <c r="D207" s="324" t="s">
        <v>309</v>
      </c>
      <c r="E207" s="578" t="s">
        <v>1537</v>
      </c>
      <c r="F207" s="458">
        <v>26500</v>
      </c>
      <c r="G207" s="572">
        <v>26500</v>
      </c>
      <c r="H207" s="324" t="s">
        <v>376</v>
      </c>
      <c r="I207" s="324" t="s">
        <v>375</v>
      </c>
      <c r="J207" s="324" t="s">
        <v>308</v>
      </c>
      <c r="K207" s="324"/>
      <c r="L207" s="324"/>
      <c r="M207" s="324"/>
    </row>
    <row r="208" spans="1:29" s="184" customFormat="1" ht="25.5" customHeight="1" x14ac:dyDescent="0.25">
      <c r="A208" s="324">
        <v>46</v>
      </c>
      <c r="B208" s="324"/>
      <c r="C208" s="324"/>
      <c r="D208" s="324" t="s">
        <v>309</v>
      </c>
      <c r="E208" s="578" t="s">
        <v>1546</v>
      </c>
      <c r="F208" s="458">
        <v>26500</v>
      </c>
      <c r="G208" s="572">
        <v>26500</v>
      </c>
      <c r="H208" s="324" t="s">
        <v>377</v>
      </c>
      <c r="I208" s="324" t="s">
        <v>375</v>
      </c>
      <c r="J208" s="324" t="s">
        <v>308</v>
      </c>
      <c r="K208" s="324"/>
      <c r="L208" s="324"/>
      <c r="M208" s="324"/>
    </row>
    <row r="209" spans="1:29" s="184" customFormat="1" ht="25.5" customHeight="1" x14ac:dyDescent="0.25">
      <c r="A209" s="324">
        <v>47</v>
      </c>
      <c r="B209" s="324"/>
      <c r="C209" s="324"/>
      <c r="D209" s="324" t="s">
        <v>309</v>
      </c>
      <c r="E209" s="578" t="s">
        <v>1555</v>
      </c>
      <c r="F209" s="458">
        <v>26791</v>
      </c>
      <c r="G209" s="572">
        <v>26791</v>
      </c>
      <c r="H209" s="324" t="s">
        <v>378</v>
      </c>
      <c r="I209" s="324" t="s">
        <v>379</v>
      </c>
      <c r="J209" s="324" t="s">
        <v>313</v>
      </c>
      <c r="K209" s="324"/>
      <c r="L209" s="324"/>
      <c r="M209" s="324"/>
    </row>
    <row r="210" spans="1:29" s="184" customFormat="1" ht="25.5" customHeight="1" x14ac:dyDescent="0.25">
      <c r="A210" s="324">
        <v>48</v>
      </c>
      <c r="B210" s="324"/>
      <c r="C210" s="324"/>
      <c r="D210" s="324" t="s">
        <v>309</v>
      </c>
      <c r="E210" s="578" t="s">
        <v>1557</v>
      </c>
      <c r="F210" s="458">
        <v>26882</v>
      </c>
      <c r="G210" s="572">
        <v>26882</v>
      </c>
      <c r="H210" s="324" t="s">
        <v>380</v>
      </c>
      <c r="I210" s="324" t="s">
        <v>379</v>
      </c>
      <c r="J210" s="324" t="s">
        <v>313</v>
      </c>
      <c r="K210" s="324"/>
      <c r="L210" s="324"/>
      <c r="M210" s="324"/>
    </row>
    <row r="211" spans="1:29" s="184" customFormat="1" ht="25.5" customHeight="1" x14ac:dyDescent="0.25">
      <c r="A211" s="324">
        <v>49</v>
      </c>
      <c r="B211" s="324"/>
      <c r="C211" s="324"/>
      <c r="D211" s="324" t="s">
        <v>309</v>
      </c>
      <c r="E211" s="578" t="s">
        <v>1560</v>
      </c>
      <c r="F211" s="458">
        <v>27036</v>
      </c>
      <c r="G211" s="572">
        <v>27036</v>
      </c>
      <c r="H211" s="324" t="s">
        <v>381</v>
      </c>
      <c r="I211" s="324" t="s">
        <v>379</v>
      </c>
      <c r="J211" s="324" t="s">
        <v>308</v>
      </c>
      <c r="K211" s="324"/>
      <c r="L211" s="324"/>
      <c r="M211" s="324"/>
    </row>
    <row r="212" spans="1:29" s="184" customFormat="1" ht="25.5" customHeight="1" x14ac:dyDescent="0.25">
      <c r="A212" s="324">
        <v>155</v>
      </c>
      <c r="B212" s="324"/>
      <c r="C212" s="324"/>
      <c r="D212" s="324" t="s">
        <v>309</v>
      </c>
      <c r="E212" s="578" t="s">
        <v>2623</v>
      </c>
      <c r="F212" s="458">
        <v>36516</v>
      </c>
      <c r="G212" s="572">
        <v>36516</v>
      </c>
      <c r="H212" s="324" t="s">
        <v>270</v>
      </c>
      <c r="I212" s="324" t="s">
        <v>487</v>
      </c>
      <c r="J212" s="324" t="s">
        <v>488</v>
      </c>
      <c r="K212" s="324"/>
      <c r="L212" s="324"/>
      <c r="M212" s="324"/>
    </row>
    <row r="213" spans="1:29" s="184" customFormat="1" ht="25.5" customHeight="1" x14ac:dyDescent="0.25">
      <c r="A213" s="325">
        <v>182</v>
      </c>
      <c r="B213" s="325"/>
      <c r="C213" s="325"/>
      <c r="D213" s="325" t="s">
        <v>309</v>
      </c>
      <c r="E213" s="577" t="s">
        <v>2623</v>
      </c>
      <c r="F213" s="459">
        <v>36516</v>
      </c>
      <c r="G213" s="573">
        <v>36516</v>
      </c>
      <c r="H213" s="325" t="s">
        <v>270</v>
      </c>
      <c r="I213" s="325" t="s">
        <v>487</v>
      </c>
      <c r="J213" s="325" t="s">
        <v>488</v>
      </c>
      <c r="K213" s="325"/>
      <c r="L213" s="325"/>
      <c r="M213" s="325"/>
      <c r="O213" s="326"/>
      <c r="W213" s="249"/>
      <c r="X213" s="249"/>
      <c r="Y213" s="249"/>
      <c r="Z213" s="250"/>
      <c r="AA213" s="250"/>
      <c r="AB213" s="250"/>
      <c r="AC213" s="250"/>
    </row>
    <row r="214" spans="1:29" s="184" customFormat="1" ht="25.5" customHeight="1" x14ac:dyDescent="0.25">
      <c r="A214" s="324">
        <v>156</v>
      </c>
      <c r="B214" s="324"/>
      <c r="C214" s="324"/>
      <c r="D214" s="324" t="s">
        <v>309</v>
      </c>
      <c r="E214" s="578" t="s">
        <v>2625</v>
      </c>
      <c r="F214" s="458">
        <v>36532</v>
      </c>
      <c r="G214" s="572">
        <v>36532</v>
      </c>
      <c r="H214" s="324" t="s">
        <v>490</v>
      </c>
      <c r="I214" s="324" t="s">
        <v>487</v>
      </c>
      <c r="J214" s="324" t="s">
        <v>488</v>
      </c>
      <c r="K214" s="324"/>
      <c r="L214" s="324"/>
      <c r="M214" s="324"/>
    </row>
    <row r="215" spans="1:29" s="184" customFormat="1" ht="25.5" customHeight="1" x14ac:dyDescent="0.25">
      <c r="A215" s="325">
        <v>183</v>
      </c>
      <c r="B215" s="325"/>
      <c r="C215" s="325"/>
      <c r="D215" s="325" t="s">
        <v>309</v>
      </c>
      <c r="E215" s="577" t="s">
        <v>2625</v>
      </c>
      <c r="F215" s="459">
        <v>36532</v>
      </c>
      <c r="G215" s="573">
        <v>36532</v>
      </c>
      <c r="H215" s="325" t="s">
        <v>490</v>
      </c>
      <c r="I215" s="325" t="s">
        <v>487</v>
      </c>
      <c r="J215" s="325" t="s">
        <v>488</v>
      </c>
      <c r="K215" s="325"/>
      <c r="L215" s="325"/>
      <c r="M215" s="325"/>
      <c r="O215" s="326"/>
      <c r="W215" s="249"/>
      <c r="X215" s="249"/>
      <c r="Y215" s="249"/>
      <c r="Z215" s="250"/>
      <c r="AA215" s="250"/>
      <c r="AB215" s="250"/>
      <c r="AC215" s="250"/>
    </row>
    <row r="216" spans="1:29" s="184" customFormat="1" ht="25.5" customHeight="1" x14ac:dyDescent="0.25">
      <c r="A216" s="324">
        <v>157</v>
      </c>
      <c r="B216" s="324"/>
      <c r="C216" s="324"/>
      <c r="D216" s="324" t="s">
        <v>309</v>
      </c>
      <c r="E216" s="578" t="s">
        <v>2627</v>
      </c>
      <c r="F216" s="458">
        <v>36545</v>
      </c>
      <c r="G216" s="572">
        <v>36545</v>
      </c>
      <c r="H216" s="324" t="s">
        <v>492</v>
      </c>
      <c r="I216" s="324" t="s">
        <v>487</v>
      </c>
      <c r="J216" s="324" t="s">
        <v>493</v>
      </c>
      <c r="K216" s="324"/>
      <c r="L216" s="324"/>
      <c r="M216" s="324"/>
    </row>
    <row r="217" spans="1:29" s="184" customFormat="1" ht="25.5" customHeight="1" x14ac:dyDescent="0.25">
      <c r="A217" s="325">
        <v>184</v>
      </c>
      <c r="B217" s="325"/>
      <c r="C217" s="325"/>
      <c r="D217" s="325" t="s">
        <v>309</v>
      </c>
      <c r="E217" s="577" t="s">
        <v>2627</v>
      </c>
      <c r="F217" s="459">
        <v>36545</v>
      </c>
      <c r="G217" s="573">
        <v>36545</v>
      </c>
      <c r="H217" s="325" t="s">
        <v>933</v>
      </c>
      <c r="I217" s="325" t="s">
        <v>487</v>
      </c>
      <c r="J217" s="325" t="s">
        <v>493</v>
      </c>
      <c r="K217" s="325"/>
      <c r="L217" s="325"/>
      <c r="M217" s="325"/>
      <c r="O217" s="326"/>
      <c r="W217" s="249"/>
      <c r="X217" s="249"/>
      <c r="Y217" s="249"/>
      <c r="Z217" s="250"/>
      <c r="AA217" s="250"/>
      <c r="AB217" s="250"/>
      <c r="AC217" s="250"/>
    </row>
    <row r="218" spans="1:29" s="184" customFormat="1" ht="25.5" customHeight="1" x14ac:dyDescent="0.25">
      <c r="A218" s="324">
        <v>158</v>
      </c>
      <c r="B218" s="324"/>
      <c r="C218" s="324"/>
      <c r="D218" s="324" t="s">
        <v>309</v>
      </c>
      <c r="E218" s="578" t="s">
        <v>2629</v>
      </c>
      <c r="F218" s="458">
        <v>36546</v>
      </c>
      <c r="G218" s="572">
        <v>36546</v>
      </c>
      <c r="H218" s="324" t="s">
        <v>495</v>
      </c>
      <c r="I218" s="324" t="s">
        <v>496</v>
      </c>
      <c r="J218" s="324" t="s">
        <v>497</v>
      </c>
      <c r="K218" s="324"/>
      <c r="L218" s="324"/>
      <c r="M218" s="324"/>
    </row>
    <row r="219" spans="1:29" s="184" customFormat="1" ht="25.5" customHeight="1" x14ac:dyDescent="0.25">
      <c r="A219" s="325">
        <v>185</v>
      </c>
      <c r="B219" s="325"/>
      <c r="C219" s="325"/>
      <c r="D219" s="325" t="s">
        <v>309</v>
      </c>
      <c r="E219" s="577" t="s">
        <v>2629</v>
      </c>
      <c r="F219" s="459">
        <v>36546</v>
      </c>
      <c r="G219" s="573">
        <v>36546</v>
      </c>
      <c r="H219" s="325" t="s">
        <v>495</v>
      </c>
      <c r="I219" s="325" t="s">
        <v>496</v>
      </c>
      <c r="J219" s="325" t="s">
        <v>497</v>
      </c>
      <c r="K219" s="325"/>
      <c r="L219" s="325"/>
      <c r="M219" s="325"/>
      <c r="O219" s="326"/>
      <c r="W219" s="249"/>
      <c r="X219" s="249"/>
      <c r="Y219" s="249"/>
      <c r="Z219" s="250"/>
      <c r="AA219" s="250"/>
      <c r="AB219" s="250"/>
      <c r="AC219" s="250"/>
    </row>
    <row r="220" spans="1:29" s="184" customFormat="1" ht="25.5" customHeight="1" x14ac:dyDescent="0.25">
      <c r="A220" s="324">
        <v>159</v>
      </c>
      <c r="B220" s="324"/>
      <c r="C220" s="324"/>
      <c r="D220" s="324" t="s">
        <v>309</v>
      </c>
      <c r="E220" s="578" t="s">
        <v>2631</v>
      </c>
      <c r="F220" s="458">
        <v>36549</v>
      </c>
      <c r="G220" s="572">
        <v>36549</v>
      </c>
      <c r="H220" s="324" t="s">
        <v>499</v>
      </c>
      <c r="I220" s="324" t="s">
        <v>496</v>
      </c>
      <c r="J220" s="324" t="s">
        <v>497</v>
      </c>
      <c r="K220" s="324"/>
      <c r="L220" s="324"/>
      <c r="M220" s="324"/>
    </row>
    <row r="221" spans="1:29" s="184" customFormat="1" ht="25.5" customHeight="1" x14ac:dyDescent="0.25">
      <c r="A221" s="325">
        <v>186</v>
      </c>
      <c r="B221" s="325"/>
      <c r="C221" s="325"/>
      <c r="D221" s="325" t="s">
        <v>309</v>
      </c>
      <c r="E221" s="577" t="s">
        <v>2631</v>
      </c>
      <c r="F221" s="459">
        <v>36549</v>
      </c>
      <c r="G221" s="573">
        <v>36549</v>
      </c>
      <c r="H221" s="325" t="s">
        <v>499</v>
      </c>
      <c r="I221" s="325" t="s">
        <v>496</v>
      </c>
      <c r="J221" s="325" t="s">
        <v>497</v>
      </c>
      <c r="K221" s="325"/>
      <c r="L221" s="325"/>
      <c r="M221" s="325"/>
      <c r="O221" s="326"/>
      <c r="W221" s="249"/>
      <c r="X221" s="249"/>
      <c r="Y221" s="249"/>
      <c r="Z221" s="250"/>
      <c r="AA221" s="250"/>
      <c r="AB221" s="250"/>
      <c r="AC221" s="250"/>
    </row>
    <row r="222" spans="1:29" s="184" customFormat="1" ht="25.5" customHeight="1" x14ac:dyDescent="0.25">
      <c r="A222" s="324">
        <v>160</v>
      </c>
      <c r="B222" s="324"/>
      <c r="C222" s="324"/>
      <c r="D222" s="324" t="s">
        <v>309</v>
      </c>
      <c r="E222" s="578" t="s">
        <v>2633</v>
      </c>
      <c r="F222" s="458">
        <v>36551</v>
      </c>
      <c r="G222" s="572">
        <v>36551</v>
      </c>
      <c r="H222" s="324" t="s">
        <v>501</v>
      </c>
      <c r="I222" s="324" t="s">
        <v>487</v>
      </c>
      <c r="J222" s="324" t="s">
        <v>502</v>
      </c>
      <c r="K222" s="324"/>
      <c r="L222" s="324"/>
      <c r="M222" s="324"/>
    </row>
    <row r="223" spans="1:29" s="184" customFormat="1" ht="25.5" customHeight="1" x14ac:dyDescent="0.25">
      <c r="A223" s="325">
        <v>187</v>
      </c>
      <c r="B223" s="325"/>
      <c r="C223" s="325"/>
      <c r="D223" s="325" t="s">
        <v>309</v>
      </c>
      <c r="E223" s="577" t="s">
        <v>2633</v>
      </c>
      <c r="F223" s="459">
        <v>36551</v>
      </c>
      <c r="G223" s="573">
        <v>36551</v>
      </c>
      <c r="H223" s="325" t="s">
        <v>501</v>
      </c>
      <c r="I223" s="325" t="s">
        <v>487</v>
      </c>
      <c r="J223" s="325" t="s">
        <v>502</v>
      </c>
      <c r="K223" s="325"/>
      <c r="L223" s="325"/>
      <c r="M223" s="325"/>
      <c r="O223" s="326"/>
      <c r="W223" s="249"/>
      <c r="X223" s="249"/>
      <c r="Y223" s="249"/>
      <c r="Z223" s="250"/>
      <c r="AA223" s="250"/>
      <c r="AB223" s="250"/>
      <c r="AC223" s="250"/>
    </row>
    <row r="224" spans="1:29" s="184" customFormat="1" ht="25.5" customHeight="1" x14ac:dyDescent="0.25">
      <c r="A224" s="324">
        <v>161</v>
      </c>
      <c r="B224" s="324"/>
      <c r="C224" s="324"/>
      <c r="D224" s="324" t="s">
        <v>309</v>
      </c>
      <c r="E224" s="578" t="s">
        <v>2635</v>
      </c>
      <c r="F224" s="458">
        <v>36558</v>
      </c>
      <c r="G224" s="572">
        <v>36558</v>
      </c>
      <c r="H224" s="324" t="s">
        <v>504</v>
      </c>
      <c r="I224" s="324" t="s">
        <v>496</v>
      </c>
      <c r="J224" s="324" t="s">
        <v>505</v>
      </c>
      <c r="K224" s="324"/>
      <c r="L224" s="324"/>
      <c r="M224" s="324"/>
    </row>
    <row r="225" spans="1:29" s="184" customFormat="1" ht="25.5" customHeight="1" x14ac:dyDescent="0.25">
      <c r="A225" s="325">
        <v>188</v>
      </c>
      <c r="B225" s="325"/>
      <c r="C225" s="325"/>
      <c r="D225" s="325" t="s">
        <v>309</v>
      </c>
      <c r="E225" s="577" t="s">
        <v>2635</v>
      </c>
      <c r="F225" s="459">
        <v>36558</v>
      </c>
      <c r="G225" s="573">
        <v>36558</v>
      </c>
      <c r="H225" s="325" t="s">
        <v>504</v>
      </c>
      <c r="I225" s="325" t="s">
        <v>496</v>
      </c>
      <c r="J225" s="325" t="s">
        <v>505</v>
      </c>
      <c r="K225" s="325"/>
      <c r="L225" s="325"/>
      <c r="M225" s="325"/>
      <c r="O225" s="326"/>
      <c r="W225" s="249"/>
      <c r="X225" s="249"/>
      <c r="Y225" s="249"/>
      <c r="Z225" s="250"/>
      <c r="AA225" s="250"/>
      <c r="AB225" s="250"/>
      <c r="AC225" s="250"/>
    </row>
    <row r="226" spans="1:29" s="184" customFormat="1" ht="25.5" customHeight="1" x14ac:dyDescent="0.25">
      <c r="A226" s="324">
        <v>162</v>
      </c>
      <c r="B226" s="324"/>
      <c r="C226" s="324"/>
      <c r="D226" s="324" t="s">
        <v>309</v>
      </c>
      <c r="E226" s="578" t="s">
        <v>2637</v>
      </c>
      <c r="F226" s="458">
        <v>36558</v>
      </c>
      <c r="G226" s="572">
        <v>36558</v>
      </c>
      <c r="H226" s="324" t="s">
        <v>507</v>
      </c>
      <c r="I226" s="324" t="s">
        <v>487</v>
      </c>
      <c r="J226" s="324" t="s">
        <v>502</v>
      </c>
      <c r="K226" s="324"/>
      <c r="L226" s="324"/>
      <c r="M226" s="324"/>
    </row>
    <row r="227" spans="1:29" s="184" customFormat="1" ht="25.5" customHeight="1" x14ac:dyDescent="0.25">
      <c r="A227" s="325">
        <v>189</v>
      </c>
      <c r="B227" s="325"/>
      <c r="C227" s="325"/>
      <c r="D227" s="325" t="s">
        <v>309</v>
      </c>
      <c r="E227" s="577" t="s">
        <v>2637</v>
      </c>
      <c r="F227" s="459">
        <v>36558</v>
      </c>
      <c r="G227" s="573">
        <v>36558</v>
      </c>
      <c r="H227" s="325" t="s">
        <v>507</v>
      </c>
      <c r="I227" s="325" t="s">
        <v>487</v>
      </c>
      <c r="J227" s="325" t="s">
        <v>502</v>
      </c>
      <c r="K227" s="325"/>
      <c r="L227" s="325"/>
      <c r="M227" s="325"/>
      <c r="O227" s="326"/>
      <c r="W227" s="249"/>
      <c r="X227" s="249"/>
      <c r="Y227" s="249"/>
      <c r="Z227" s="250"/>
      <c r="AA227" s="250"/>
      <c r="AB227" s="250"/>
      <c r="AC227" s="250"/>
    </row>
    <row r="228" spans="1:29" s="184" customFormat="1" ht="25.5" customHeight="1" x14ac:dyDescent="0.25">
      <c r="A228" s="324">
        <v>163</v>
      </c>
      <c r="B228" s="324"/>
      <c r="C228" s="324"/>
      <c r="D228" s="324" t="s">
        <v>309</v>
      </c>
      <c r="E228" s="578" t="s">
        <v>2639</v>
      </c>
      <c r="F228" s="458">
        <v>36564</v>
      </c>
      <c r="G228" s="572">
        <v>36564</v>
      </c>
      <c r="H228" s="324" t="s">
        <v>509</v>
      </c>
      <c r="I228" s="324" t="s">
        <v>496</v>
      </c>
      <c r="J228" s="324" t="s">
        <v>497</v>
      </c>
      <c r="K228" s="324"/>
      <c r="L228" s="324"/>
      <c r="M228" s="324"/>
    </row>
    <row r="229" spans="1:29" s="184" customFormat="1" ht="25.5" customHeight="1" x14ac:dyDescent="0.25">
      <c r="A229" s="325">
        <v>190</v>
      </c>
      <c r="B229" s="325"/>
      <c r="C229" s="325"/>
      <c r="D229" s="325" t="s">
        <v>309</v>
      </c>
      <c r="E229" s="577" t="s">
        <v>2639</v>
      </c>
      <c r="F229" s="459">
        <v>36564</v>
      </c>
      <c r="G229" s="573">
        <v>36564</v>
      </c>
      <c r="H229" s="325" t="s">
        <v>509</v>
      </c>
      <c r="I229" s="325" t="s">
        <v>496</v>
      </c>
      <c r="J229" s="325" t="s">
        <v>497</v>
      </c>
      <c r="K229" s="325"/>
      <c r="L229" s="325"/>
      <c r="M229" s="325"/>
      <c r="O229" s="326"/>
      <c r="W229" s="249"/>
      <c r="X229" s="249"/>
      <c r="Y229" s="249"/>
      <c r="Z229" s="250"/>
      <c r="AA229" s="250"/>
      <c r="AB229" s="250"/>
      <c r="AC229" s="250"/>
    </row>
    <row r="230" spans="1:29" s="184" customFormat="1" ht="25.5" customHeight="1" x14ac:dyDescent="0.25">
      <c r="A230" s="324">
        <v>164</v>
      </c>
      <c r="B230" s="324"/>
      <c r="C230" s="324"/>
      <c r="D230" s="324" t="s">
        <v>309</v>
      </c>
      <c r="E230" s="578" t="s">
        <v>2642</v>
      </c>
      <c r="F230" s="458">
        <v>36564</v>
      </c>
      <c r="G230" s="572">
        <v>36564</v>
      </c>
      <c r="H230" s="324" t="s">
        <v>511</v>
      </c>
      <c r="I230" s="324" t="s">
        <v>496</v>
      </c>
      <c r="J230" s="324" t="s">
        <v>497</v>
      </c>
      <c r="K230" s="324"/>
      <c r="L230" s="324"/>
      <c r="M230" s="324"/>
    </row>
    <row r="231" spans="1:29" s="184" customFormat="1" ht="25.5" customHeight="1" x14ac:dyDescent="0.25">
      <c r="A231" s="325">
        <v>191</v>
      </c>
      <c r="B231" s="325"/>
      <c r="C231" s="325"/>
      <c r="D231" s="325" t="s">
        <v>309</v>
      </c>
      <c r="E231" s="577" t="s">
        <v>2642</v>
      </c>
      <c r="F231" s="459">
        <v>36564</v>
      </c>
      <c r="G231" s="573">
        <v>36564</v>
      </c>
      <c r="H231" s="325" t="s">
        <v>934</v>
      </c>
      <c r="I231" s="325" t="s">
        <v>496</v>
      </c>
      <c r="J231" s="325" t="s">
        <v>497</v>
      </c>
      <c r="K231" s="325"/>
      <c r="L231" s="325"/>
      <c r="M231" s="325"/>
      <c r="O231" s="326"/>
      <c r="W231" s="249"/>
      <c r="X231" s="249"/>
      <c r="Y231" s="249"/>
      <c r="Z231" s="250"/>
      <c r="AA231" s="250"/>
      <c r="AB231" s="250"/>
      <c r="AC231" s="250"/>
    </row>
    <row r="232" spans="1:29" s="184" customFormat="1" ht="25.5" customHeight="1" x14ac:dyDescent="0.25">
      <c r="A232" s="324">
        <v>165</v>
      </c>
      <c r="B232" s="324"/>
      <c r="C232" s="324"/>
      <c r="D232" s="324" t="s">
        <v>309</v>
      </c>
      <c r="E232" s="578" t="s">
        <v>2645</v>
      </c>
      <c r="F232" s="458">
        <v>36564</v>
      </c>
      <c r="G232" s="572">
        <v>36564</v>
      </c>
      <c r="H232" s="324" t="s">
        <v>513</v>
      </c>
      <c r="I232" s="324" t="s">
        <v>496</v>
      </c>
      <c r="J232" s="324" t="s">
        <v>497</v>
      </c>
      <c r="K232" s="324"/>
      <c r="L232" s="324"/>
      <c r="M232" s="324"/>
    </row>
    <row r="233" spans="1:29" s="184" customFormat="1" ht="25.5" customHeight="1" x14ac:dyDescent="0.25">
      <c r="A233" s="325">
        <v>192</v>
      </c>
      <c r="B233" s="325"/>
      <c r="C233" s="325"/>
      <c r="D233" s="325" t="s">
        <v>309</v>
      </c>
      <c r="E233" s="577" t="s">
        <v>2645</v>
      </c>
      <c r="F233" s="459">
        <v>36564</v>
      </c>
      <c r="G233" s="573">
        <v>36564</v>
      </c>
      <c r="H233" s="325" t="s">
        <v>513</v>
      </c>
      <c r="I233" s="325" t="s">
        <v>496</v>
      </c>
      <c r="J233" s="325" t="s">
        <v>497</v>
      </c>
      <c r="K233" s="325"/>
      <c r="L233" s="325"/>
      <c r="M233" s="325"/>
      <c r="O233" s="326"/>
      <c r="W233" s="249"/>
      <c r="X233" s="249"/>
      <c r="Y233" s="249"/>
      <c r="Z233" s="250"/>
      <c r="AA233" s="250"/>
      <c r="AB233" s="250"/>
      <c r="AC233" s="250"/>
    </row>
    <row r="234" spans="1:29" s="184" customFormat="1" ht="25.5" customHeight="1" x14ac:dyDescent="0.25">
      <c r="A234" s="324">
        <v>166</v>
      </c>
      <c r="B234" s="324"/>
      <c r="C234" s="324"/>
      <c r="D234" s="324" t="s">
        <v>309</v>
      </c>
      <c r="E234" s="578" t="s">
        <v>2647</v>
      </c>
      <c r="F234" s="458">
        <v>36565</v>
      </c>
      <c r="G234" s="572">
        <v>36565</v>
      </c>
      <c r="H234" s="324" t="s">
        <v>515</v>
      </c>
      <c r="I234" s="324" t="s">
        <v>266</v>
      </c>
      <c r="J234" s="324" t="s">
        <v>516</v>
      </c>
      <c r="K234" s="324"/>
      <c r="L234" s="324"/>
      <c r="M234" s="324"/>
    </row>
    <row r="235" spans="1:29" s="184" customFormat="1" ht="25.5" customHeight="1" x14ac:dyDescent="0.25">
      <c r="A235" s="325">
        <v>193</v>
      </c>
      <c r="B235" s="325"/>
      <c r="C235" s="325"/>
      <c r="D235" s="325" t="s">
        <v>309</v>
      </c>
      <c r="E235" s="577" t="s">
        <v>2647</v>
      </c>
      <c r="F235" s="459">
        <v>36565</v>
      </c>
      <c r="G235" s="573">
        <v>36565</v>
      </c>
      <c r="H235" s="325" t="s">
        <v>515</v>
      </c>
      <c r="I235" s="325" t="s">
        <v>266</v>
      </c>
      <c r="J235" s="325" t="s">
        <v>516</v>
      </c>
      <c r="K235" s="325"/>
      <c r="L235" s="325"/>
      <c r="M235" s="325"/>
      <c r="O235" s="326"/>
      <c r="W235" s="249"/>
      <c r="X235" s="249"/>
      <c r="Y235" s="249"/>
      <c r="Z235" s="250"/>
      <c r="AA235" s="250"/>
      <c r="AB235" s="250"/>
      <c r="AC235" s="250"/>
    </row>
    <row r="236" spans="1:29" s="184" customFormat="1" ht="25.5" customHeight="1" x14ac:dyDescent="0.25">
      <c r="A236" s="324">
        <v>167</v>
      </c>
      <c r="B236" s="324"/>
      <c r="C236" s="324"/>
      <c r="D236" s="324" t="s">
        <v>309</v>
      </c>
      <c r="E236" s="578" t="s">
        <v>2649</v>
      </c>
      <c r="F236" s="458">
        <v>36565</v>
      </c>
      <c r="G236" s="572">
        <v>36565</v>
      </c>
      <c r="H236" s="324" t="s">
        <v>292</v>
      </c>
      <c r="I236" s="324" t="s">
        <v>266</v>
      </c>
      <c r="J236" s="324" t="s">
        <v>518</v>
      </c>
      <c r="K236" s="324"/>
      <c r="L236" s="324"/>
      <c r="M236" s="324"/>
    </row>
    <row r="237" spans="1:29" s="184" customFormat="1" ht="25.5" customHeight="1" x14ac:dyDescent="0.25">
      <c r="A237" s="325">
        <v>194</v>
      </c>
      <c r="B237" s="325"/>
      <c r="C237" s="325"/>
      <c r="D237" s="325" t="s">
        <v>309</v>
      </c>
      <c r="E237" s="577" t="s">
        <v>2649</v>
      </c>
      <c r="F237" s="459">
        <v>36565</v>
      </c>
      <c r="G237" s="573">
        <v>36565</v>
      </c>
      <c r="H237" s="325" t="s">
        <v>292</v>
      </c>
      <c r="I237" s="325" t="s">
        <v>266</v>
      </c>
      <c r="J237" s="325" t="s">
        <v>518</v>
      </c>
      <c r="K237" s="325"/>
      <c r="L237" s="325"/>
      <c r="M237" s="325"/>
      <c r="O237" s="326"/>
      <c r="W237" s="249"/>
      <c r="X237" s="249"/>
      <c r="Y237" s="249"/>
      <c r="Z237" s="250"/>
      <c r="AA237" s="250"/>
      <c r="AB237" s="250"/>
      <c r="AC237" s="250"/>
    </row>
    <row r="238" spans="1:29" s="184" customFormat="1" ht="25.5" customHeight="1" x14ac:dyDescent="0.25">
      <c r="A238" s="324">
        <v>168</v>
      </c>
      <c r="B238" s="324"/>
      <c r="C238" s="324"/>
      <c r="D238" s="324" t="s">
        <v>309</v>
      </c>
      <c r="E238" s="578" t="s">
        <v>2651</v>
      </c>
      <c r="F238" s="458">
        <v>36565</v>
      </c>
      <c r="G238" s="572">
        <v>36565</v>
      </c>
      <c r="H238" s="324" t="s">
        <v>520</v>
      </c>
      <c r="I238" s="324" t="s">
        <v>266</v>
      </c>
      <c r="J238" s="324" t="s">
        <v>521</v>
      </c>
      <c r="K238" s="324"/>
      <c r="L238" s="324"/>
      <c r="M238" s="324"/>
    </row>
    <row r="239" spans="1:29" s="184" customFormat="1" ht="25.5" customHeight="1" x14ac:dyDescent="0.25">
      <c r="A239" s="325">
        <v>195</v>
      </c>
      <c r="B239" s="325"/>
      <c r="C239" s="325"/>
      <c r="D239" s="325" t="s">
        <v>309</v>
      </c>
      <c r="E239" s="577" t="s">
        <v>2651</v>
      </c>
      <c r="F239" s="459">
        <v>36565</v>
      </c>
      <c r="G239" s="573">
        <v>36565</v>
      </c>
      <c r="H239" s="325" t="s">
        <v>520</v>
      </c>
      <c r="I239" s="325" t="s">
        <v>266</v>
      </c>
      <c r="J239" s="325" t="s">
        <v>521</v>
      </c>
      <c r="K239" s="325"/>
      <c r="L239" s="325"/>
      <c r="M239" s="325"/>
      <c r="O239" s="326"/>
      <c r="W239" s="249"/>
      <c r="X239" s="249"/>
      <c r="Y239" s="249"/>
      <c r="Z239" s="250"/>
      <c r="AA239" s="250"/>
      <c r="AB239" s="250"/>
      <c r="AC239" s="250"/>
    </row>
    <row r="240" spans="1:29" s="184" customFormat="1" ht="25.5" customHeight="1" x14ac:dyDescent="0.25">
      <c r="A240" s="324">
        <v>169</v>
      </c>
      <c r="B240" s="324"/>
      <c r="C240" s="324"/>
      <c r="D240" s="324" t="s">
        <v>309</v>
      </c>
      <c r="E240" s="578" t="s">
        <v>2653</v>
      </c>
      <c r="F240" s="458">
        <v>36565</v>
      </c>
      <c r="G240" s="572">
        <v>36565</v>
      </c>
      <c r="H240" s="324" t="s">
        <v>523</v>
      </c>
      <c r="I240" s="324" t="s">
        <v>266</v>
      </c>
      <c r="J240" s="324" t="s">
        <v>518</v>
      </c>
      <c r="K240" s="324"/>
      <c r="L240" s="324"/>
      <c r="M240" s="324"/>
    </row>
    <row r="241" spans="1:29" s="184" customFormat="1" ht="25.5" customHeight="1" x14ac:dyDescent="0.25">
      <c r="A241" s="325">
        <v>196</v>
      </c>
      <c r="B241" s="325"/>
      <c r="C241" s="325"/>
      <c r="D241" s="325" t="s">
        <v>309</v>
      </c>
      <c r="E241" s="577" t="s">
        <v>2653</v>
      </c>
      <c r="F241" s="459">
        <v>36565</v>
      </c>
      <c r="G241" s="573">
        <v>36565</v>
      </c>
      <c r="H241" s="325" t="s">
        <v>523</v>
      </c>
      <c r="I241" s="325" t="s">
        <v>266</v>
      </c>
      <c r="J241" s="325" t="s">
        <v>518</v>
      </c>
      <c r="K241" s="325"/>
      <c r="L241" s="325"/>
      <c r="M241" s="325"/>
      <c r="O241" s="326"/>
      <c r="W241" s="249"/>
      <c r="X241" s="249"/>
      <c r="Y241" s="249"/>
      <c r="Z241" s="250"/>
      <c r="AA241" s="250"/>
      <c r="AB241" s="250"/>
      <c r="AC241" s="250"/>
    </row>
    <row r="242" spans="1:29" s="184" customFormat="1" ht="25.5" customHeight="1" x14ac:dyDescent="0.25">
      <c r="A242" s="324">
        <v>170</v>
      </c>
      <c r="B242" s="324"/>
      <c r="C242" s="324"/>
      <c r="D242" s="324" t="s">
        <v>309</v>
      </c>
      <c r="E242" s="578" t="s">
        <v>2655</v>
      </c>
      <c r="F242" s="458">
        <v>36565</v>
      </c>
      <c r="G242" s="572">
        <v>36565</v>
      </c>
      <c r="H242" s="324" t="s">
        <v>525</v>
      </c>
      <c r="I242" s="324" t="s">
        <v>496</v>
      </c>
      <c r="J242" s="324" t="s">
        <v>497</v>
      </c>
      <c r="K242" s="324"/>
      <c r="L242" s="324"/>
      <c r="M242" s="324"/>
    </row>
    <row r="243" spans="1:29" s="184" customFormat="1" ht="25.5" customHeight="1" x14ac:dyDescent="0.25">
      <c r="A243" s="325">
        <v>197</v>
      </c>
      <c r="B243" s="325"/>
      <c r="C243" s="325"/>
      <c r="D243" s="325" t="s">
        <v>309</v>
      </c>
      <c r="E243" s="577" t="s">
        <v>2655</v>
      </c>
      <c r="F243" s="459">
        <v>36565</v>
      </c>
      <c r="G243" s="573">
        <v>36565</v>
      </c>
      <c r="H243" s="325" t="s">
        <v>935</v>
      </c>
      <c r="I243" s="325" t="s">
        <v>496</v>
      </c>
      <c r="J243" s="325" t="s">
        <v>497</v>
      </c>
      <c r="K243" s="325"/>
      <c r="L243" s="325"/>
      <c r="M243" s="325"/>
      <c r="O243" s="326"/>
      <c r="W243" s="249"/>
      <c r="X243" s="249"/>
      <c r="Y243" s="249"/>
      <c r="Z243" s="250"/>
      <c r="AA243" s="250"/>
      <c r="AB243" s="250"/>
      <c r="AC243" s="250"/>
    </row>
    <row r="244" spans="1:29" s="184" customFormat="1" ht="25.5" customHeight="1" x14ac:dyDescent="0.25">
      <c r="A244" s="324">
        <v>171</v>
      </c>
      <c r="B244" s="324"/>
      <c r="C244" s="324"/>
      <c r="D244" s="324" t="s">
        <v>309</v>
      </c>
      <c r="E244" s="578" t="s">
        <v>2658</v>
      </c>
      <c r="F244" s="458">
        <v>36565</v>
      </c>
      <c r="G244" s="572">
        <v>36565</v>
      </c>
      <c r="H244" s="324" t="s">
        <v>527</v>
      </c>
      <c r="I244" s="324" t="s">
        <v>496</v>
      </c>
      <c r="J244" s="324" t="s">
        <v>497</v>
      </c>
      <c r="K244" s="324"/>
      <c r="L244" s="324"/>
      <c r="M244" s="324"/>
    </row>
    <row r="245" spans="1:29" s="184" customFormat="1" ht="25.5" customHeight="1" x14ac:dyDescent="0.25">
      <c r="A245" s="325">
        <v>198</v>
      </c>
      <c r="B245" s="325"/>
      <c r="C245" s="325"/>
      <c r="D245" s="325" t="s">
        <v>309</v>
      </c>
      <c r="E245" s="577" t="s">
        <v>2658</v>
      </c>
      <c r="F245" s="459">
        <v>36565</v>
      </c>
      <c r="G245" s="573">
        <v>36565</v>
      </c>
      <c r="H245" s="325" t="s">
        <v>527</v>
      </c>
      <c r="I245" s="325" t="s">
        <v>496</v>
      </c>
      <c r="J245" s="325" t="s">
        <v>497</v>
      </c>
      <c r="K245" s="325"/>
      <c r="L245" s="325"/>
      <c r="M245" s="325"/>
      <c r="O245" s="326"/>
      <c r="W245" s="249"/>
      <c r="X245" s="249"/>
      <c r="Y245" s="249"/>
      <c r="Z245" s="250"/>
      <c r="AA245" s="250"/>
      <c r="AB245" s="250"/>
      <c r="AC245" s="250"/>
    </row>
    <row r="246" spans="1:29" s="184" customFormat="1" ht="25.5" customHeight="1" x14ac:dyDescent="0.25">
      <c r="A246" s="324">
        <v>172</v>
      </c>
      <c r="B246" s="324"/>
      <c r="C246" s="324"/>
      <c r="D246" s="324" t="s">
        <v>309</v>
      </c>
      <c r="E246" s="578" t="s">
        <v>2660</v>
      </c>
      <c r="F246" s="458">
        <v>36565</v>
      </c>
      <c r="G246" s="572">
        <v>36565</v>
      </c>
      <c r="H246" s="324" t="s">
        <v>529</v>
      </c>
      <c r="I246" s="324" t="s">
        <v>496</v>
      </c>
      <c r="J246" s="324" t="s">
        <v>497</v>
      </c>
      <c r="K246" s="324"/>
      <c r="L246" s="324"/>
      <c r="M246" s="324"/>
    </row>
    <row r="247" spans="1:29" s="184" customFormat="1" ht="25.5" customHeight="1" x14ac:dyDescent="0.25">
      <c r="A247" s="325">
        <v>199</v>
      </c>
      <c r="B247" s="325"/>
      <c r="C247" s="325"/>
      <c r="D247" s="325" t="s">
        <v>309</v>
      </c>
      <c r="E247" s="577" t="s">
        <v>2660</v>
      </c>
      <c r="F247" s="459">
        <v>36565</v>
      </c>
      <c r="G247" s="573">
        <v>36565</v>
      </c>
      <c r="H247" s="325" t="s">
        <v>529</v>
      </c>
      <c r="I247" s="325" t="s">
        <v>496</v>
      </c>
      <c r="J247" s="325" t="s">
        <v>497</v>
      </c>
      <c r="K247" s="325"/>
      <c r="L247" s="325"/>
      <c r="M247" s="325"/>
      <c r="O247" s="326"/>
      <c r="W247" s="249"/>
      <c r="X247" s="249"/>
      <c r="Y247" s="249"/>
      <c r="Z247" s="250"/>
      <c r="AA247" s="250"/>
      <c r="AB247" s="250"/>
      <c r="AC247" s="250"/>
    </row>
    <row r="248" spans="1:29" s="184" customFormat="1" ht="25.5" customHeight="1" x14ac:dyDescent="0.25">
      <c r="A248" s="324">
        <v>173</v>
      </c>
      <c r="B248" s="324"/>
      <c r="C248" s="324"/>
      <c r="D248" s="324" t="s">
        <v>309</v>
      </c>
      <c r="E248" s="578" t="s">
        <v>2665</v>
      </c>
      <c r="F248" s="458">
        <v>36566</v>
      </c>
      <c r="G248" s="572">
        <v>36566</v>
      </c>
      <c r="H248" s="324" t="s">
        <v>531</v>
      </c>
      <c r="I248" s="324" t="s">
        <v>250</v>
      </c>
      <c r="J248" s="324" t="s">
        <v>313</v>
      </c>
      <c r="K248" s="324"/>
      <c r="L248" s="324"/>
      <c r="M248" s="324"/>
    </row>
    <row r="249" spans="1:29" s="184" customFormat="1" ht="25.5" customHeight="1" x14ac:dyDescent="0.25">
      <c r="A249" s="325">
        <v>200</v>
      </c>
      <c r="B249" s="325"/>
      <c r="C249" s="325"/>
      <c r="D249" s="325" t="s">
        <v>309</v>
      </c>
      <c r="E249" s="577" t="s">
        <v>2665</v>
      </c>
      <c r="F249" s="459">
        <v>36566</v>
      </c>
      <c r="G249" s="573">
        <v>36566</v>
      </c>
      <c r="H249" s="325" t="s">
        <v>531</v>
      </c>
      <c r="I249" s="325" t="s">
        <v>487</v>
      </c>
      <c r="J249" s="325" t="s">
        <v>313</v>
      </c>
      <c r="K249" s="325"/>
      <c r="L249" s="325"/>
      <c r="M249" s="325"/>
      <c r="O249" s="326"/>
      <c r="W249" s="249"/>
      <c r="X249" s="249"/>
      <c r="Y249" s="249"/>
      <c r="Z249" s="250"/>
      <c r="AA249" s="250"/>
      <c r="AB249" s="250"/>
      <c r="AC249" s="250"/>
    </row>
    <row r="250" spans="1:29" s="184" customFormat="1" ht="25.5" customHeight="1" x14ac:dyDescent="0.25">
      <c r="A250" s="324">
        <v>174</v>
      </c>
      <c r="B250" s="324"/>
      <c r="C250" s="324"/>
      <c r="D250" s="324" t="s">
        <v>309</v>
      </c>
      <c r="E250" s="578" t="s">
        <v>2669</v>
      </c>
      <c r="F250" s="458">
        <v>36572</v>
      </c>
      <c r="G250" s="572">
        <v>36572</v>
      </c>
      <c r="H250" s="324" t="s">
        <v>533</v>
      </c>
      <c r="I250" s="324" t="s">
        <v>496</v>
      </c>
      <c r="J250" s="324" t="s">
        <v>502</v>
      </c>
      <c r="K250" s="324"/>
      <c r="L250" s="324"/>
      <c r="M250" s="324"/>
    </row>
    <row r="251" spans="1:29" s="184" customFormat="1" ht="25.5" customHeight="1" x14ac:dyDescent="0.25">
      <c r="A251" s="325">
        <v>201</v>
      </c>
      <c r="B251" s="325"/>
      <c r="C251" s="325"/>
      <c r="D251" s="325" t="s">
        <v>309</v>
      </c>
      <c r="E251" s="577" t="s">
        <v>2669</v>
      </c>
      <c r="F251" s="459">
        <v>36572</v>
      </c>
      <c r="G251" s="573">
        <v>36572</v>
      </c>
      <c r="H251" s="325" t="s">
        <v>533</v>
      </c>
      <c r="I251" s="325" t="s">
        <v>496</v>
      </c>
      <c r="J251" s="325" t="s">
        <v>502</v>
      </c>
      <c r="K251" s="325"/>
      <c r="L251" s="325"/>
      <c r="M251" s="325"/>
      <c r="O251" s="326"/>
      <c r="W251" s="249"/>
      <c r="X251" s="249"/>
      <c r="Y251" s="249"/>
      <c r="Z251" s="250"/>
      <c r="AA251" s="250"/>
      <c r="AB251" s="250"/>
      <c r="AC251" s="250"/>
    </row>
    <row r="252" spans="1:29" s="184" customFormat="1" ht="25.5" customHeight="1" x14ac:dyDescent="0.25">
      <c r="A252" s="324">
        <v>175</v>
      </c>
      <c r="B252" s="324"/>
      <c r="C252" s="324"/>
      <c r="D252" s="324" t="s">
        <v>309</v>
      </c>
      <c r="E252" s="578" t="s">
        <v>2676</v>
      </c>
      <c r="F252" s="458">
        <v>36586</v>
      </c>
      <c r="G252" s="572">
        <v>36586</v>
      </c>
      <c r="H252" s="324" t="s">
        <v>535</v>
      </c>
      <c r="I252" s="324" t="s">
        <v>496</v>
      </c>
      <c r="J252" s="324" t="s">
        <v>536</v>
      </c>
      <c r="K252" s="324"/>
      <c r="L252" s="324"/>
      <c r="M252" s="324"/>
    </row>
    <row r="253" spans="1:29" s="184" customFormat="1" ht="25.5" customHeight="1" x14ac:dyDescent="0.25">
      <c r="A253" s="325">
        <v>202</v>
      </c>
      <c r="B253" s="325"/>
      <c r="C253" s="325"/>
      <c r="D253" s="325" t="s">
        <v>309</v>
      </c>
      <c r="E253" s="577" t="s">
        <v>2676</v>
      </c>
      <c r="F253" s="459">
        <v>36586</v>
      </c>
      <c r="G253" s="573">
        <v>36586</v>
      </c>
      <c r="H253" s="325" t="s">
        <v>535</v>
      </c>
      <c r="I253" s="325" t="s">
        <v>496</v>
      </c>
      <c r="J253" s="325" t="s">
        <v>536</v>
      </c>
      <c r="K253" s="325"/>
      <c r="L253" s="325"/>
      <c r="M253" s="325"/>
      <c r="O253" s="326"/>
      <c r="W253" s="249"/>
      <c r="X253" s="249"/>
      <c r="Y253" s="249"/>
      <c r="Z253" s="250"/>
      <c r="AA253" s="250"/>
      <c r="AB253" s="250"/>
      <c r="AC253" s="250"/>
    </row>
    <row r="254" spans="1:29" s="184" customFormat="1" ht="25.5" customHeight="1" x14ac:dyDescent="0.25">
      <c r="A254" s="324">
        <v>176</v>
      </c>
      <c r="B254" s="324"/>
      <c r="C254" s="324"/>
      <c r="D254" s="324" t="s">
        <v>309</v>
      </c>
      <c r="E254" s="578" t="s">
        <v>2678</v>
      </c>
      <c r="F254" s="458">
        <v>36586</v>
      </c>
      <c r="G254" s="572">
        <v>36586</v>
      </c>
      <c r="H254" s="324" t="s">
        <v>538</v>
      </c>
      <c r="I254" s="324" t="s">
        <v>496</v>
      </c>
      <c r="J254" s="324" t="s">
        <v>539</v>
      </c>
      <c r="K254" s="324"/>
      <c r="L254" s="324"/>
      <c r="M254" s="324"/>
    </row>
    <row r="255" spans="1:29" s="184" customFormat="1" ht="25.5" customHeight="1" x14ac:dyDescent="0.25">
      <c r="A255" s="325">
        <v>203</v>
      </c>
      <c r="B255" s="325"/>
      <c r="C255" s="325"/>
      <c r="D255" s="325" t="s">
        <v>309</v>
      </c>
      <c r="E255" s="577" t="s">
        <v>2678</v>
      </c>
      <c r="F255" s="459">
        <v>36586</v>
      </c>
      <c r="G255" s="573">
        <v>36586</v>
      </c>
      <c r="H255" s="325" t="s">
        <v>294</v>
      </c>
      <c r="I255" s="325" t="s">
        <v>496</v>
      </c>
      <c r="J255" s="325" t="s">
        <v>539</v>
      </c>
      <c r="K255" s="325"/>
      <c r="L255" s="325"/>
      <c r="M255" s="325"/>
      <c r="O255" s="326"/>
      <c r="W255" s="249"/>
      <c r="X255" s="249"/>
      <c r="Y255" s="249"/>
      <c r="Z255" s="250"/>
      <c r="AA255" s="250"/>
      <c r="AB255" s="250"/>
      <c r="AC255" s="250"/>
    </row>
    <row r="256" spans="1:29" s="184" customFormat="1" ht="25.5" customHeight="1" x14ac:dyDescent="0.25">
      <c r="A256" s="324">
        <v>177</v>
      </c>
      <c r="B256" s="324"/>
      <c r="C256" s="324"/>
      <c r="D256" s="324" t="s">
        <v>309</v>
      </c>
      <c r="E256" s="578" t="s">
        <v>2680</v>
      </c>
      <c r="F256" s="458">
        <v>36593</v>
      </c>
      <c r="G256" s="572">
        <v>36593</v>
      </c>
      <c r="H256" s="324" t="s">
        <v>272</v>
      </c>
      <c r="I256" s="324" t="s">
        <v>487</v>
      </c>
      <c r="J256" s="324" t="s">
        <v>541</v>
      </c>
      <c r="K256" s="324"/>
      <c r="L256" s="324"/>
      <c r="M256" s="324"/>
    </row>
    <row r="257" spans="1:29" s="184" customFormat="1" ht="25.5" customHeight="1" x14ac:dyDescent="0.25">
      <c r="A257" s="325">
        <v>204</v>
      </c>
      <c r="B257" s="325"/>
      <c r="C257" s="325"/>
      <c r="D257" s="325" t="s">
        <v>309</v>
      </c>
      <c r="E257" s="577" t="s">
        <v>2680</v>
      </c>
      <c r="F257" s="459">
        <v>36593</v>
      </c>
      <c r="G257" s="573">
        <v>36593</v>
      </c>
      <c r="H257" s="325" t="s">
        <v>272</v>
      </c>
      <c r="I257" s="325" t="s">
        <v>487</v>
      </c>
      <c r="J257" s="325" t="s">
        <v>541</v>
      </c>
      <c r="K257" s="325"/>
      <c r="L257" s="325"/>
      <c r="M257" s="325"/>
      <c r="O257" s="326"/>
      <c r="W257" s="249"/>
      <c r="X257" s="249"/>
      <c r="Y257" s="249"/>
      <c r="Z257" s="250"/>
      <c r="AA257" s="250"/>
      <c r="AB257" s="250"/>
      <c r="AC257" s="250"/>
    </row>
    <row r="258" spans="1:29" s="184" customFormat="1" ht="25.5" customHeight="1" x14ac:dyDescent="0.25">
      <c r="A258" s="324">
        <v>178</v>
      </c>
      <c r="B258" s="324"/>
      <c r="C258" s="324"/>
      <c r="D258" s="324" t="s">
        <v>309</v>
      </c>
      <c r="E258" s="578" t="s">
        <v>2682</v>
      </c>
      <c r="F258" s="458">
        <v>36593</v>
      </c>
      <c r="G258" s="572">
        <v>36593</v>
      </c>
      <c r="H258" s="324" t="s">
        <v>265</v>
      </c>
      <c r="I258" s="324" t="s">
        <v>487</v>
      </c>
      <c r="J258" s="324" t="s">
        <v>543</v>
      </c>
      <c r="K258" s="324"/>
      <c r="L258" s="324"/>
      <c r="M258" s="324"/>
    </row>
    <row r="259" spans="1:29" s="184" customFormat="1" ht="25.5" customHeight="1" x14ac:dyDescent="0.25">
      <c r="A259" s="325">
        <v>205</v>
      </c>
      <c r="B259" s="325"/>
      <c r="C259" s="325"/>
      <c r="D259" s="325" t="s">
        <v>309</v>
      </c>
      <c r="E259" s="577" t="s">
        <v>2682</v>
      </c>
      <c r="F259" s="459">
        <v>36593</v>
      </c>
      <c r="G259" s="573">
        <v>36593</v>
      </c>
      <c r="H259" s="325" t="s">
        <v>265</v>
      </c>
      <c r="I259" s="325" t="s">
        <v>487</v>
      </c>
      <c r="J259" s="325" t="s">
        <v>543</v>
      </c>
      <c r="K259" s="325"/>
      <c r="L259" s="325"/>
      <c r="M259" s="325"/>
      <c r="O259" s="326"/>
      <c r="W259" s="249"/>
      <c r="X259" s="249"/>
      <c r="Y259" s="249"/>
      <c r="Z259" s="250"/>
      <c r="AA259" s="250"/>
      <c r="AB259" s="250"/>
      <c r="AC259" s="250"/>
    </row>
    <row r="260" spans="1:29" s="184" customFormat="1" ht="25.5" customHeight="1" x14ac:dyDescent="0.25">
      <c r="A260" s="324">
        <v>179</v>
      </c>
      <c r="B260" s="324"/>
      <c r="C260" s="324"/>
      <c r="D260" s="324" t="s">
        <v>309</v>
      </c>
      <c r="E260" s="578" t="s">
        <v>2684</v>
      </c>
      <c r="F260" s="458">
        <v>36593</v>
      </c>
      <c r="G260" s="572">
        <v>36593</v>
      </c>
      <c r="H260" s="324" t="s">
        <v>545</v>
      </c>
      <c r="I260" s="324" t="s">
        <v>487</v>
      </c>
      <c r="J260" s="324" t="s">
        <v>502</v>
      </c>
      <c r="K260" s="324"/>
      <c r="L260" s="324"/>
      <c r="M260" s="324"/>
    </row>
    <row r="261" spans="1:29" s="184" customFormat="1" ht="25.5" customHeight="1" x14ac:dyDescent="0.25">
      <c r="A261" s="325">
        <v>206</v>
      </c>
      <c r="B261" s="325"/>
      <c r="C261" s="325"/>
      <c r="D261" s="325" t="s">
        <v>309</v>
      </c>
      <c r="E261" s="577" t="s">
        <v>2684</v>
      </c>
      <c r="F261" s="459">
        <v>36593</v>
      </c>
      <c r="G261" s="573">
        <v>36593</v>
      </c>
      <c r="H261" s="325" t="s">
        <v>936</v>
      </c>
      <c r="I261" s="325" t="s">
        <v>487</v>
      </c>
      <c r="J261" s="325" t="s">
        <v>502</v>
      </c>
      <c r="K261" s="325"/>
      <c r="L261" s="325"/>
      <c r="M261" s="325"/>
      <c r="O261" s="326"/>
      <c r="W261" s="249"/>
      <c r="X261" s="249"/>
      <c r="Y261" s="249"/>
      <c r="Z261" s="250"/>
      <c r="AA261" s="250"/>
      <c r="AB261" s="250"/>
      <c r="AC261" s="250"/>
    </row>
    <row r="262" spans="1:29" s="184" customFormat="1" ht="25.5" customHeight="1" x14ac:dyDescent="0.25">
      <c r="A262" s="324">
        <v>180</v>
      </c>
      <c r="B262" s="324"/>
      <c r="C262" s="324"/>
      <c r="D262" s="324" t="s">
        <v>309</v>
      </c>
      <c r="E262" s="578" t="s">
        <v>2693</v>
      </c>
      <c r="F262" s="458">
        <v>36612</v>
      </c>
      <c r="G262" s="572">
        <v>36612</v>
      </c>
      <c r="H262" s="324" t="s">
        <v>547</v>
      </c>
      <c r="I262" s="324" t="s">
        <v>266</v>
      </c>
      <c r="J262" s="324" t="s">
        <v>548</v>
      </c>
      <c r="K262" s="324"/>
      <c r="L262" s="324"/>
      <c r="M262" s="324"/>
    </row>
    <row r="263" spans="1:29" s="184" customFormat="1" ht="25.5" customHeight="1" x14ac:dyDescent="0.25">
      <c r="A263" s="325">
        <v>207</v>
      </c>
      <c r="B263" s="325"/>
      <c r="C263" s="325"/>
      <c r="D263" s="325" t="s">
        <v>309</v>
      </c>
      <c r="E263" s="577" t="s">
        <v>2693</v>
      </c>
      <c r="F263" s="459">
        <v>36612</v>
      </c>
      <c r="G263" s="573">
        <v>36612</v>
      </c>
      <c r="H263" s="325" t="s">
        <v>547</v>
      </c>
      <c r="I263" s="325" t="s">
        <v>266</v>
      </c>
      <c r="J263" s="325" t="s">
        <v>548</v>
      </c>
      <c r="K263" s="325"/>
      <c r="L263" s="325"/>
      <c r="M263" s="325"/>
      <c r="O263" s="326"/>
      <c r="W263" s="249"/>
      <c r="X263" s="249"/>
      <c r="Y263" s="249"/>
      <c r="Z263" s="250"/>
      <c r="AA263" s="250"/>
      <c r="AB263" s="250"/>
      <c r="AC263" s="250"/>
    </row>
    <row r="264" spans="1:29" s="184" customFormat="1" ht="25.5" customHeight="1" x14ac:dyDescent="0.25">
      <c r="A264" s="324">
        <v>181</v>
      </c>
      <c r="B264" s="324"/>
      <c r="C264" s="324"/>
      <c r="D264" s="324" t="s">
        <v>309</v>
      </c>
      <c r="E264" s="578" t="s">
        <v>2699</v>
      </c>
      <c r="F264" s="458">
        <v>36613</v>
      </c>
      <c r="G264" s="572">
        <v>36613</v>
      </c>
      <c r="H264" s="324" t="s">
        <v>550</v>
      </c>
      <c r="I264" s="324" t="s">
        <v>250</v>
      </c>
      <c r="J264" s="324" t="s">
        <v>551</v>
      </c>
      <c r="K264" s="324"/>
      <c r="L264" s="324"/>
      <c r="M264" s="324"/>
    </row>
    <row r="265" spans="1:29" s="184" customFormat="1" ht="38.25" customHeight="1" x14ac:dyDescent="0.25">
      <c r="A265" s="325">
        <v>208</v>
      </c>
      <c r="B265" s="325"/>
      <c r="C265" s="325"/>
      <c r="D265" s="325" t="s">
        <v>309</v>
      </c>
      <c r="E265" s="577" t="s">
        <v>2699</v>
      </c>
      <c r="F265" s="459">
        <v>36613</v>
      </c>
      <c r="G265" s="573">
        <v>36613</v>
      </c>
      <c r="H265" s="325" t="s">
        <v>550</v>
      </c>
      <c r="I265" s="325" t="s">
        <v>487</v>
      </c>
      <c r="J265" s="325" t="s">
        <v>551</v>
      </c>
      <c r="K265" s="325"/>
      <c r="L265" s="325"/>
      <c r="M265" s="325"/>
      <c r="O265" s="326"/>
      <c r="W265" s="249"/>
      <c r="X265" s="249"/>
      <c r="Y265" s="249"/>
      <c r="Z265" s="250"/>
      <c r="AA265" s="250"/>
      <c r="AB265" s="250"/>
      <c r="AC265" s="250"/>
    </row>
    <row r="266" spans="1:29" s="184" customFormat="1" ht="25.5" customHeight="1" x14ac:dyDescent="0.25">
      <c r="A266" s="324">
        <v>182</v>
      </c>
      <c r="B266" s="324"/>
      <c r="C266" s="324"/>
      <c r="D266" s="324" t="s">
        <v>309</v>
      </c>
      <c r="E266" s="578" t="s">
        <v>2703</v>
      </c>
      <c r="F266" s="458">
        <v>36613</v>
      </c>
      <c r="G266" s="572">
        <v>36613</v>
      </c>
      <c r="H266" s="324" t="s">
        <v>480</v>
      </c>
      <c r="I266" s="324" t="s">
        <v>250</v>
      </c>
      <c r="J266" s="324" t="s">
        <v>551</v>
      </c>
      <c r="K266" s="324"/>
      <c r="L266" s="324"/>
      <c r="M266" s="324"/>
    </row>
    <row r="267" spans="1:29" s="184" customFormat="1" ht="25.5" customHeight="1" x14ac:dyDescent="0.25">
      <c r="A267" s="325">
        <v>209</v>
      </c>
      <c r="B267" s="325"/>
      <c r="C267" s="325"/>
      <c r="D267" s="325" t="s">
        <v>309</v>
      </c>
      <c r="E267" s="577" t="s">
        <v>2703</v>
      </c>
      <c r="F267" s="459">
        <v>36613</v>
      </c>
      <c r="G267" s="573">
        <v>36613</v>
      </c>
      <c r="H267" s="325" t="s">
        <v>480</v>
      </c>
      <c r="I267" s="325" t="s">
        <v>487</v>
      </c>
      <c r="J267" s="325" t="s">
        <v>551</v>
      </c>
      <c r="K267" s="325"/>
      <c r="L267" s="325"/>
      <c r="M267" s="325"/>
      <c r="O267" s="326"/>
      <c r="W267" s="249"/>
      <c r="X267" s="249"/>
      <c r="Y267" s="249"/>
      <c r="Z267" s="250"/>
      <c r="AA267" s="250"/>
      <c r="AB267" s="250"/>
      <c r="AC267" s="250"/>
    </row>
    <row r="268" spans="1:29" s="184" customFormat="1" ht="25.5" customHeight="1" x14ac:dyDescent="0.25">
      <c r="A268" s="324">
        <v>183</v>
      </c>
      <c r="B268" s="324"/>
      <c r="C268" s="324"/>
      <c r="D268" s="324" t="s">
        <v>309</v>
      </c>
      <c r="E268" s="578" t="s">
        <v>2709</v>
      </c>
      <c r="F268" s="458">
        <v>36616</v>
      </c>
      <c r="G268" s="572">
        <v>36616</v>
      </c>
      <c r="H268" s="324" t="s">
        <v>554</v>
      </c>
      <c r="I268" s="324" t="s">
        <v>250</v>
      </c>
      <c r="J268" s="324" t="s">
        <v>555</v>
      </c>
      <c r="K268" s="324"/>
      <c r="L268" s="324"/>
      <c r="M268" s="324"/>
    </row>
    <row r="269" spans="1:29" s="184" customFormat="1" ht="25.5" customHeight="1" x14ac:dyDescent="0.25">
      <c r="A269" s="325">
        <v>210</v>
      </c>
      <c r="B269" s="325"/>
      <c r="C269" s="325"/>
      <c r="D269" s="325" t="s">
        <v>309</v>
      </c>
      <c r="E269" s="577" t="s">
        <v>2709</v>
      </c>
      <c r="F269" s="459">
        <v>36616</v>
      </c>
      <c r="G269" s="573">
        <v>36616</v>
      </c>
      <c r="H269" s="325" t="s">
        <v>554</v>
      </c>
      <c r="I269" s="325" t="s">
        <v>487</v>
      </c>
      <c r="J269" s="325" t="s">
        <v>555</v>
      </c>
      <c r="K269" s="325"/>
      <c r="L269" s="325"/>
      <c r="M269" s="325"/>
      <c r="O269" s="326"/>
      <c r="W269" s="249"/>
      <c r="X269" s="249"/>
      <c r="Y269" s="249"/>
      <c r="Z269" s="250"/>
      <c r="AA269" s="250"/>
      <c r="AB269" s="250"/>
      <c r="AC269" s="250"/>
    </row>
    <row r="270" spans="1:29" s="184" customFormat="1" ht="25.5" customHeight="1" x14ac:dyDescent="0.25">
      <c r="A270" s="324">
        <v>184</v>
      </c>
      <c r="B270" s="324"/>
      <c r="C270" s="324"/>
      <c r="D270" s="324" t="s">
        <v>309</v>
      </c>
      <c r="E270" s="578" t="s">
        <v>2711</v>
      </c>
      <c r="F270" s="458">
        <v>36621</v>
      </c>
      <c r="G270" s="572">
        <v>36621</v>
      </c>
      <c r="H270" s="324" t="s">
        <v>437</v>
      </c>
      <c r="I270" s="324" t="s">
        <v>496</v>
      </c>
      <c r="J270" s="324" t="s">
        <v>497</v>
      </c>
      <c r="K270" s="324"/>
      <c r="L270" s="324"/>
      <c r="M270" s="324"/>
    </row>
    <row r="271" spans="1:29" s="184" customFormat="1" ht="25.5" customHeight="1" x14ac:dyDescent="0.25">
      <c r="A271" s="325">
        <v>211</v>
      </c>
      <c r="B271" s="325"/>
      <c r="C271" s="325"/>
      <c r="D271" s="325" t="s">
        <v>309</v>
      </c>
      <c r="E271" s="577" t="s">
        <v>2711</v>
      </c>
      <c r="F271" s="459">
        <v>36621</v>
      </c>
      <c r="G271" s="573">
        <v>36621</v>
      </c>
      <c r="H271" s="325" t="s">
        <v>437</v>
      </c>
      <c r="I271" s="325" t="s">
        <v>496</v>
      </c>
      <c r="J271" s="325" t="s">
        <v>497</v>
      </c>
      <c r="K271" s="325"/>
      <c r="L271" s="325"/>
      <c r="M271" s="325"/>
      <c r="O271" s="326"/>
      <c r="W271" s="249"/>
      <c r="X271" s="249"/>
      <c r="Y271" s="249"/>
      <c r="Z271" s="250"/>
      <c r="AA271" s="250"/>
      <c r="AB271" s="250"/>
      <c r="AC271" s="250"/>
    </row>
    <row r="272" spans="1:29" s="184" customFormat="1" ht="25.5" customHeight="1" x14ac:dyDescent="0.25">
      <c r="A272" s="324">
        <v>185</v>
      </c>
      <c r="B272" s="324"/>
      <c r="C272" s="324"/>
      <c r="D272" s="324" t="s">
        <v>309</v>
      </c>
      <c r="E272" s="578" t="s">
        <v>2713</v>
      </c>
      <c r="F272" s="458">
        <v>36623</v>
      </c>
      <c r="G272" s="572">
        <v>36623</v>
      </c>
      <c r="H272" s="324" t="s">
        <v>558</v>
      </c>
      <c r="I272" s="324" t="s">
        <v>496</v>
      </c>
      <c r="J272" s="324" t="s">
        <v>502</v>
      </c>
      <c r="K272" s="324"/>
      <c r="L272" s="324"/>
      <c r="M272" s="324"/>
    </row>
    <row r="273" spans="1:29" s="184" customFormat="1" ht="25.5" customHeight="1" x14ac:dyDescent="0.25">
      <c r="A273" s="325">
        <v>212</v>
      </c>
      <c r="B273" s="325"/>
      <c r="C273" s="325"/>
      <c r="D273" s="325" t="s">
        <v>309</v>
      </c>
      <c r="E273" s="577" t="s">
        <v>2713</v>
      </c>
      <c r="F273" s="459">
        <v>36623</v>
      </c>
      <c r="G273" s="573">
        <v>36623</v>
      </c>
      <c r="H273" s="325" t="s">
        <v>558</v>
      </c>
      <c r="I273" s="325" t="s">
        <v>496</v>
      </c>
      <c r="J273" s="325" t="s">
        <v>502</v>
      </c>
      <c r="K273" s="325"/>
      <c r="L273" s="325"/>
      <c r="M273" s="325"/>
      <c r="O273" s="326"/>
      <c r="W273" s="249"/>
      <c r="X273" s="249"/>
      <c r="Y273" s="249"/>
      <c r="Z273" s="250"/>
      <c r="AA273" s="250"/>
      <c r="AB273" s="250"/>
      <c r="AC273" s="250"/>
    </row>
    <row r="274" spans="1:29" s="184" customFormat="1" ht="25.5" customHeight="1" x14ac:dyDescent="0.25">
      <c r="A274" s="324">
        <v>186</v>
      </c>
      <c r="B274" s="324"/>
      <c r="C274" s="324"/>
      <c r="D274" s="324" t="s">
        <v>309</v>
      </c>
      <c r="E274" s="578" t="s">
        <v>2723</v>
      </c>
      <c r="F274" s="458">
        <v>36671</v>
      </c>
      <c r="G274" s="572">
        <v>36671</v>
      </c>
      <c r="H274" s="324" t="s">
        <v>560</v>
      </c>
      <c r="I274" s="324" t="s">
        <v>487</v>
      </c>
      <c r="J274" s="324" t="s">
        <v>561</v>
      </c>
      <c r="K274" s="324"/>
      <c r="L274" s="324"/>
      <c r="M274" s="324"/>
    </row>
    <row r="275" spans="1:29" s="184" customFormat="1" ht="25.5" customHeight="1" x14ac:dyDescent="0.25">
      <c r="A275" s="325">
        <v>213</v>
      </c>
      <c r="B275" s="325"/>
      <c r="C275" s="325"/>
      <c r="D275" s="325" t="s">
        <v>309</v>
      </c>
      <c r="E275" s="577" t="s">
        <v>2723</v>
      </c>
      <c r="F275" s="459">
        <v>36671</v>
      </c>
      <c r="G275" s="573">
        <v>36671</v>
      </c>
      <c r="H275" s="325" t="s">
        <v>560</v>
      </c>
      <c r="I275" s="325" t="s">
        <v>487</v>
      </c>
      <c r="J275" s="325" t="s">
        <v>561</v>
      </c>
      <c r="K275" s="325"/>
      <c r="L275" s="325"/>
      <c r="M275" s="325"/>
      <c r="O275" s="326"/>
      <c r="W275" s="249"/>
      <c r="X275" s="249"/>
      <c r="Y275" s="249"/>
      <c r="Z275" s="250"/>
      <c r="AA275" s="250"/>
      <c r="AB275" s="250"/>
      <c r="AC275" s="250"/>
    </row>
    <row r="276" spans="1:29" s="184" customFormat="1" ht="25.5" customHeight="1" x14ac:dyDescent="0.25">
      <c r="A276" s="324">
        <v>187</v>
      </c>
      <c r="B276" s="324"/>
      <c r="C276" s="324"/>
      <c r="D276" s="324" t="s">
        <v>309</v>
      </c>
      <c r="E276" s="578" t="s">
        <v>2736</v>
      </c>
      <c r="F276" s="572">
        <v>36816</v>
      </c>
      <c r="G276" s="572">
        <v>36829</v>
      </c>
      <c r="H276" s="324" t="s">
        <v>400</v>
      </c>
      <c r="I276" s="324" t="s">
        <v>250</v>
      </c>
      <c r="J276" s="324" t="s">
        <v>488</v>
      </c>
      <c r="K276" s="324"/>
      <c r="L276" s="324"/>
      <c r="M276" s="324"/>
    </row>
    <row r="277" spans="1:29" s="184" customFormat="1" ht="25.5" customHeight="1" x14ac:dyDescent="0.25">
      <c r="A277" s="325">
        <v>214</v>
      </c>
      <c r="B277" s="325"/>
      <c r="C277" s="325"/>
      <c r="D277" s="325" t="s">
        <v>309</v>
      </c>
      <c r="E277" s="577" t="s">
        <v>2736</v>
      </c>
      <c r="F277" s="573">
        <v>36816</v>
      </c>
      <c r="G277" s="573">
        <v>36829</v>
      </c>
      <c r="H277" s="325" t="s">
        <v>400</v>
      </c>
      <c r="I277" s="325" t="s">
        <v>487</v>
      </c>
      <c r="J277" s="325" t="s">
        <v>488</v>
      </c>
      <c r="K277" s="325"/>
      <c r="L277" s="325"/>
      <c r="M277" s="325"/>
      <c r="O277" s="326"/>
      <c r="W277" s="249"/>
      <c r="X277" s="249"/>
      <c r="Y277" s="249"/>
      <c r="Z277" s="250"/>
      <c r="AA277" s="250"/>
      <c r="AB277" s="250"/>
      <c r="AC277" s="250"/>
    </row>
    <row r="278" spans="1:29" s="184" customFormat="1" ht="25.5" customHeight="1" x14ac:dyDescent="0.25">
      <c r="A278" s="324">
        <v>188</v>
      </c>
      <c r="B278" s="324"/>
      <c r="C278" s="324"/>
      <c r="D278" s="324" t="s">
        <v>309</v>
      </c>
      <c r="E278" s="578" t="s">
        <v>2738</v>
      </c>
      <c r="F278" s="572">
        <v>36824</v>
      </c>
      <c r="G278" s="572">
        <v>36866</v>
      </c>
      <c r="H278" s="324" t="s">
        <v>564</v>
      </c>
      <c r="I278" s="324" t="s">
        <v>250</v>
      </c>
      <c r="J278" s="324" t="s">
        <v>505</v>
      </c>
      <c r="K278" s="324"/>
      <c r="L278" s="324"/>
      <c r="M278" s="324"/>
    </row>
    <row r="279" spans="1:29" s="184" customFormat="1" ht="25.5" customHeight="1" x14ac:dyDescent="0.25">
      <c r="A279" s="325">
        <v>215</v>
      </c>
      <c r="B279" s="325"/>
      <c r="C279" s="325"/>
      <c r="D279" s="325" t="s">
        <v>309</v>
      </c>
      <c r="E279" s="577" t="s">
        <v>2738</v>
      </c>
      <c r="F279" s="573">
        <v>36824</v>
      </c>
      <c r="G279" s="573">
        <v>36866</v>
      </c>
      <c r="H279" s="325" t="s">
        <v>564</v>
      </c>
      <c r="I279" s="325" t="s">
        <v>487</v>
      </c>
      <c r="J279" s="325" t="s">
        <v>505</v>
      </c>
      <c r="K279" s="325"/>
      <c r="L279" s="325"/>
      <c r="M279" s="325"/>
      <c r="O279" s="326"/>
      <c r="W279" s="249"/>
      <c r="X279" s="249"/>
      <c r="Y279" s="249"/>
      <c r="Z279" s="250"/>
      <c r="AA279" s="250"/>
      <c r="AB279" s="250"/>
      <c r="AC279" s="250"/>
    </row>
    <row r="280" spans="1:29" s="184" customFormat="1" ht="25.5" customHeight="1" x14ac:dyDescent="0.25">
      <c r="A280" s="324">
        <v>189</v>
      </c>
      <c r="B280" s="324"/>
      <c r="C280" s="324"/>
      <c r="D280" s="324" t="s">
        <v>309</v>
      </c>
      <c r="E280" s="578" t="s">
        <v>2741</v>
      </c>
      <c r="F280" s="572">
        <v>36824</v>
      </c>
      <c r="G280" s="572">
        <v>36866</v>
      </c>
      <c r="H280" s="324" t="s">
        <v>566</v>
      </c>
      <c r="I280" s="324" t="s">
        <v>250</v>
      </c>
      <c r="J280" s="324" t="s">
        <v>505</v>
      </c>
      <c r="K280" s="324"/>
      <c r="L280" s="324"/>
      <c r="M280" s="324"/>
    </row>
    <row r="281" spans="1:29" s="184" customFormat="1" ht="25.5" customHeight="1" x14ac:dyDescent="0.25">
      <c r="A281" s="325">
        <v>216</v>
      </c>
      <c r="B281" s="325"/>
      <c r="C281" s="325"/>
      <c r="D281" s="325" t="s">
        <v>309</v>
      </c>
      <c r="E281" s="577" t="s">
        <v>2741</v>
      </c>
      <c r="F281" s="573">
        <v>36824</v>
      </c>
      <c r="G281" s="573">
        <v>36866</v>
      </c>
      <c r="H281" s="325" t="s">
        <v>566</v>
      </c>
      <c r="I281" s="325" t="s">
        <v>487</v>
      </c>
      <c r="J281" s="325" t="s">
        <v>505</v>
      </c>
      <c r="K281" s="325"/>
      <c r="L281" s="325"/>
      <c r="M281" s="325"/>
      <c r="O281" s="326"/>
      <c r="W281" s="249"/>
      <c r="X281" s="249"/>
      <c r="Y281" s="249"/>
      <c r="Z281" s="250"/>
      <c r="AA281" s="250"/>
      <c r="AB281" s="250"/>
      <c r="AC281" s="250"/>
    </row>
    <row r="282" spans="1:29" s="184" customFormat="1" ht="25.5" customHeight="1" x14ac:dyDescent="0.25">
      <c r="A282" s="324">
        <v>50</v>
      </c>
      <c r="B282" s="324"/>
      <c r="C282" s="324"/>
      <c r="D282" s="324" t="s">
        <v>309</v>
      </c>
      <c r="E282" s="578" t="s">
        <v>1565</v>
      </c>
      <c r="F282" s="458">
        <v>27148</v>
      </c>
      <c r="G282" s="572">
        <v>27148</v>
      </c>
      <c r="H282" s="324" t="s">
        <v>382</v>
      </c>
      <c r="I282" s="324" t="s">
        <v>383</v>
      </c>
      <c r="J282" s="324" t="s">
        <v>308</v>
      </c>
      <c r="K282" s="324"/>
      <c r="L282" s="324"/>
      <c r="M282" s="324"/>
    </row>
    <row r="283" spans="1:29" s="184" customFormat="1" ht="25.5" customHeight="1" x14ac:dyDescent="0.25">
      <c r="A283" s="324">
        <v>190</v>
      </c>
      <c r="B283" s="324"/>
      <c r="C283" s="324"/>
      <c r="D283" s="324" t="s">
        <v>309</v>
      </c>
      <c r="E283" s="578" t="s">
        <v>2771</v>
      </c>
      <c r="F283" s="572">
        <v>36906</v>
      </c>
      <c r="G283" s="572">
        <v>36985</v>
      </c>
      <c r="H283" s="324" t="s">
        <v>568</v>
      </c>
      <c r="I283" s="324" t="s">
        <v>266</v>
      </c>
      <c r="J283" s="324" t="s">
        <v>497</v>
      </c>
      <c r="K283" s="324"/>
      <c r="L283" s="324"/>
      <c r="M283" s="324"/>
    </row>
    <row r="284" spans="1:29" s="184" customFormat="1" ht="25.5" customHeight="1" x14ac:dyDescent="0.25">
      <c r="A284" s="325">
        <v>217</v>
      </c>
      <c r="B284" s="325"/>
      <c r="C284" s="325"/>
      <c r="D284" s="325" t="s">
        <v>309</v>
      </c>
      <c r="E284" s="577" t="s">
        <v>2771</v>
      </c>
      <c r="F284" s="573">
        <v>36906</v>
      </c>
      <c r="G284" s="573">
        <v>36985</v>
      </c>
      <c r="H284" s="325" t="s">
        <v>937</v>
      </c>
      <c r="I284" s="325" t="s">
        <v>266</v>
      </c>
      <c r="J284" s="325" t="s">
        <v>497</v>
      </c>
      <c r="K284" s="325"/>
      <c r="L284" s="325"/>
      <c r="M284" s="325"/>
      <c r="O284" s="326"/>
      <c r="W284" s="249"/>
      <c r="X284" s="249"/>
      <c r="Y284" s="249"/>
      <c r="Z284" s="250"/>
      <c r="AA284" s="250"/>
      <c r="AB284" s="250"/>
      <c r="AC284" s="250"/>
    </row>
    <row r="285" spans="1:29" s="184" customFormat="1" ht="25.5" customHeight="1" x14ac:dyDescent="0.25">
      <c r="A285" s="324">
        <v>191</v>
      </c>
      <c r="B285" s="324"/>
      <c r="C285" s="324"/>
      <c r="D285" s="324" t="s">
        <v>309</v>
      </c>
      <c r="E285" s="578" t="s">
        <v>2773</v>
      </c>
      <c r="F285" s="572">
        <v>36906</v>
      </c>
      <c r="G285" s="572">
        <v>36985</v>
      </c>
      <c r="H285" s="324" t="s">
        <v>396</v>
      </c>
      <c r="I285" s="324" t="s">
        <v>266</v>
      </c>
      <c r="J285" s="324" t="s">
        <v>497</v>
      </c>
      <c r="K285" s="324"/>
      <c r="L285" s="324"/>
      <c r="M285" s="324"/>
    </row>
    <row r="286" spans="1:29" s="184" customFormat="1" ht="38.25" customHeight="1" x14ac:dyDescent="0.25">
      <c r="A286" s="325">
        <v>218</v>
      </c>
      <c r="B286" s="325"/>
      <c r="C286" s="325"/>
      <c r="D286" s="325" t="s">
        <v>309</v>
      </c>
      <c r="E286" s="577" t="s">
        <v>2773</v>
      </c>
      <c r="F286" s="573">
        <v>36906</v>
      </c>
      <c r="G286" s="573">
        <v>36985</v>
      </c>
      <c r="H286" s="325" t="s">
        <v>396</v>
      </c>
      <c r="I286" s="325" t="s">
        <v>266</v>
      </c>
      <c r="J286" s="325" t="s">
        <v>497</v>
      </c>
      <c r="K286" s="325"/>
      <c r="L286" s="325"/>
      <c r="M286" s="325"/>
      <c r="O286" s="326"/>
      <c r="W286" s="249"/>
      <c r="X286" s="249"/>
      <c r="Y286" s="249"/>
      <c r="Z286" s="250"/>
      <c r="AA286" s="250"/>
      <c r="AB286" s="250"/>
      <c r="AC286" s="250"/>
    </row>
    <row r="287" spans="1:29" s="184" customFormat="1" ht="25.5" customHeight="1" x14ac:dyDescent="0.25">
      <c r="A287" s="324">
        <v>198</v>
      </c>
      <c r="B287" s="324"/>
      <c r="C287" s="324"/>
      <c r="D287" s="324" t="s">
        <v>309</v>
      </c>
      <c r="E287" s="578" t="s">
        <v>2775</v>
      </c>
      <c r="F287" s="572">
        <v>36916</v>
      </c>
      <c r="G287" s="572">
        <v>36985</v>
      </c>
      <c r="H287" s="324" t="s">
        <v>581</v>
      </c>
      <c r="I287" s="324" t="s">
        <v>266</v>
      </c>
      <c r="J287" s="324" t="s">
        <v>502</v>
      </c>
      <c r="K287" s="324"/>
      <c r="L287" s="324"/>
      <c r="M287" s="324"/>
    </row>
    <row r="288" spans="1:29" s="184" customFormat="1" ht="25.5" customHeight="1" x14ac:dyDescent="0.25">
      <c r="A288" s="325">
        <v>225</v>
      </c>
      <c r="B288" s="325"/>
      <c r="C288" s="325"/>
      <c r="D288" s="325" t="s">
        <v>309</v>
      </c>
      <c r="E288" s="577" t="s">
        <v>2775</v>
      </c>
      <c r="F288" s="573">
        <v>36916</v>
      </c>
      <c r="G288" s="573">
        <v>36985</v>
      </c>
      <c r="H288" s="325" t="s">
        <v>581</v>
      </c>
      <c r="I288" s="325" t="s">
        <v>266</v>
      </c>
      <c r="J288" s="325" t="s">
        <v>502</v>
      </c>
      <c r="K288" s="325"/>
      <c r="L288" s="325"/>
      <c r="M288" s="325"/>
      <c r="O288" s="326"/>
      <c r="W288" s="249"/>
      <c r="X288" s="249"/>
      <c r="Y288" s="249"/>
      <c r="Z288" s="250"/>
      <c r="AA288" s="250"/>
      <c r="AB288" s="250"/>
      <c r="AC288" s="250"/>
    </row>
    <row r="289" spans="1:29" s="184" customFormat="1" ht="25.5" customHeight="1" x14ac:dyDescent="0.25">
      <c r="A289" s="324">
        <v>192</v>
      </c>
      <c r="B289" s="324"/>
      <c r="C289" s="324"/>
      <c r="D289" s="324" t="s">
        <v>309</v>
      </c>
      <c r="E289" s="578" t="s">
        <v>2777</v>
      </c>
      <c r="F289" s="572">
        <v>36906</v>
      </c>
      <c r="G289" s="572">
        <v>36985</v>
      </c>
      <c r="H289" s="324" t="s">
        <v>571</v>
      </c>
      <c r="I289" s="324" t="s">
        <v>266</v>
      </c>
      <c r="J289" s="324" t="s">
        <v>497</v>
      </c>
      <c r="K289" s="324"/>
      <c r="L289" s="324"/>
      <c r="M289" s="324"/>
    </row>
    <row r="290" spans="1:29" s="184" customFormat="1" ht="25.5" customHeight="1" x14ac:dyDescent="0.25">
      <c r="A290" s="325">
        <v>219</v>
      </c>
      <c r="B290" s="325"/>
      <c r="C290" s="325"/>
      <c r="D290" s="325" t="s">
        <v>309</v>
      </c>
      <c r="E290" s="577" t="s">
        <v>2777</v>
      </c>
      <c r="F290" s="573">
        <v>36906</v>
      </c>
      <c r="G290" s="573">
        <v>36985</v>
      </c>
      <c r="H290" s="325" t="s">
        <v>571</v>
      </c>
      <c r="I290" s="325" t="s">
        <v>266</v>
      </c>
      <c r="J290" s="325" t="s">
        <v>497</v>
      </c>
      <c r="K290" s="325"/>
      <c r="L290" s="325"/>
      <c r="M290" s="325"/>
      <c r="O290" s="326"/>
      <c r="W290" s="249"/>
      <c r="X290" s="249"/>
      <c r="Y290" s="249"/>
      <c r="Z290" s="250"/>
      <c r="AA290" s="250"/>
      <c r="AB290" s="250"/>
      <c r="AC290" s="250"/>
    </row>
    <row r="291" spans="1:29" s="184" customFormat="1" ht="25.5" customHeight="1" x14ac:dyDescent="0.25">
      <c r="A291" s="324">
        <v>199</v>
      </c>
      <c r="B291" s="324"/>
      <c r="C291" s="324"/>
      <c r="D291" s="324" t="s">
        <v>309</v>
      </c>
      <c r="E291" s="578" t="s">
        <v>2779</v>
      </c>
      <c r="F291" s="572">
        <v>36920</v>
      </c>
      <c r="G291" s="572">
        <v>36985</v>
      </c>
      <c r="H291" s="324" t="s">
        <v>583</v>
      </c>
      <c r="I291" s="324" t="s">
        <v>266</v>
      </c>
      <c r="J291" s="324" t="s">
        <v>584</v>
      </c>
      <c r="K291" s="324"/>
      <c r="L291" s="324"/>
      <c r="M291" s="324"/>
    </row>
    <row r="292" spans="1:29" s="184" customFormat="1" ht="25.5" customHeight="1" x14ac:dyDescent="0.25">
      <c r="A292" s="325">
        <v>226</v>
      </c>
      <c r="B292" s="325"/>
      <c r="C292" s="325"/>
      <c r="D292" s="325" t="s">
        <v>309</v>
      </c>
      <c r="E292" s="577" t="s">
        <v>2779</v>
      </c>
      <c r="F292" s="573">
        <v>36920</v>
      </c>
      <c r="G292" s="573">
        <v>36985</v>
      </c>
      <c r="H292" s="325" t="s">
        <v>938</v>
      </c>
      <c r="I292" s="325" t="s">
        <v>266</v>
      </c>
      <c r="J292" s="325" t="s">
        <v>584</v>
      </c>
      <c r="K292" s="325"/>
      <c r="L292" s="325"/>
      <c r="M292" s="325"/>
      <c r="O292" s="326"/>
      <c r="W292" s="249"/>
      <c r="X292" s="249"/>
      <c r="Y292" s="249"/>
      <c r="Z292" s="250"/>
      <c r="AA292" s="250"/>
      <c r="AB292" s="250"/>
      <c r="AC292" s="250"/>
    </row>
    <row r="293" spans="1:29" s="184" customFormat="1" ht="25.5" customHeight="1" x14ac:dyDescent="0.25">
      <c r="A293" s="324">
        <v>193</v>
      </c>
      <c r="B293" s="324"/>
      <c r="C293" s="324"/>
      <c r="D293" s="324" t="s">
        <v>309</v>
      </c>
      <c r="E293" s="578" t="s">
        <v>2781</v>
      </c>
      <c r="F293" s="572">
        <v>36906</v>
      </c>
      <c r="G293" s="572">
        <v>36985</v>
      </c>
      <c r="H293" s="324" t="s">
        <v>573</v>
      </c>
      <c r="I293" s="324" t="s">
        <v>266</v>
      </c>
      <c r="J293" s="324" t="s">
        <v>497</v>
      </c>
      <c r="K293" s="324"/>
      <c r="L293" s="324"/>
      <c r="M293" s="324"/>
    </row>
    <row r="294" spans="1:29" s="184" customFormat="1" ht="25.5" customHeight="1" x14ac:dyDescent="0.25">
      <c r="A294" s="325">
        <v>220</v>
      </c>
      <c r="B294" s="325"/>
      <c r="C294" s="325"/>
      <c r="D294" s="325" t="s">
        <v>309</v>
      </c>
      <c r="E294" s="577" t="s">
        <v>2781</v>
      </c>
      <c r="F294" s="573">
        <v>36906</v>
      </c>
      <c r="G294" s="573">
        <v>36985</v>
      </c>
      <c r="H294" s="325" t="s">
        <v>573</v>
      </c>
      <c r="I294" s="325" t="s">
        <v>266</v>
      </c>
      <c r="J294" s="325" t="s">
        <v>497</v>
      </c>
      <c r="K294" s="325"/>
      <c r="L294" s="325"/>
      <c r="M294" s="325"/>
      <c r="O294" s="326"/>
      <c r="W294" s="249"/>
      <c r="X294" s="249"/>
      <c r="Y294" s="249"/>
      <c r="Z294" s="250"/>
      <c r="AA294" s="250"/>
      <c r="AB294" s="250"/>
      <c r="AC294" s="250"/>
    </row>
    <row r="295" spans="1:29" s="184" customFormat="1" ht="25.5" customHeight="1" x14ac:dyDescent="0.25">
      <c r="A295" s="324">
        <v>194</v>
      </c>
      <c r="B295" s="324"/>
      <c r="C295" s="324"/>
      <c r="D295" s="324" t="s">
        <v>309</v>
      </c>
      <c r="E295" s="578" t="s">
        <v>2783</v>
      </c>
      <c r="F295" s="572">
        <v>36906</v>
      </c>
      <c r="G295" s="572">
        <v>36985</v>
      </c>
      <c r="H295" s="324" t="s">
        <v>575</v>
      </c>
      <c r="I295" s="324" t="s">
        <v>266</v>
      </c>
      <c r="J295" s="324" t="s">
        <v>497</v>
      </c>
      <c r="K295" s="324"/>
      <c r="L295" s="324"/>
      <c r="M295" s="324"/>
    </row>
    <row r="296" spans="1:29" s="184" customFormat="1" ht="25.5" customHeight="1" x14ac:dyDescent="0.25">
      <c r="A296" s="325">
        <v>221</v>
      </c>
      <c r="B296" s="325"/>
      <c r="C296" s="325"/>
      <c r="D296" s="325" t="s">
        <v>309</v>
      </c>
      <c r="E296" s="577" t="s">
        <v>2783</v>
      </c>
      <c r="F296" s="573">
        <v>36906</v>
      </c>
      <c r="G296" s="573">
        <v>36985</v>
      </c>
      <c r="H296" s="325" t="s">
        <v>575</v>
      </c>
      <c r="I296" s="325" t="s">
        <v>266</v>
      </c>
      <c r="J296" s="325" t="s">
        <v>497</v>
      </c>
      <c r="K296" s="325"/>
      <c r="L296" s="325"/>
      <c r="M296" s="325"/>
      <c r="O296" s="326"/>
      <c r="W296" s="249"/>
      <c r="X296" s="249"/>
      <c r="Y296" s="249"/>
      <c r="Z296" s="250"/>
      <c r="AA296" s="250"/>
      <c r="AB296" s="250"/>
      <c r="AC296" s="250"/>
    </row>
    <row r="297" spans="1:29" s="184" customFormat="1" ht="25.5" customHeight="1" x14ac:dyDescent="0.25">
      <c r="A297" s="324">
        <v>195</v>
      </c>
      <c r="B297" s="324"/>
      <c r="C297" s="324"/>
      <c r="D297" s="324" t="s">
        <v>309</v>
      </c>
      <c r="E297" s="578" t="s">
        <v>2785</v>
      </c>
      <c r="F297" s="572">
        <v>36906</v>
      </c>
      <c r="G297" s="572">
        <v>36985</v>
      </c>
      <c r="H297" s="324" t="s">
        <v>577</v>
      </c>
      <c r="I297" s="324" t="s">
        <v>266</v>
      </c>
      <c r="J297" s="324" t="s">
        <v>497</v>
      </c>
      <c r="K297" s="324"/>
      <c r="L297" s="324"/>
      <c r="M297" s="324"/>
    </row>
    <row r="298" spans="1:29" s="184" customFormat="1" ht="25.5" customHeight="1" x14ac:dyDescent="0.25">
      <c r="A298" s="325">
        <v>222</v>
      </c>
      <c r="B298" s="325"/>
      <c r="C298" s="325"/>
      <c r="D298" s="325" t="s">
        <v>309</v>
      </c>
      <c r="E298" s="577" t="s">
        <v>2785</v>
      </c>
      <c r="F298" s="573">
        <v>36906</v>
      </c>
      <c r="G298" s="573">
        <v>36985</v>
      </c>
      <c r="H298" s="325" t="s">
        <v>577</v>
      </c>
      <c r="I298" s="325" t="s">
        <v>266</v>
      </c>
      <c r="J298" s="325" t="s">
        <v>497</v>
      </c>
      <c r="K298" s="325"/>
      <c r="L298" s="325"/>
      <c r="M298" s="325"/>
      <c r="O298" s="326"/>
      <c r="W298" s="249"/>
      <c r="X298" s="249"/>
      <c r="Y298" s="249"/>
      <c r="Z298" s="250"/>
      <c r="AA298" s="250"/>
      <c r="AB298" s="250"/>
      <c r="AC298" s="250"/>
    </row>
    <row r="299" spans="1:29" s="184" customFormat="1" ht="25.5" customHeight="1" x14ac:dyDescent="0.25">
      <c r="A299" s="324">
        <v>196</v>
      </c>
      <c r="B299" s="324"/>
      <c r="C299" s="324"/>
      <c r="D299" s="324" t="s">
        <v>309</v>
      </c>
      <c r="E299" s="578" t="s">
        <v>2787</v>
      </c>
      <c r="F299" s="572">
        <v>36906</v>
      </c>
      <c r="G299" s="572">
        <v>36985</v>
      </c>
      <c r="H299" s="324" t="s">
        <v>392</v>
      </c>
      <c r="I299" s="324" t="s">
        <v>266</v>
      </c>
      <c r="J299" s="324" t="s">
        <v>497</v>
      </c>
      <c r="K299" s="324"/>
      <c r="L299" s="324"/>
      <c r="M299" s="324"/>
    </row>
    <row r="300" spans="1:29" s="184" customFormat="1" ht="25.5" customHeight="1" x14ac:dyDescent="0.25">
      <c r="A300" s="325">
        <v>223</v>
      </c>
      <c r="B300" s="325"/>
      <c r="C300" s="325"/>
      <c r="D300" s="325" t="s">
        <v>309</v>
      </c>
      <c r="E300" s="577" t="s">
        <v>2787</v>
      </c>
      <c r="F300" s="573">
        <v>36906</v>
      </c>
      <c r="G300" s="573">
        <v>36985</v>
      </c>
      <c r="H300" s="325" t="s">
        <v>392</v>
      </c>
      <c r="I300" s="325" t="s">
        <v>266</v>
      </c>
      <c r="J300" s="325" t="s">
        <v>497</v>
      </c>
      <c r="K300" s="325"/>
      <c r="L300" s="325"/>
      <c r="M300" s="325"/>
      <c r="O300" s="326"/>
      <c r="W300" s="249"/>
      <c r="X300" s="249"/>
      <c r="Y300" s="249"/>
      <c r="Z300" s="250"/>
      <c r="AA300" s="250"/>
      <c r="AB300" s="250"/>
      <c r="AC300" s="250"/>
    </row>
    <row r="301" spans="1:29" s="184" customFormat="1" ht="25.5" customHeight="1" x14ac:dyDescent="0.25">
      <c r="A301" s="324">
        <v>197</v>
      </c>
      <c r="B301" s="324"/>
      <c r="C301" s="324"/>
      <c r="D301" s="324" t="s">
        <v>309</v>
      </c>
      <c r="E301" s="578" t="s">
        <v>2789</v>
      </c>
      <c r="F301" s="572">
        <v>36906</v>
      </c>
      <c r="G301" s="572">
        <v>36985</v>
      </c>
      <c r="H301" s="324" t="s">
        <v>463</v>
      </c>
      <c r="I301" s="324" t="s">
        <v>266</v>
      </c>
      <c r="J301" s="324" t="s">
        <v>497</v>
      </c>
      <c r="K301" s="324"/>
      <c r="L301" s="324"/>
      <c r="M301" s="324"/>
    </row>
    <row r="302" spans="1:29" s="184" customFormat="1" ht="25.5" customHeight="1" x14ac:dyDescent="0.25">
      <c r="A302" s="325">
        <v>224</v>
      </c>
      <c r="B302" s="325"/>
      <c r="C302" s="325"/>
      <c r="D302" s="325" t="s">
        <v>309</v>
      </c>
      <c r="E302" s="577" t="s">
        <v>2789</v>
      </c>
      <c r="F302" s="573">
        <v>36906</v>
      </c>
      <c r="G302" s="573">
        <v>36985</v>
      </c>
      <c r="H302" s="325" t="s">
        <v>929</v>
      </c>
      <c r="I302" s="325" t="s">
        <v>266</v>
      </c>
      <c r="J302" s="325" t="s">
        <v>497</v>
      </c>
      <c r="K302" s="325"/>
      <c r="L302" s="325"/>
      <c r="M302" s="325"/>
      <c r="O302" s="326"/>
      <c r="W302" s="249"/>
      <c r="X302" s="249"/>
      <c r="Y302" s="249"/>
      <c r="Z302" s="250"/>
      <c r="AA302" s="250"/>
      <c r="AB302" s="250"/>
      <c r="AC302" s="250"/>
    </row>
    <row r="303" spans="1:29" s="184" customFormat="1" ht="25.5" customHeight="1" x14ac:dyDescent="0.25">
      <c r="A303" s="324">
        <v>200</v>
      </c>
      <c r="B303" s="324"/>
      <c r="C303" s="324"/>
      <c r="D303" s="324" t="s">
        <v>309</v>
      </c>
      <c r="E303" s="578" t="s">
        <v>2805</v>
      </c>
      <c r="F303" s="572">
        <v>36948</v>
      </c>
      <c r="G303" s="572">
        <v>37005</v>
      </c>
      <c r="H303" s="324" t="s">
        <v>266</v>
      </c>
      <c r="I303" s="324" t="s">
        <v>586</v>
      </c>
      <c r="J303" s="324" t="s">
        <v>587</v>
      </c>
      <c r="K303" s="324"/>
      <c r="L303" s="324"/>
      <c r="M303" s="324"/>
    </row>
    <row r="304" spans="1:29" s="184" customFormat="1" ht="25.5" customHeight="1" x14ac:dyDescent="0.25">
      <c r="A304" s="325">
        <v>227</v>
      </c>
      <c r="B304" s="325"/>
      <c r="C304" s="325"/>
      <c r="D304" s="325" t="s">
        <v>309</v>
      </c>
      <c r="E304" s="577" t="s">
        <v>2805</v>
      </c>
      <c r="F304" s="573">
        <v>36948</v>
      </c>
      <c r="G304" s="573">
        <v>37005</v>
      </c>
      <c r="H304" s="325" t="s">
        <v>266</v>
      </c>
      <c r="I304" s="325" t="s">
        <v>749</v>
      </c>
      <c r="J304" s="325" t="s">
        <v>587</v>
      </c>
      <c r="K304" s="325"/>
      <c r="L304" s="325"/>
      <c r="M304" s="325"/>
      <c r="O304" s="326"/>
      <c r="W304" s="249"/>
      <c r="X304" s="249"/>
      <c r="Y304" s="249"/>
      <c r="Z304" s="250"/>
      <c r="AA304" s="250"/>
      <c r="AB304" s="250"/>
      <c r="AC304" s="250"/>
    </row>
    <row r="305" spans="1:29" s="184" customFormat="1" ht="25.5" customHeight="1" x14ac:dyDescent="0.25">
      <c r="A305" s="324">
        <v>201</v>
      </c>
      <c r="B305" s="324"/>
      <c r="C305" s="324"/>
      <c r="D305" s="324" t="s">
        <v>309</v>
      </c>
      <c r="E305" s="578" t="s">
        <v>2809</v>
      </c>
      <c r="F305" s="572">
        <v>36951</v>
      </c>
      <c r="G305" s="572">
        <v>37019</v>
      </c>
      <c r="H305" s="324" t="s">
        <v>589</v>
      </c>
      <c r="I305" s="324" t="s">
        <v>266</v>
      </c>
      <c r="J305" s="324" t="s">
        <v>497</v>
      </c>
      <c r="K305" s="324"/>
      <c r="L305" s="324"/>
      <c r="M305" s="324"/>
    </row>
    <row r="306" spans="1:29" s="184" customFormat="1" ht="25.5" customHeight="1" x14ac:dyDescent="0.25">
      <c r="A306" s="325">
        <v>228</v>
      </c>
      <c r="B306" s="325"/>
      <c r="C306" s="325"/>
      <c r="D306" s="325" t="s">
        <v>309</v>
      </c>
      <c r="E306" s="577" t="s">
        <v>2809</v>
      </c>
      <c r="F306" s="573">
        <v>36951</v>
      </c>
      <c r="G306" s="573">
        <v>37019</v>
      </c>
      <c r="H306" s="325" t="s">
        <v>589</v>
      </c>
      <c r="I306" s="325" t="s">
        <v>266</v>
      </c>
      <c r="J306" s="325" t="s">
        <v>497</v>
      </c>
      <c r="K306" s="325"/>
      <c r="L306" s="325"/>
      <c r="M306" s="325"/>
      <c r="O306" s="326"/>
      <c r="W306" s="249"/>
      <c r="X306" s="249"/>
      <c r="Y306" s="249"/>
      <c r="Z306" s="250"/>
      <c r="AA306" s="250"/>
      <c r="AB306" s="250"/>
      <c r="AC306" s="250"/>
    </row>
    <row r="307" spans="1:29" s="184" customFormat="1" ht="25.5" customHeight="1" x14ac:dyDescent="0.25">
      <c r="A307" s="324">
        <v>202</v>
      </c>
      <c r="B307" s="324"/>
      <c r="C307" s="324"/>
      <c r="D307" s="324" t="s">
        <v>309</v>
      </c>
      <c r="E307" s="578" t="s">
        <v>2811</v>
      </c>
      <c r="F307" s="572">
        <v>36951</v>
      </c>
      <c r="G307" s="572">
        <v>37019</v>
      </c>
      <c r="H307" s="324" t="s">
        <v>591</v>
      </c>
      <c r="I307" s="324" t="s">
        <v>266</v>
      </c>
      <c r="J307" s="324" t="s">
        <v>497</v>
      </c>
      <c r="K307" s="324"/>
      <c r="L307" s="324"/>
      <c r="M307" s="324"/>
    </row>
    <row r="308" spans="1:29" s="184" customFormat="1" ht="25.5" customHeight="1" x14ac:dyDescent="0.25">
      <c r="A308" s="325">
        <v>229</v>
      </c>
      <c r="B308" s="325"/>
      <c r="C308" s="325"/>
      <c r="D308" s="325" t="s">
        <v>309</v>
      </c>
      <c r="E308" s="577" t="s">
        <v>2811</v>
      </c>
      <c r="F308" s="573">
        <v>36951</v>
      </c>
      <c r="G308" s="573">
        <v>37019</v>
      </c>
      <c r="H308" s="325" t="s">
        <v>591</v>
      </c>
      <c r="I308" s="325" t="s">
        <v>266</v>
      </c>
      <c r="J308" s="325" t="s">
        <v>497</v>
      </c>
      <c r="K308" s="325"/>
      <c r="L308" s="325"/>
      <c r="M308" s="325"/>
      <c r="O308" s="326"/>
      <c r="W308" s="249"/>
      <c r="X308" s="249"/>
      <c r="Y308" s="249"/>
      <c r="Z308" s="250"/>
      <c r="AA308" s="250"/>
      <c r="AB308" s="250"/>
      <c r="AC308" s="250"/>
    </row>
    <row r="309" spans="1:29" s="184" customFormat="1" ht="25.5" customHeight="1" x14ac:dyDescent="0.25">
      <c r="A309" s="324">
        <v>203</v>
      </c>
      <c r="B309" s="324"/>
      <c r="C309" s="324"/>
      <c r="D309" s="324" t="s">
        <v>309</v>
      </c>
      <c r="E309" s="578" t="s">
        <v>2813</v>
      </c>
      <c r="F309" s="572">
        <v>36951</v>
      </c>
      <c r="G309" s="572">
        <v>37019</v>
      </c>
      <c r="H309" s="324" t="s">
        <v>593</v>
      </c>
      <c r="I309" s="324" t="s">
        <v>266</v>
      </c>
      <c r="J309" s="324" t="s">
        <v>497</v>
      </c>
      <c r="K309" s="324"/>
      <c r="L309" s="324"/>
      <c r="M309" s="324"/>
    </row>
    <row r="310" spans="1:29" s="184" customFormat="1" ht="25.5" customHeight="1" x14ac:dyDescent="0.25">
      <c r="A310" s="325">
        <v>230</v>
      </c>
      <c r="B310" s="325"/>
      <c r="C310" s="325"/>
      <c r="D310" s="325" t="s">
        <v>309</v>
      </c>
      <c r="E310" s="577" t="s">
        <v>2813</v>
      </c>
      <c r="F310" s="573">
        <v>36951</v>
      </c>
      <c r="G310" s="573">
        <v>37019</v>
      </c>
      <c r="H310" s="325" t="s">
        <v>593</v>
      </c>
      <c r="I310" s="325" t="s">
        <v>266</v>
      </c>
      <c r="J310" s="325" t="s">
        <v>497</v>
      </c>
      <c r="K310" s="325"/>
      <c r="L310" s="325"/>
      <c r="M310" s="325"/>
      <c r="O310" s="326"/>
      <c r="W310" s="249"/>
      <c r="X310" s="249"/>
      <c r="Y310" s="249"/>
      <c r="Z310" s="250"/>
      <c r="AA310" s="250"/>
      <c r="AB310" s="250"/>
      <c r="AC310" s="250"/>
    </row>
    <row r="311" spans="1:29" s="184" customFormat="1" ht="25.5" customHeight="1" x14ac:dyDescent="0.25">
      <c r="A311" s="324">
        <v>204</v>
      </c>
      <c r="B311" s="324"/>
      <c r="C311" s="324"/>
      <c r="D311" s="324" t="s">
        <v>309</v>
      </c>
      <c r="E311" s="578" t="s">
        <v>239</v>
      </c>
      <c r="F311" s="572">
        <v>37347</v>
      </c>
      <c r="G311" s="572">
        <v>37372</v>
      </c>
      <c r="H311" s="324" t="s">
        <v>240</v>
      </c>
      <c r="I311" s="324" t="s">
        <v>586</v>
      </c>
      <c r="J311" s="324" t="s">
        <v>488</v>
      </c>
      <c r="K311" s="324"/>
      <c r="L311" s="324"/>
      <c r="M311" s="324"/>
    </row>
    <row r="312" spans="1:29" s="184" customFormat="1" ht="25.5" customHeight="1" x14ac:dyDescent="0.25">
      <c r="A312" s="184">
        <v>1</v>
      </c>
      <c r="D312" s="325" t="s">
        <v>309</v>
      </c>
      <c r="E312" s="579" t="s">
        <v>239</v>
      </c>
      <c r="F312" s="321">
        <v>37347</v>
      </c>
      <c r="G312" s="321">
        <v>37372</v>
      </c>
      <c r="H312" s="184" t="s">
        <v>240</v>
      </c>
      <c r="I312" s="184" t="s">
        <v>749</v>
      </c>
      <c r="J312" s="184" t="s">
        <v>488</v>
      </c>
      <c r="L312" s="184">
        <v>36</v>
      </c>
      <c r="M312" s="184">
        <v>160</v>
      </c>
      <c r="O312" s="326">
        <v>38443</v>
      </c>
      <c r="Q312" s="184">
        <v>0.25</v>
      </c>
      <c r="S312" s="184" t="s">
        <v>243</v>
      </c>
      <c r="V312" s="322"/>
      <c r="W312" s="249"/>
      <c r="X312" s="249"/>
      <c r="Y312" s="249"/>
      <c r="Z312" s="250"/>
      <c r="AA312" s="250"/>
      <c r="AB312" s="250"/>
      <c r="AC312" s="250"/>
    </row>
    <row r="313" spans="1:29" s="184" customFormat="1" ht="25.5" customHeight="1" x14ac:dyDescent="0.25">
      <c r="A313" s="324">
        <v>205</v>
      </c>
      <c r="B313" s="324"/>
      <c r="C313" s="324"/>
      <c r="D313" s="324" t="s">
        <v>309</v>
      </c>
      <c r="E313" s="578" t="s">
        <v>244</v>
      </c>
      <c r="F313" s="572">
        <v>37354</v>
      </c>
      <c r="G313" s="572">
        <v>37372</v>
      </c>
      <c r="H313" s="324" t="s">
        <v>596</v>
      </c>
      <c r="I313" s="324" t="s">
        <v>586</v>
      </c>
      <c r="J313" s="324" t="s">
        <v>505</v>
      </c>
      <c r="K313" s="324"/>
      <c r="L313" s="324"/>
      <c r="M313" s="324"/>
    </row>
    <row r="314" spans="1:29" s="184" customFormat="1" ht="25.5" customHeight="1" x14ac:dyDescent="0.25">
      <c r="A314" s="184">
        <v>2</v>
      </c>
      <c r="D314" s="325" t="s">
        <v>309</v>
      </c>
      <c r="E314" s="579" t="s">
        <v>244</v>
      </c>
      <c r="F314" s="321">
        <v>37354</v>
      </c>
      <c r="G314" s="321">
        <v>37372</v>
      </c>
      <c r="H314" s="184" t="s">
        <v>750</v>
      </c>
      <c r="I314" s="184" t="s">
        <v>749</v>
      </c>
      <c r="J314" s="184" t="s">
        <v>505</v>
      </c>
      <c r="L314" s="184">
        <v>36</v>
      </c>
      <c r="M314" s="184">
        <v>40</v>
      </c>
      <c r="O314" s="326">
        <v>38450</v>
      </c>
      <c r="Q314" s="184">
        <v>0.25</v>
      </c>
      <c r="S314" s="184" t="s">
        <v>243</v>
      </c>
      <c r="V314" s="322"/>
      <c r="W314" s="249"/>
      <c r="X314" s="249"/>
      <c r="Y314" s="249"/>
      <c r="Z314" s="250"/>
      <c r="AA314" s="250"/>
      <c r="AB314" s="250"/>
      <c r="AC314" s="250"/>
    </row>
    <row r="315" spans="1:29" s="184" customFormat="1" ht="25.5" customHeight="1" x14ac:dyDescent="0.25">
      <c r="A315" s="184">
        <v>1</v>
      </c>
      <c r="D315" s="184" t="s">
        <v>238</v>
      </c>
      <c r="E315" s="579" t="s">
        <v>239</v>
      </c>
      <c r="F315" s="321">
        <v>37347</v>
      </c>
      <c r="G315" s="321">
        <v>37372</v>
      </c>
      <c r="H315" s="184" t="s">
        <v>240</v>
      </c>
      <c r="I315" s="184" t="s">
        <v>241</v>
      </c>
      <c r="J315" s="184" t="s">
        <v>242</v>
      </c>
      <c r="L315" s="184">
        <v>36</v>
      </c>
      <c r="M315" s="184">
        <v>160</v>
      </c>
      <c r="O315" s="321">
        <v>38443</v>
      </c>
      <c r="Q315" s="184">
        <v>0.25</v>
      </c>
      <c r="S315" s="184" t="s">
        <v>243</v>
      </c>
      <c r="V315" s="322"/>
      <c r="W315" s="248"/>
      <c r="X315" s="248"/>
      <c r="Y315" s="248"/>
      <c r="Z315" s="248"/>
      <c r="AA315" s="248"/>
      <c r="AB315" s="248"/>
      <c r="AC315" s="248"/>
    </row>
    <row r="316" spans="1:29" s="184" customFormat="1" ht="25.5" customHeight="1" x14ac:dyDescent="0.25">
      <c r="A316" s="184">
        <v>2</v>
      </c>
      <c r="D316" s="184" t="s">
        <v>238</v>
      </c>
      <c r="E316" s="579" t="s">
        <v>244</v>
      </c>
      <c r="F316" s="321">
        <v>37354</v>
      </c>
      <c r="G316" s="321">
        <v>37372</v>
      </c>
      <c r="H316" s="184" t="s">
        <v>245</v>
      </c>
      <c r="I316" s="184" t="s">
        <v>241</v>
      </c>
      <c r="J316" s="184" t="s">
        <v>242</v>
      </c>
      <c r="L316" s="184">
        <v>36</v>
      </c>
      <c r="M316" s="184">
        <v>40</v>
      </c>
      <c r="O316" s="321">
        <v>38450</v>
      </c>
      <c r="Q316" s="184">
        <v>0.25</v>
      </c>
      <c r="S316" s="184" t="s">
        <v>243</v>
      </c>
      <c r="V316" s="322"/>
      <c r="W316" s="248"/>
      <c r="X316" s="248"/>
      <c r="Y316" s="248"/>
      <c r="Z316" s="248"/>
      <c r="AA316" s="248"/>
      <c r="AB316" s="248"/>
      <c r="AC316" s="248"/>
    </row>
    <row r="317" spans="1:29" s="184" customFormat="1" ht="38.25" customHeight="1" x14ac:dyDescent="0.25">
      <c r="A317" s="324">
        <v>214</v>
      </c>
      <c r="B317" s="324"/>
      <c r="C317" s="324"/>
      <c r="D317" s="324" t="s">
        <v>309</v>
      </c>
      <c r="E317" s="578" t="s">
        <v>257</v>
      </c>
      <c r="F317" s="572">
        <v>37384</v>
      </c>
      <c r="G317" s="572">
        <v>37389</v>
      </c>
      <c r="H317" s="324" t="s">
        <v>610</v>
      </c>
      <c r="I317" s="324" t="s">
        <v>611</v>
      </c>
      <c r="J317" s="324" t="s">
        <v>502</v>
      </c>
      <c r="K317" s="324"/>
      <c r="L317" s="324"/>
      <c r="M317" s="324"/>
      <c r="O317" s="574"/>
      <c r="Q317" s="574"/>
      <c r="U317" s="574"/>
      <c r="V317" s="574"/>
    </row>
    <row r="318" spans="1:29" s="184" customFormat="1" ht="25.5" customHeight="1" x14ac:dyDescent="0.25">
      <c r="A318" s="184">
        <v>7</v>
      </c>
      <c r="D318" s="325" t="s">
        <v>309</v>
      </c>
      <c r="E318" s="579" t="s">
        <v>257</v>
      </c>
      <c r="F318" s="321">
        <v>37384</v>
      </c>
      <c r="G318" s="321">
        <v>37389</v>
      </c>
      <c r="H318" s="184" t="s">
        <v>610</v>
      </c>
      <c r="I318" s="184" t="s">
        <v>611</v>
      </c>
      <c r="J318" s="184" t="s">
        <v>502</v>
      </c>
      <c r="L318" s="184">
        <v>12</v>
      </c>
      <c r="M318" s="184">
        <v>180</v>
      </c>
      <c r="O318" s="575">
        <v>37749</v>
      </c>
      <c r="Q318" s="574">
        <v>0.25</v>
      </c>
      <c r="S318" s="184" t="s">
        <v>243</v>
      </c>
      <c r="U318" s="574"/>
      <c r="V318" s="576"/>
      <c r="W318" s="249"/>
      <c r="X318" s="249"/>
      <c r="Y318" s="249"/>
      <c r="Z318" s="250"/>
      <c r="AA318" s="250"/>
      <c r="AB318" s="250"/>
      <c r="AC318" s="250"/>
    </row>
    <row r="319" spans="1:29" s="184" customFormat="1" ht="25.5" customHeight="1" x14ac:dyDescent="0.25">
      <c r="A319" s="324">
        <v>210</v>
      </c>
      <c r="B319" s="324"/>
      <c r="C319" s="324"/>
      <c r="D319" s="324" t="s">
        <v>309</v>
      </c>
      <c r="E319" s="578" t="s">
        <v>251</v>
      </c>
      <c r="F319" s="572">
        <v>37364</v>
      </c>
      <c r="G319" s="572">
        <v>37389</v>
      </c>
      <c r="H319" s="324" t="s">
        <v>252</v>
      </c>
      <c r="I319" s="324" t="s">
        <v>586</v>
      </c>
      <c r="J319" s="324" t="s">
        <v>488</v>
      </c>
      <c r="K319" s="324"/>
      <c r="L319" s="324"/>
      <c r="M319" s="324"/>
      <c r="O319" s="574"/>
      <c r="Q319" s="574"/>
      <c r="U319" s="574"/>
      <c r="V319" s="574"/>
    </row>
    <row r="320" spans="1:29" s="184" customFormat="1" ht="38.25" customHeight="1" x14ac:dyDescent="0.25">
      <c r="A320" s="184">
        <v>5</v>
      </c>
      <c r="D320" s="325" t="s">
        <v>309</v>
      </c>
      <c r="E320" s="579" t="s">
        <v>251</v>
      </c>
      <c r="F320" s="321">
        <v>37364</v>
      </c>
      <c r="G320" s="321">
        <v>37389</v>
      </c>
      <c r="H320" s="184" t="s">
        <v>252</v>
      </c>
      <c r="I320" s="184" t="s">
        <v>751</v>
      </c>
      <c r="J320" s="184" t="s">
        <v>488</v>
      </c>
      <c r="L320" s="184">
        <v>36</v>
      </c>
      <c r="M320" s="184">
        <v>160</v>
      </c>
      <c r="O320" s="575">
        <v>38460</v>
      </c>
      <c r="Q320" s="574">
        <v>0.25</v>
      </c>
      <c r="S320" s="184" t="s">
        <v>243</v>
      </c>
      <c r="U320" s="574"/>
      <c r="V320" s="576"/>
      <c r="W320" s="249"/>
      <c r="X320" s="249"/>
      <c r="Y320" s="249"/>
      <c r="Z320" s="250"/>
      <c r="AA320" s="250"/>
      <c r="AB320" s="250"/>
      <c r="AC320" s="250"/>
    </row>
    <row r="321" spans="1:29" s="184" customFormat="1" ht="25.5" customHeight="1" x14ac:dyDescent="0.25">
      <c r="A321" s="324">
        <v>208</v>
      </c>
      <c r="B321" s="324"/>
      <c r="C321" s="324"/>
      <c r="D321" s="324" t="s">
        <v>309</v>
      </c>
      <c r="E321" s="578" t="s">
        <v>248</v>
      </c>
      <c r="F321" s="572">
        <v>37361</v>
      </c>
      <c r="G321" s="572">
        <v>37389</v>
      </c>
      <c r="H321" s="324" t="s">
        <v>249</v>
      </c>
      <c r="I321" s="324" t="s">
        <v>250</v>
      </c>
      <c r="J321" s="324" t="s">
        <v>488</v>
      </c>
      <c r="K321" s="324"/>
      <c r="L321" s="324"/>
      <c r="M321" s="324"/>
      <c r="O321" s="574"/>
      <c r="Q321" s="574"/>
      <c r="U321" s="574"/>
      <c r="V321" s="574"/>
    </row>
    <row r="322" spans="1:29" s="184" customFormat="1" ht="38.25" customHeight="1" x14ac:dyDescent="0.25">
      <c r="A322" s="184">
        <v>4</v>
      </c>
      <c r="D322" s="325" t="s">
        <v>309</v>
      </c>
      <c r="E322" s="579" t="s">
        <v>248</v>
      </c>
      <c r="F322" s="321">
        <v>37361</v>
      </c>
      <c r="G322" s="321">
        <v>37389</v>
      </c>
      <c r="H322" s="184" t="s">
        <v>249</v>
      </c>
      <c r="I322" s="184" t="s">
        <v>487</v>
      </c>
      <c r="J322" s="184" t="s">
        <v>488</v>
      </c>
      <c r="L322" s="184">
        <v>36</v>
      </c>
      <c r="M322" s="184">
        <v>160</v>
      </c>
      <c r="O322" s="575">
        <v>38457</v>
      </c>
      <c r="Q322" s="574">
        <v>0.1875</v>
      </c>
      <c r="S322" s="184" t="s">
        <v>243</v>
      </c>
      <c r="U322" s="574"/>
      <c r="V322" s="576"/>
      <c r="W322" s="249"/>
      <c r="X322" s="249"/>
      <c r="Y322" s="249"/>
      <c r="Z322" s="250"/>
      <c r="AA322" s="250"/>
      <c r="AB322" s="250"/>
      <c r="AC322" s="250"/>
    </row>
    <row r="323" spans="1:29" ht="25.5" customHeight="1" x14ac:dyDescent="0.25">
      <c r="A323" s="324">
        <v>209</v>
      </c>
      <c r="B323" s="324"/>
      <c r="C323" s="324"/>
      <c r="D323" s="324" t="s">
        <v>309</v>
      </c>
      <c r="E323" s="578" t="s">
        <v>2851</v>
      </c>
      <c r="F323" s="572">
        <v>37361</v>
      </c>
      <c r="G323" s="572">
        <v>37389</v>
      </c>
      <c r="H323" s="324" t="s">
        <v>602</v>
      </c>
      <c r="I323" s="324" t="s">
        <v>250</v>
      </c>
      <c r="J323" s="324" t="s">
        <v>488</v>
      </c>
      <c r="K323" s="324"/>
      <c r="L323" s="324"/>
      <c r="M323" s="324"/>
      <c r="N323" s="184"/>
      <c r="O323" s="184"/>
      <c r="P323" s="184"/>
      <c r="Q323" s="184"/>
      <c r="R323" s="184"/>
      <c r="S323" s="184"/>
      <c r="T323" s="184"/>
      <c r="U323" s="184"/>
      <c r="V323" s="184"/>
      <c r="W323" s="184"/>
      <c r="X323" s="184"/>
      <c r="Y323" s="184"/>
      <c r="Z323" s="184"/>
      <c r="AA323" s="184"/>
      <c r="AB323" s="184"/>
      <c r="AC323" s="184"/>
    </row>
    <row r="324" spans="1:29" ht="25.5" customHeight="1" x14ac:dyDescent="0.25">
      <c r="A324" s="325">
        <v>232</v>
      </c>
      <c r="B324" s="325"/>
      <c r="C324" s="325"/>
      <c r="D324" s="325" t="s">
        <v>309</v>
      </c>
      <c r="E324" s="577" t="s">
        <v>2851</v>
      </c>
      <c r="F324" s="573">
        <v>37361</v>
      </c>
      <c r="G324" s="573">
        <v>37389</v>
      </c>
      <c r="H324" s="325" t="s">
        <v>602</v>
      </c>
      <c r="I324" s="325" t="s">
        <v>487</v>
      </c>
      <c r="J324" s="325" t="s">
        <v>488</v>
      </c>
      <c r="K324" s="325"/>
      <c r="L324" s="325"/>
      <c r="M324" s="325"/>
      <c r="N324" s="184"/>
      <c r="O324" s="326"/>
      <c r="P324" s="184"/>
      <c r="Q324" s="184"/>
      <c r="R324" s="184"/>
      <c r="S324" s="184"/>
      <c r="T324" s="184"/>
      <c r="U324" s="184"/>
      <c r="V324" s="184"/>
    </row>
    <row r="325" spans="1:29" ht="25.5" customHeight="1" x14ac:dyDescent="0.25">
      <c r="A325" s="184">
        <v>3</v>
      </c>
      <c r="B325" s="184"/>
      <c r="C325" s="184"/>
      <c r="D325" s="184" t="s">
        <v>238</v>
      </c>
      <c r="E325" s="579" t="s">
        <v>257</v>
      </c>
      <c r="F325" s="321">
        <v>37384</v>
      </c>
      <c r="G325" s="321">
        <v>37389</v>
      </c>
      <c r="H325" s="184" t="s">
        <v>258</v>
      </c>
      <c r="I325" s="184" t="s">
        <v>259</v>
      </c>
      <c r="J325" s="184" t="s">
        <v>242</v>
      </c>
      <c r="K325" s="184"/>
      <c r="L325" s="184">
        <v>12</v>
      </c>
      <c r="M325" s="184">
        <v>180</v>
      </c>
      <c r="N325" s="184"/>
      <c r="O325" s="321">
        <v>37749</v>
      </c>
      <c r="P325" s="184"/>
      <c r="Q325" s="184">
        <v>0.25</v>
      </c>
      <c r="R325" s="184"/>
      <c r="S325" s="184" t="s">
        <v>243</v>
      </c>
      <c r="T325" s="184"/>
      <c r="U325" s="184"/>
      <c r="V325" s="322"/>
      <c r="W325" s="248"/>
      <c r="X325" s="248"/>
      <c r="Y325" s="248"/>
      <c r="Z325" s="248"/>
      <c r="AA325" s="248"/>
      <c r="AB325" s="248"/>
      <c r="AC325" s="248"/>
    </row>
    <row r="326" spans="1:29" ht="25.5" customHeight="1" x14ac:dyDescent="0.25">
      <c r="A326" s="184">
        <v>4</v>
      </c>
      <c r="B326" s="184"/>
      <c r="C326" s="184"/>
      <c r="D326" s="184" t="s">
        <v>238</v>
      </c>
      <c r="E326" s="579" t="s">
        <v>251</v>
      </c>
      <c r="F326" s="321">
        <v>37364</v>
      </c>
      <c r="G326" s="321">
        <v>37389</v>
      </c>
      <c r="H326" s="184" t="s">
        <v>252</v>
      </c>
      <c r="I326" s="184" t="s">
        <v>253</v>
      </c>
      <c r="J326" s="184" t="s">
        <v>242</v>
      </c>
      <c r="K326" s="184"/>
      <c r="L326" s="184">
        <v>36</v>
      </c>
      <c r="M326" s="184">
        <v>160</v>
      </c>
      <c r="N326" s="184"/>
      <c r="O326" s="321">
        <v>38460</v>
      </c>
      <c r="P326" s="184"/>
      <c r="Q326" s="184">
        <v>0.25</v>
      </c>
      <c r="R326" s="184"/>
      <c r="S326" s="184" t="s">
        <v>243</v>
      </c>
      <c r="T326" s="184"/>
      <c r="U326" s="184"/>
      <c r="V326" s="322"/>
      <c r="W326" s="248"/>
      <c r="X326" s="248"/>
      <c r="Y326" s="248"/>
      <c r="Z326" s="248"/>
      <c r="AA326" s="248"/>
      <c r="AB326" s="248"/>
      <c r="AC326" s="248"/>
    </row>
    <row r="327" spans="1:29" ht="25.5" customHeight="1" x14ac:dyDescent="0.25">
      <c r="A327" s="184">
        <v>5</v>
      </c>
      <c r="B327" s="184"/>
      <c r="C327" s="184"/>
      <c r="D327" s="184" t="s">
        <v>238</v>
      </c>
      <c r="E327" s="579" t="s">
        <v>248</v>
      </c>
      <c r="F327" s="321">
        <v>37361</v>
      </c>
      <c r="G327" s="321">
        <v>37389</v>
      </c>
      <c r="H327" s="184" t="s">
        <v>249</v>
      </c>
      <c r="I327" s="184" t="s">
        <v>250</v>
      </c>
      <c r="J327" s="184" t="s">
        <v>242</v>
      </c>
      <c r="K327" s="184"/>
      <c r="L327" s="184">
        <v>36</v>
      </c>
      <c r="M327" s="184">
        <v>160</v>
      </c>
      <c r="N327" s="184"/>
      <c r="O327" s="321">
        <v>38457</v>
      </c>
      <c r="P327" s="184"/>
      <c r="Q327" s="184">
        <v>0.1875</v>
      </c>
      <c r="R327" s="184"/>
      <c r="S327" s="184" t="s">
        <v>243</v>
      </c>
      <c r="T327" s="184"/>
      <c r="U327" s="184"/>
      <c r="V327" s="322"/>
      <c r="W327" s="248"/>
      <c r="X327" s="248"/>
      <c r="Y327" s="248"/>
      <c r="Z327" s="248"/>
      <c r="AA327" s="248"/>
      <c r="AB327" s="248"/>
      <c r="AC327" s="248"/>
    </row>
    <row r="328" spans="1:29" ht="25.5" customHeight="1" x14ac:dyDescent="0.25">
      <c r="A328" s="324">
        <v>212</v>
      </c>
      <c r="B328" s="324"/>
      <c r="C328" s="324"/>
      <c r="D328" s="324" t="s">
        <v>309</v>
      </c>
      <c r="E328" s="578" t="s">
        <v>2853</v>
      </c>
      <c r="F328" s="572">
        <v>37381</v>
      </c>
      <c r="G328" s="572">
        <v>37399</v>
      </c>
      <c r="H328" s="324" t="s">
        <v>252</v>
      </c>
      <c r="I328" s="324" t="s">
        <v>250</v>
      </c>
      <c r="J328" s="324" t="s">
        <v>488</v>
      </c>
      <c r="K328" s="324"/>
      <c r="L328" s="324"/>
      <c r="M328" s="324"/>
      <c r="N328" s="184"/>
      <c r="O328" s="184"/>
      <c r="P328" s="184"/>
      <c r="Q328" s="184"/>
      <c r="R328" s="184"/>
      <c r="S328" s="184"/>
      <c r="T328" s="184"/>
      <c r="U328" s="184"/>
      <c r="V328" s="184"/>
      <c r="W328" s="184"/>
      <c r="X328" s="184"/>
      <c r="Y328" s="184"/>
      <c r="Z328" s="184"/>
      <c r="AA328" s="184"/>
      <c r="AB328" s="184"/>
      <c r="AC328" s="184"/>
    </row>
    <row r="329" spans="1:29" ht="25.5" customHeight="1" x14ac:dyDescent="0.25">
      <c r="A329" s="325">
        <v>234</v>
      </c>
      <c r="B329" s="325"/>
      <c r="C329" s="325"/>
      <c r="D329" s="325" t="s">
        <v>309</v>
      </c>
      <c r="E329" s="577" t="s">
        <v>2853</v>
      </c>
      <c r="F329" s="573">
        <v>37381</v>
      </c>
      <c r="G329" s="573">
        <v>37399</v>
      </c>
      <c r="H329" s="325" t="s">
        <v>252</v>
      </c>
      <c r="I329" s="325" t="s">
        <v>487</v>
      </c>
      <c r="J329" s="325" t="s">
        <v>488</v>
      </c>
      <c r="K329" s="325"/>
      <c r="L329" s="325"/>
      <c r="M329" s="325"/>
      <c r="N329" s="184"/>
      <c r="O329" s="326"/>
      <c r="P329" s="184"/>
      <c r="Q329" s="184"/>
      <c r="R329" s="184"/>
      <c r="S329" s="184"/>
      <c r="T329" s="184"/>
      <c r="U329" s="184"/>
      <c r="V329" s="184"/>
    </row>
    <row r="330" spans="1:29" ht="25.5" customHeight="1" x14ac:dyDescent="0.25">
      <c r="A330" s="324">
        <v>211</v>
      </c>
      <c r="B330" s="324"/>
      <c r="C330" s="324"/>
      <c r="D330" s="324" t="s">
        <v>309</v>
      </c>
      <c r="E330" s="578" t="s">
        <v>2859</v>
      </c>
      <c r="F330" s="572">
        <v>37364</v>
      </c>
      <c r="G330" s="572">
        <v>37410</v>
      </c>
      <c r="H330" s="324" t="s">
        <v>605</v>
      </c>
      <c r="I330" s="324" t="s">
        <v>586</v>
      </c>
      <c r="J330" s="324" t="s">
        <v>606</v>
      </c>
      <c r="K330" s="324"/>
      <c r="L330" s="324"/>
      <c r="M330" s="324"/>
      <c r="N330" s="184"/>
      <c r="O330" s="184"/>
      <c r="P330" s="184"/>
      <c r="Q330" s="184"/>
      <c r="R330" s="184"/>
      <c r="S330" s="184"/>
      <c r="T330" s="184"/>
      <c r="U330" s="184"/>
      <c r="V330" s="184"/>
      <c r="W330" s="184"/>
      <c r="X330" s="184"/>
      <c r="Y330" s="184"/>
      <c r="Z330" s="184"/>
      <c r="AA330" s="184"/>
      <c r="AB330" s="184"/>
      <c r="AC330" s="184"/>
    </row>
    <row r="331" spans="1:29" ht="25.5" customHeight="1" x14ac:dyDescent="0.25">
      <c r="A331" s="325">
        <v>233</v>
      </c>
      <c r="B331" s="325"/>
      <c r="C331" s="325"/>
      <c r="D331" s="325" t="s">
        <v>309</v>
      </c>
      <c r="E331" s="577" t="s">
        <v>2859</v>
      </c>
      <c r="F331" s="573">
        <v>37364</v>
      </c>
      <c r="G331" s="573">
        <v>37410</v>
      </c>
      <c r="H331" s="325" t="s">
        <v>605</v>
      </c>
      <c r="I331" s="325" t="s">
        <v>749</v>
      </c>
      <c r="J331" s="325" t="s">
        <v>606</v>
      </c>
      <c r="K331" s="325"/>
      <c r="L331" s="325"/>
      <c r="M331" s="325"/>
      <c r="N331" s="184"/>
      <c r="O331" s="326"/>
      <c r="P331" s="184"/>
      <c r="Q331" s="184"/>
      <c r="R331" s="184"/>
      <c r="S331" s="184"/>
      <c r="T331" s="184"/>
      <c r="U331" s="184"/>
      <c r="V331" s="184"/>
    </row>
    <row r="332" spans="1:29" ht="25.5" customHeight="1" x14ac:dyDescent="0.25">
      <c r="A332" s="324">
        <v>206</v>
      </c>
      <c r="B332" s="324"/>
      <c r="C332" s="324"/>
      <c r="D332" s="324" t="s">
        <v>309</v>
      </c>
      <c r="E332" s="578" t="s">
        <v>2862</v>
      </c>
      <c r="F332" s="572">
        <v>37354</v>
      </c>
      <c r="G332" s="572">
        <v>37424</v>
      </c>
      <c r="H332" s="324" t="s">
        <v>427</v>
      </c>
      <c r="I332" s="324" t="s">
        <v>586</v>
      </c>
      <c r="J332" s="324" t="s">
        <v>598</v>
      </c>
      <c r="K332" s="324"/>
      <c r="L332" s="324"/>
      <c r="M332" s="324"/>
      <c r="N332" s="184"/>
      <c r="O332" s="184"/>
      <c r="P332" s="184"/>
      <c r="Q332" s="184"/>
      <c r="R332" s="184"/>
      <c r="S332" s="184"/>
      <c r="T332" s="184"/>
      <c r="U332" s="184"/>
      <c r="V332" s="184"/>
      <c r="W332" s="184"/>
      <c r="X332" s="184"/>
      <c r="Y332" s="184"/>
      <c r="Z332" s="184"/>
      <c r="AA332" s="184"/>
      <c r="AB332" s="184"/>
      <c r="AC332" s="184"/>
    </row>
    <row r="333" spans="1:29" ht="25.5" customHeight="1" x14ac:dyDescent="0.25">
      <c r="A333" s="325">
        <v>231</v>
      </c>
      <c r="B333" s="325"/>
      <c r="C333" s="325"/>
      <c r="D333" s="325" t="s">
        <v>309</v>
      </c>
      <c r="E333" s="577" t="s">
        <v>2862</v>
      </c>
      <c r="F333" s="573">
        <v>37354</v>
      </c>
      <c r="G333" s="573">
        <v>37424</v>
      </c>
      <c r="H333" s="325" t="s">
        <v>247</v>
      </c>
      <c r="I333" s="325" t="s">
        <v>749</v>
      </c>
      <c r="J333" s="325" t="s">
        <v>598</v>
      </c>
      <c r="K333" s="325"/>
      <c r="L333" s="325"/>
      <c r="M333" s="325"/>
      <c r="N333" s="184"/>
      <c r="O333" s="326"/>
      <c r="P333" s="184"/>
      <c r="Q333" s="184"/>
      <c r="R333" s="184"/>
      <c r="S333" s="184"/>
      <c r="T333" s="184"/>
      <c r="U333" s="184"/>
      <c r="V333" s="184"/>
    </row>
    <row r="334" spans="1:29" ht="25.5" customHeight="1" x14ac:dyDescent="0.25">
      <c r="A334" s="324">
        <v>213</v>
      </c>
      <c r="B334" s="324"/>
      <c r="C334" s="324"/>
      <c r="D334" s="324" t="s">
        <v>309</v>
      </c>
      <c r="E334" s="578" t="s">
        <v>254</v>
      </c>
      <c r="F334" s="572">
        <v>37381</v>
      </c>
      <c r="G334" s="572">
        <v>37433</v>
      </c>
      <c r="H334" s="324" t="s">
        <v>434</v>
      </c>
      <c r="I334" s="324" t="s">
        <v>250</v>
      </c>
      <c r="J334" s="324" t="s">
        <v>488</v>
      </c>
      <c r="K334" s="324"/>
      <c r="L334" s="324"/>
      <c r="M334" s="324"/>
      <c r="N334" s="184"/>
      <c r="O334" s="184"/>
      <c r="P334" s="184"/>
      <c r="Q334" s="184"/>
      <c r="R334" s="184"/>
      <c r="S334" s="184"/>
      <c r="T334" s="184"/>
      <c r="U334" s="184"/>
      <c r="V334" s="184"/>
      <c r="W334" s="184"/>
      <c r="X334" s="184"/>
      <c r="Y334" s="184"/>
      <c r="Z334" s="184"/>
      <c r="AA334" s="184"/>
      <c r="AB334" s="184"/>
      <c r="AC334" s="184"/>
    </row>
    <row r="335" spans="1:29" ht="25.5" customHeight="1" x14ac:dyDescent="0.25">
      <c r="A335" s="184">
        <v>6</v>
      </c>
      <c r="B335" s="184"/>
      <c r="C335" s="184"/>
      <c r="D335" s="325" t="s">
        <v>309</v>
      </c>
      <c r="E335" s="579" t="s">
        <v>254</v>
      </c>
      <c r="F335" s="321">
        <v>37381</v>
      </c>
      <c r="G335" s="321">
        <v>37433</v>
      </c>
      <c r="H335" s="184" t="s">
        <v>752</v>
      </c>
      <c r="I335" s="184" t="s">
        <v>487</v>
      </c>
      <c r="J335" s="184" t="s">
        <v>488</v>
      </c>
      <c r="K335" s="184"/>
      <c r="L335" s="184">
        <v>36</v>
      </c>
      <c r="M335" s="184">
        <v>160</v>
      </c>
      <c r="N335" s="184"/>
      <c r="O335" s="326">
        <v>38477</v>
      </c>
      <c r="P335" s="184"/>
      <c r="Q335" s="184">
        <v>0.1875</v>
      </c>
      <c r="R335" s="184"/>
      <c r="S335" s="184" t="s">
        <v>243</v>
      </c>
      <c r="T335" s="184"/>
      <c r="U335" s="184"/>
      <c r="V335" s="322"/>
    </row>
    <row r="336" spans="1:29" ht="25.5" customHeight="1" x14ac:dyDescent="0.25">
      <c r="A336" s="184">
        <v>6</v>
      </c>
      <c r="B336" s="184"/>
      <c r="C336" s="184"/>
      <c r="D336" s="184" t="s">
        <v>238</v>
      </c>
      <c r="E336" s="579" t="s">
        <v>254</v>
      </c>
      <c r="F336" s="321">
        <v>37381</v>
      </c>
      <c r="G336" s="321">
        <v>37433</v>
      </c>
      <c r="H336" s="184" t="s">
        <v>255</v>
      </c>
      <c r="I336" s="184" t="s">
        <v>256</v>
      </c>
      <c r="J336" s="184" t="s">
        <v>242</v>
      </c>
      <c r="K336" s="184"/>
      <c r="L336" s="184">
        <v>36</v>
      </c>
      <c r="M336" s="184">
        <v>160</v>
      </c>
      <c r="N336" s="184"/>
      <c r="O336" s="321">
        <v>38477</v>
      </c>
      <c r="P336" s="184"/>
      <c r="Q336" s="184">
        <v>0.1875</v>
      </c>
      <c r="R336" s="184"/>
      <c r="S336" s="184" t="s">
        <v>243</v>
      </c>
      <c r="T336" s="184"/>
      <c r="U336" s="184"/>
      <c r="V336" s="322"/>
      <c r="W336" s="248"/>
      <c r="X336" s="248"/>
      <c r="Y336" s="248"/>
      <c r="Z336" s="248"/>
      <c r="AA336" s="248"/>
      <c r="AB336" s="248"/>
      <c r="AC336" s="248"/>
    </row>
    <row r="337" spans="1:29" ht="25.5" customHeight="1" x14ac:dyDescent="0.25">
      <c r="A337" s="324">
        <v>215</v>
      </c>
      <c r="B337" s="324"/>
      <c r="C337" s="324"/>
      <c r="D337" s="324" t="s">
        <v>309</v>
      </c>
      <c r="E337" s="578" t="s">
        <v>2869</v>
      </c>
      <c r="F337" s="572">
        <v>37426</v>
      </c>
      <c r="G337" s="572">
        <v>37454</v>
      </c>
      <c r="H337" s="324" t="s">
        <v>430</v>
      </c>
      <c r="I337" s="324" t="s">
        <v>250</v>
      </c>
      <c r="J337" s="324" t="s">
        <v>488</v>
      </c>
      <c r="K337" s="324"/>
      <c r="L337" s="324"/>
      <c r="M337" s="324"/>
      <c r="N337" s="184"/>
      <c r="O337" s="184"/>
      <c r="P337" s="184"/>
      <c r="Q337" s="184"/>
      <c r="R337" s="184"/>
      <c r="S337" s="184"/>
      <c r="T337" s="184"/>
      <c r="U337" s="184"/>
      <c r="V337" s="184"/>
      <c r="W337" s="184"/>
      <c r="X337" s="184"/>
      <c r="Y337" s="184"/>
      <c r="Z337" s="184"/>
      <c r="AA337" s="184"/>
      <c r="AB337" s="184"/>
      <c r="AC337" s="184"/>
    </row>
    <row r="338" spans="1:29" ht="25.5" customHeight="1" x14ac:dyDescent="0.25">
      <c r="A338" s="325">
        <v>235</v>
      </c>
      <c r="B338" s="325"/>
      <c r="C338" s="325"/>
      <c r="D338" s="325" t="s">
        <v>309</v>
      </c>
      <c r="E338" s="577" t="s">
        <v>2869</v>
      </c>
      <c r="F338" s="573">
        <v>37426</v>
      </c>
      <c r="G338" s="573">
        <v>37454</v>
      </c>
      <c r="H338" s="325" t="s">
        <v>430</v>
      </c>
      <c r="I338" s="325" t="s">
        <v>487</v>
      </c>
      <c r="J338" s="325" t="s">
        <v>488</v>
      </c>
      <c r="K338" s="325"/>
      <c r="L338" s="325"/>
      <c r="M338" s="325"/>
      <c r="N338" s="184"/>
      <c r="O338" s="326"/>
      <c r="P338" s="184"/>
      <c r="Q338" s="184"/>
      <c r="R338" s="184"/>
      <c r="S338" s="184"/>
      <c r="T338" s="184"/>
      <c r="U338" s="184"/>
      <c r="V338" s="184"/>
    </row>
    <row r="339" spans="1:29" ht="25.5" customHeight="1" x14ac:dyDescent="0.25">
      <c r="A339" s="324">
        <v>216</v>
      </c>
      <c r="B339" s="324"/>
      <c r="C339" s="324"/>
      <c r="D339" s="324" t="s">
        <v>309</v>
      </c>
      <c r="E339" s="578" t="s">
        <v>260</v>
      </c>
      <c r="F339" s="572">
        <v>37426</v>
      </c>
      <c r="G339" s="572">
        <v>37484</v>
      </c>
      <c r="H339" s="324" t="s">
        <v>614</v>
      </c>
      <c r="I339" s="324" t="s">
        <v>250</v>
      </c>
      <c r="J339" s="324" t="s">
        <v>488</v>
      </c>
      <c r="K339" s="324"/>
      <c r="L339" s="324"/>
      <c r="M339" s="324"/>
      <c r="N339" s="184"/>
      <c r="O339" s="184"/>
      <c r="P339" s="184"/>
      <c r="Q339" s="184"/>
      <c r="R339" s="184"/>
      <c r="S339" s="184"/>
      <c r="T339" s="184"/>
      <c r="U339" s="184"/>
      <c r="V339" s="184"/>
      <c r="W339" s="184"/>
      <c r="X339" s="184"/>
      <c r="Y339" s="184"/>
      <c r="Z339" s="184"/>
      <c r="AA339" s="184"/>
      <c r="AB339" s="184"/>
      <c r="AC339" s="184"/>
    </row>
    <row r="340" spans="1:29" ht="25.5" customHeight="1" x14ac:dyDescent="0.25">
      <c r="A340" s="184">
        <v>8</v>
      </c>
      <c r="B340" s="184"/>
      <c r="C340" s="184"/>
      <c r="D340" s="325" t="s">
        <v>309</v>
      </c>
      <c r="E340" s="579" t="s">
        <v>260</v>
      </c>
      <c r="F340" s="321">
        <v>37426</v>
      </c>
      <c r="G340" s="321">
        <v>37484</v>
      </c>
      <c r="H340" s="184" t="s">
        <v>753</v>
      </c>
      <c r="I340" s="184" t="s">
        <v>487</v>
      </c>
      <c r="J340" s="184" t="s">
        <v>488</v>
      </c>
      <c r="K340" s="184"/>
      <c r="L340" s="184">
        <v>36</v>
      </c>
      <c r="M340" s="184">
        <v>160</v>
      </c>
      <c r="N340" s="184"/>
      <c r="O340" s="326">
        <v>38522</v>
      </c>
      <c r="P340" s="184"/>
      <c r="Q340" s="184">
        <v>0.125</v>
      </c>
      <c r="R340" s="184"/>
      <c r="S340" s="184" t="s">
        <v>243</v>
      </c>
      <c r="T340" s="184"/>
      <c r="U340" s="184"/>
      <c r="V340" s="322"/>
    </row>
    <row r="341" spans="1:29" ht="25.5" customHeight="1" x14ac:dyDescent="0.25">
      <c r="A341" s="184">
        <v>7</v>
      </c>
      <c r="B341" s="184"/>
      <c r="C341" s="184"/>
      <c r="D341" s="184" t="s">
        <v>238</v>
      </c>
      <c r="E341" s="579" t="s">
        <v>260</v>
      </c>
      <c r="F341" s="321">
        <v>37426</v>
      </c>
      <c r="G341" s="321">
        <v>37484</v>
      </c>
      <c r="H341" s="184" t="s">
        <v>261</v>
      </c>
      <c r="I341" s="184" t="s">
        <v>256</v>
      </c>
      <c r="J341" s="184" t="s">
        <v>242</v>
      </c>
      <c r="K341" s="184"/>
      <c r="L341" s="184">
        <v>36</v>
      </c>
      <c r="M341" s="184">
        <v>160</v>
      </c>
      <c r="N341" s="184"/>
      <c r="O341" s="321">
        <v>38522</v>
      </c>
      <c r="P341" s="184"/>
      <c r="Q341" s="184">
        <v>0.125</v>
      </c>
      <c r="R341" s="184"/>
      <c r="S341" s="184" t="s">
        <v>243</v>
      </c>
      <c r="T341" s="184"/>
      <c r="U341" s="184"/>
      <c r="V341" s="322"/>
      <c r="W341" s="248"/>
      <c r="X341" s="248"/>
      <c r="Y341" s="248"/>
      <c r="Z341" s="248"/>
      <c r="AA341" s="248"/>
      <c r="AB341" s="248"/>
      <c r="AC341" s="248"/>
    </row>
    <row r="342" spans="1:29" ht="25.5" customHeight="1" x14ac:dyDescent="0.25">
      <c r="A342" s="324">
        <v>207</v>
      </c>
      <c r="B342" s="324"/>
      <c r="C342" s="324"/>
      <c r="D342" s="324" t="s">
        <v>309</v>
      </c>
      <c r="E342" s="578" t="s">
        <v>246</v>
      </c>
      <c r="F342" s="572">
        <v>37354</v>
      </c>
      <c r="G342" s="572">
        <v>37503</v>
      </c>
      <c r="H342" s="324" t="s">
        <v>427</v>
      </c>
      <c r="I342" s="324" t="s">
        <v>586</v>
      </c>
      <c r="J342" s="324" t="s">
        <v>488</v>
      </c>
      <c r="K342" s="324"/>
      <c r="L342" s="324"/>
      <c r="M342" s="324"/>
      <c r="N342" s="184"/>
      <c r="O342" s="184"/>
      <c r="P342" s="184"/>
      <c r="Q342" s="184"/>
      <c r="R342" s="184"/>
      <c r="S342" s="184"/>
      <c r="T342" s="184"/>
      <c r="U342" s="184"/>
      <c r="V342" s="184"/>
      <c r="W342" s="184"/>
      <c r="X342" s="184"/>
      <c r="Y342" s="184"/>
      <c r="Z342" s="184"/>
      <c r="AA342" s="184"/>
      <c r="AB342" s="184"/>
      <c r="AC342" s="184"/>
    </row>
    <row r="343" spans="1:29" ht="25.5" customHeight="1" x14ac:dyDescent="0.25">
      <c r="A343" s="184">
        <v>3</v>
      </c>
      <c r="B343" s="184"/>
      <c r="C343" s="184"/>
      <c r="D343" s="325" t="s">
        <v>309</v>
      </c>
      <c r="E343" s="579" t="s">
        <v>246</v>
      </c>
      <c r="F343" s="321">
        <v>37354</v>
      </c>
      <c r="G343" s="321">
        <v>37503</v>
      </c>
      <c r="H343" s="184" t="s">
        <v>247</v>
      </c>
      <c r="I343" s="184" t="s">
        <v>749</v>
      </c>
      <c r="J343" s="184" t="s">
        <v>488</v>
      </c>
      <c r="K343" s="184"/>
      <c r="L343" s="184">
        <v>36</v>
      </c>
      <c r="M343" s="184">
        <v>160</v>
      </c>
      <c r="N343" s="184"/>
      <c r="O343" s="326">
        <v>38450</v>
      </c>
      <c r="P343" s="184"/>
      <c r="Q343" s="184">
        <v>0.125</v>
      </c>
      <c r="R343" s="184"/>
      <c r="S343" s="184" t="s">
        <v>243</v>
      </c>
      <c r="T343" s="184"/>
      <c r="U343" s="184"/>
      <c r="V343" s="322"/>
    </row>
    <row r="344" spans="1:29" ht="25.5" customHeight="1" x14ac:dyDescent="0.25">
      <c r="A344" s="184">
        <v>8</v>
      </c>
      <c r="B344" s="184"/>
      <c r="C344" s="184"/>
      <c r="D344" s="184" t="s">
        <v>238</v>
      </c>
      <c r="E344" s="579" t="s">
        <v>246</v>
      </c>
      <c r="F344" s="321">
        <v>37354</v>
      </c>
      <c r="G344" s="321">
        <v>37503</v>
      </c>
      <c r="H344" s="184" t="s">
        <v>247</v>
      </c>
      <c r="I344" s="184" t="s">
        <v>241</v>
      </c>
      <c r="J344" s="184" t="s">
        <v>242</v>
      </c>
      <c r="K344" s="184"/>
      <c r="L344" s="184">
        <v>36</v>
      </c>
      <c r="M344" s="184">
        <v>160</v>
      </c>
      <c r="N344" s="184"/>
      <c r="O344" s="321">
        <v>38450</v>
      </c>
      <c r="P344" s="184"/>
      <c r="Q344" s="184">
        <v>0.125</v>
      </c>
      <c r="R344" s="184"/>
      <c r="S344" s="184" t="s">
        <v>243</v>
      </c>
      <c r="T344" s="184"/>
      <c r="U344" s="184"/>
      <c r="V344" s="322"/>
      <c r="W344" s="248"/>
      <c r="X344" s="248"/>
      <c r="Y344" s="248"/>
      <c r="Z344" s="248"/>
      <c r="AA344" s="248"/>
      <c r="AB344" s="248"/>
      <c r="AC344" s="248"/>
    </row>
    <row r="345" spans="1:29" ht="25.5" customHeight="1" x14ac:dyDescent="0.25">
      <c r="A345" s="324">
        <v>223</v>
      </c>
      <c r="B345" s="324"/>
      <c r="C345" s="324"/>
      <c r="D345" s="324" t="s">
        <v>309</v>
      </c>
      <c r="E345" s="578" t="s">
        <v>262</v>
      </c>
      <c r="F345" s="572">
        <v>37496</v>
      </c>
      <c r="G345" s="572">
        <v>37525</v>
      </c>
      <c r="H345" s="324" t="s">
        <v>263</v>
      </c>
      <c r="I345" s="324" t="s">
        <v>250</v>
      </c>
      <c r="J345" s="324" t="s">
        <v>488</v>
      </c>
      <c r="K345" s="324"/>
      <c r="L345" s="324"/>
      <c r="M345" s="324"/>
      <c r="N345" s="184"/>
      <c r="O345" s="184"/>
      <c r="P345" s="184"/>
      <c r="Q345" s="184"/>
      <c r="R345" s="184"/>
      <c r="S345" s="184"/>
      <c r="T345" s="184"/>
      <c r="U345" s="184"/>
      <c r="V345" s="184"/>
      <c r="W345" s="184"/>
      <c r="X345" s="184"/>
      <c r="Y345" s="184"/>
      <c r="Z345" s="184"/>
      <c r="AA345" s="184"/>
      <c r="AB345" s="184"/>
      <c r="AC345" s="184"/>
    </row>
    <row r="346" spans="1:29" ht="25.5" customHeight="1" x14ac:dyDescent="0.25">
      <c r="A346" s="184">
        <v>9</v>
      </c>
      <c r="B346" s="184"/>
      <c r="C346" s="184"/>
      <c r="D346" s="325" t="s">
        <v>309</v>
      </c>
      <c r="E346" s="579" t="s">
        <v>262</v>
      </c>
      <c r="F346" s="321">
        <v>37496</v>
      </c>
      <c r="G346" s="321">
        <v>37525</v>
      </c>
      <c r="H346" s="184" t="s">
        <v>263</v>
      </c>
      <c r="I346" s="184" t="s">
        <v>487</v>
      </c>
      <c r="J346" s="184" t="s">
        <v>488</v>
      </c>
      <c r="K346" s="184"/>
      <c r="L346" s="184">
        <v>36</v>
      </c>
      <c r="M346" s="184">
        <v>160</v>
      </c>
      <c r="N346" s="184"/>
      <c r="O346" s="326">
        <v>38592</v>
      </c>
      <c r="P346" s="184"/>
      <c r="Q346" s="184">
        <v>0.1875</v>
      </c>
      <c r="R346" s="184"/>
      <c r="S346" s="184" t="s">
        <v>243</v>
      </c>
      <c r="T346" s="184"/>
      <c r="U346" s="184"/>
      <c r="V346" s="322"/>
    </row>
    <row r="347" spans="1:29" ht="25.5" customHeight="1" x14ac:dyDescent="0.25">
      <c r="A347" s="324">
        <v>222</v>
      </c>
      <c r="B347" s="324"/>
      <c r="C347" s="324"/>
      <c r="D347" s="324" t="s">
        <v>615</v>
      </c>
      <c r="E347" s="578" t="s">
        <v>2882</v>
      </c>
      <c r="F347" s="572">
        <v>37490</v>
      </c>
      <c r="G347" s="572">
        <v>37525</v>
      </c>
      <c r="H347" s="324" t="s">
        <v>626</v>
      </c>
      <c r="I347" s="324" t="s">
        <v>250</v>
      </c>
      <c r="J347" s="324" t="s">
        <v>488</v>
      </c>
      <c r="K347" s="324"/>
      <c r="L347" s="324"/>
      <c r="M347" s="324"/>
      <c r="N347" s="184"/>
      <c r="O347" s="184"/>
      <c r="P347" s="184"/>
      <c r="Q347" s="184"/>
      <c r="R347" s="184"/>
      <c r="S347" s="184"/>
      <c r="T347" s="184"/>
      <c r="U347" s="184"/>
      <c r="V347" s="184"/>
      <c r="W347" s="184"/>
      <c r="X347" s="184"/>
      <c r="Y347" s="184"/>
      <c r="Z347" s="184"/>
      <c r="AA347" s="184"/>
      <c r="AB347" s="184"/>
      <c r="AC347" s="184"/>
    </row>
    <row r="348" spans="1:29" ht="25.5" customHeight="1" x14ac:dyDescent="0.25">
      <c r="A348" s="325">
        <v>241</v>
      </c>
      <c r="B348" s="325"/>
      <c r="C348" s="325"/>
      <c r="D348" s="325" t="s">
        <v>615</v>
      </c>
      <c r="E348" s="577" t="s">
        <v>2882</v>
      </c>
      <c r="F348" s="573">
        <v>37490</v>
      </c>
      <c r="G348" s="573">
        <v>37525</v>
      </c>
      <c r="H348" s="325" t="s">
        <v>626</v>
      </c>
      <c r="I348" s="325" t="s">
        <v>487</v>
      </c>
      <c r="J348" s="325" t="s">
        <v>488</v>
      </c>
      <c r="K348" s="325"/>
      <c r="L348" s="325"/>
      <c r="M348" s="325"/>
      <c r="N348" s="184"/>
      <c r="O348" s="326"/>
      <c r="P348" s="184"/>
      <c r="Q348" s="184"/>
      <c r="R348" s="184"/>
      <c r="S348" s="184"/>
      <c r="T348" s="184"/>
      <c r="U348" s="184"/>
      <c r="V348" s="184"/>
    </row>
    <row r="349" spans="1:29" ht="25.5" customHeight="1" x14ac:dyDescent="0.25">
      <c r="A349" s="324">
        <v>219</v>
      </c>
      <c r="B349" s="324"/>
      <c r="C349" s="324"/>
      <c r="D349" s="324" t="s">
        <v>615</v>
      </c>
      <c r="E349" s="578" t="s">
        <v>2884</v>
      </c>
      <c r="F349" s="572">
        <v>37459</v>
      </c>
      <c r="G349" s="572">
        <v>37525</v>
      </c>
      <c r="H349" s="324" t="s">
        <v>620</v>
      </c>
      <c r="I349" s="324" t="s">
        <v>250</v>
      </c>
      <c r="J349" s="324" t="s">
        <v>488</v>
      </c>
      <c r="K349" s="324"/>
      <c r="L349" s="324"/>
      <c r="M349" s="324"/>
      <c r="N349" s="184"/>
      <c r="O349" s="184"/>
      <c r="P349" s="184"/>
      <c r="Q349" s="184"/>
      <c r="R349" s="184"/>
      <c r="S349" s="184"/>
      <c r="T349" s="184"/>
      <c r="U349" s="184"/>
      <c r="V349" s="184"/>
      <c r="W349" s="184"/>
      <c r="X349" s="184"/>
      <c r="Y349" s="184"/>
      <c r="Z349" s="184"/>
      <c r="AA349" s="184"/>
      <c r="AB349" s="184"/>
      <c r="AC349" s="184"/>
    </row>
    <row r="350" spans="1:29" ht="25.5" customHeight="1" x14ac:dyDescent="0.25">
      <c r="A350" s="325">
        <v>238</v>
      </c>
      <c r="B350" s="325"/>
      <c r="C350" s="325"/>
      <c r="D350" s="325" t="s">
        <v>615</v>
      </c>
      <c r="E350" s="577" t="s">
        <v>2884</v>
      </c>
      <c r="F350" s="573">
        <v>37459</v>
      </c>
      <c r="G350" s="573">
        <v>37525</v>
      </c>
      <c r="H350" s="325" t="s">
        <v>620</v>
      </c>
      <c r="I350" s="325" t="s">
        <v>487</v>
      </c>
      <c r="J350" s="325" t="s">
        <v>488</v>
      </c>
      <c r="K350" s="325"/>
      <c r="L350" s="325"/>
      <c r="M350" s="325"/>
      <c r="N350" s="184"/>
      <c r="O350" s="326"/>
      <c r="P350" s="184"/>
      <c r="Q350" s="184"/>
      <c r="R350" s="184"/>
      <c r="S350" s="184"/>
      <c r="T350" s="184"/>
      <c r="U350" s="184"/>
      <c r="V350" s="184"/>
    </row>
    <row r="351" spans="1:29" ht="25.5" customHeight="1" x14ac:dyDescent="0.25">
      <c r="A351" s="324">
        <v>218</v>
      </c>
      <c r="B351" s="324"/>
      <c r="C351" s="324"/>
      <c r="D351" s="324" t="s">
        <v>615</v>
      </c>
      <c r="E351" s="578" t="s">
        <v>2886</v>
      </c>
      <c r="F351" s="572">
        <v>37455</v>
      </c>
      <c r="G351" s="572">
        <v>37525</v>
      </c>
      <c r="H351" s="324" t="s">
        <v>618</v>
      </c>
      <c r="I351" s="324" t="s">
        <v>250</v>
      </c>
      <c r="J351" s="324" t="s">
        <v>488</v>
      </c>
      <c r="K351" s="324"/>
      <c r="L351" s="324"/>
      <c r="M351" s="324"/>
      <c r="N351" s="184"/>
      <c r="O351" s="184"/>
      <c r="P351" s="184"/>
      <c r="Q351" s="184"/>
      <c r="R351" s="184"/>
      <c r="S351" s="184"/>
      <c r="T351" s="184"/>
      <c r="U351" s="184"/>
      <c r="V351" s="184"/>
      <c r="W351" s="184"/>
      <c r="X351" s="184"/>
      <c r="Y351" s="184"/>
      <c r="Z351" s="184"/>
      <c r="AA351" s="184"/>
      <c r="AB351" s="184"/>
      <c r="AC351" s="184"/>
    </row>
    <row r="352" spans="1:29" ht="25.5" customHeight="1" x14ac:dyDescent="0.25">
      <c r="A352" s="325">
        <v>237</v>
      </c>
      <c r="B352" s="325"/>
      <c r="C352" s="325"/>
      <c r="D352" s="325" t="s">
        <v>615</v>
      </c>
      <c r="E352" s="577" t="s">
        <v>2886</v>
      </c>
      <c r="F352" s="573">
        <v>37455</v>
      </c>
      <c r="G352" s="573">
        <v>37525</v>
      </c>
      <c r="H352" s="325" t="s">
        <v>939</v>
      </c>
      <c r="I352" s="325" t="s">
        <v>487</v>
      </c>
      <c r="J352" s="325" t="s">
        <v>488</v>
      </c>
      <c r="K352" s="325"/>
      <c r="L352" s="325"/>
      <c r="M352" s="325"/>
      <c r="N352" s="184"/>
      <c r="O352" s="326"/>
      <c r="P352" s="184"/>
      <c r="Q352" s="184"/>
      <c r="R352" s="184"/>
      <c r="S352" s="184"/>
      <c r="T352" s="184"/>
      <c r="U352" s="184"/>
      <c r="V352" s="184"/>
    </row>
    <row r="353" spans="1:29" ht="25.5" customHeight="1" x14ac:dyDescent="0.25">
      <c r="A353" s="324">
        <v>217</v>
      </c>
      <c r="B353" s="324"/>
      <c r="C353" s="324"/>
      <c r="D353" s="324" t="s">
        <v>615</v>
      </c>
      <c r="E353" s="578" t="s">
        <v>2889</v>
      </c>
      <c r="F353" s="572">
        <v>37453</v>
      </c>
      <c r="G353" s="572">
        <v>37525</v>
      </c>
      <c r="H353" s="324" t="s">
        <v>278</v>
      </c>
      <c r="I353" s="324" t="s">
        <v>250</v>
      </c>
      <c r="J353" s="324" t="s">
        <v>488</v>
      </c>
      <c r="K353" s="324"/>
      <c r="L353" s="324"/>
      <c r="M353" s="324"/>
      <c r="N353" s="184"/>
      <c r="O353" s="184"/>
      <c r="P353" s="184"/>
      <c r="Q353" s="184"/>
      <c r="R353" s="184"/>
      <c r="S353" s="184"/>
      <c r="T353" s="184"/>
      <c r="U353" s="184"/>
      <c r="V353" s="184"/>
      <c r="W353" s="184"/>
      <c r="X353" s="184"/>
      <c r="Y353" s="184"/>
      <c r="Z353" s="184"/>
      <c r="AA353" s="184"/>
      <c r="AB353" s="184"/>
      <c r="AC353" s="184"/>
    </row>
    <row r="354" spans="1:29" ht="25.5" customHeight="1" x14ac:dyDescent="0.25">
      <c r="A354" s="325">
        <v>236</v>
      </c>
      <c r="B354" s="325"/>
      <c r="C354" s="325"/>
      <c r="D354" s="325" t="s">
        <v>615</v>
      </c>
      <c r="E354" s="577" t="s">
        <v>2889</v>
      </c>
      <c r="F354" s="573">
        <v>37453</v>
      </c>
      <c r="G354" s="573">
        <v>37525</v>
      </c>
      <c r="H354" s="325" t="s">
        <v>278</v>
      </c>
      <c r="I354" s="325" t="s">
        <v>487</v>
      </c>
      <c r="J354" s="325" t="s">
        <v>488</v>
      </c>
      <c r="K354" s="325"/>
      <c r="L354" s="325"/>
      <c r="M354" s="325"/>
      <c r="N354" s="184"/>
      <c r="O354" s="326"/>
      <c r="P354" s="184"/>
      <c r="Q354" s="184"/>
      <c r="R354" s="184"/>
      <c r="S354" s="184"/>
      <c r="T354" s="184"/>
      <c r="U354" s="184"/>
      <c r="V354" s="184"/>
    </row>
    <row r="355" spans="1:29" ht="25.5" customHeight="1" x14ac:dyDescent="0.25">
      <c r="A355" s="324">
        <v>220</v>
      </c>
      <c r="B355" s="324"/>
      <c r="C355" s="324"/>
      <c r="D355" s="324" t="s">
        <v>615</v>
      </c>
      <c r="E355" s="578" t="s">
        <v>2891</v>
      </c>
      <c r="F355" s="572">
        <v>37461</v>
      </c>
      <c r="G355" s="572">
        <v>37525</v>
      </c>
      <c r="H355" s="324" t="s">
        <v>622</v>
      </c>
      <c r="I355" s="324" t="s">
        <v>250</v>
      </c>
      <c r="J355" s="324" t="s">
        <v>488</v>
      </c>
      <c r="K355" s="324"/>
      <c r="L355" s="324"/>
      <c r="M355" s="324"/>
      <c r="N355" s="184"/>
      <c r="O355" s="184"/>
      <c r="P355" s="184"/>
      <c r="Q355" s="184"/>
      <c r="R355" s="184"/>
      <c r="S355" s="184"/>
      <c r="T355" s="184"/>
      <c r="U355" s="184"/>
      <c r="V355" s="184"/>
      <c r="W355" s="184"/>
      <c r="X355" s="184"/>
      <c r="Y355" s="184"/>
      <c r="Z355" s="184"/>
      <c r="AA355" s="184"/>
      <c r="AB355" s="184"/>
      <c r="AC355" s="184"/>
    </row>
    <row r="356" spans="1:29" ht="25.5" customHeight="1" x14ac:dyDescent="0.25">
      <c r="A356" s="325">
        <v>239</v>
      </c>
      <c r="B356" s="325"/>
      <c r="C356" s="325"/>
      <c r="D356" s="325" t="s">
        <v>615</v>
      </c>
      <c r="E356" s="577" t="s">
        <v>2891</v>
      </c>
      <c r="F356" s="573">
        <v>37461</v>
      </c>
      <c r="G356" s="573">
        <v>37525</v>
      </c>
      <c r="H356" s="325" t="s">
        <v>622</v>
      </c>
      <c r="I356" s="325" t="s">
        <v>487</v>
      </c>
      <c r="J356" s="325" t="s">
        <v>488</v>
      </c>
      <c r="K356" s="325"/>
      <c r="L356" s="325"/>
      <c r="M356" s="325"/>
      <c r="N356" s="184"/>
      <c r="O356" s="326"/>
      <c r="P356" s="184"/>
      <c r="Q356" s="184"/>
      <c r="R356" s="184"/>
      <c r="S356" s="184"/>
      <c r="T356" s="184"/>
      <c r="U356" s="184"/>
      <c r="V356" s="184"/>
    </row>
    <row r="357" spans="1:29" ht="25.5" customHeight="1" x14ac:dyDescent="0.25">
      <c r="A357" s="324">
        <v>221</v>
      </c>
      <c r="B357" s="324"/>
      <c r="C357" s="324"/>
      <c r="D357" s="324" t="s">
        <v>615</v>
      </c>
      <c r="E357" s="578" t="s">
        <v>2893</v>
      </c>
      <c r="F357" s="572">
        <v>37480</v>
      </c>
      <c r="G357" s="572">
        <v>37525</v>
      </c>
      <c r="H357" s="324" t="s">
        <v>624</v>
      </c>
      <c r="I357" s="324" t="s">
        <v>250</v>
      </c>
      <c r="J357" s="324" t="s">
        <v>488</v>
      </c>
      <c r="K357" s="324"/>
      <c r="L357" s="324"/>
      <c r="M357" s="324"/>
      <c r="N357" s="184"/>
      <c r="O357" s="184"/>
      <c r="P357" s="184"/>
      <c r="Q357" s="184"/>
      <c r="R357" s="184"/>
      <c r="S357" s="184"/>
      <c r="T357" s="184"/>
      <c r="U357" s="184"/>
      <c r="V357" s="184"/>
      <c r="W357" s="184"/>
      <c r="X357" s="184"/>
      <c r="Y357" s="184"/>
      <c r="Z357" s="184"/>
      <c r="AA357" s="184"/>
      <c r="AB357" s="184"/>
      <c r="AC357" s="184"/>
    </row>
    <row r="358" spans="1:29" ht="25.5" customHeight="1" x14ac:dyDescent="0.25">
      <c r="A358" s="325">
        <v>240</v>
      </c>
      <c r="B358" s="325"/>
      <c r="C358" s="325"/>
      <c r="D358" s="325" t="s">
        <v>615</v>
      </c>
      <c r="E358" s="577" t="s">
        <v>2893</v>
      </c>
      <c r="F358" s="573">
        <v>37480</v>
      </c>
      <c r="G358" s="573">
        <v>37525</v>
      </c>
      <c r="H358" s="325" t="s">
        <v>624</v>
      </c>
      <c r="I358" s="325" t="s">
        <v>487</v>
      </c>
      <c r="J358" s="325" t="s">
        <v>488</v>
      </c>
      <c r="K358" s="325"/>
      <c r="L358" s="325"/>
      <c r="M358" s="325"/>
      <c r="N358" s="184"/>
      <c r="O358" s="326"/>
      <c r="P358" s="184"/>
      <c r="Q358" s="184"/>
      <c r="R358" s="184"/>
      <c r="S358" s="184"/>
      <c r="T358" s="184"/>
      <c r="U358" s="184"/>
      <c r="V358" s="184"/>
    </row>
    <row r="359" spans="1:29" ht="25.5" customHeight="1" x14ac:dyDescent="0.25">
      <c r="A359" s="184">
        <v>9</v>
      </c>
      <c r="B359" s="184"/>
      <c r="C359" s="184"/>
      <c r="D359" s="184" t="s">
        <v>238</v>
      </c>
      <c r="E359" s="579" t="s">
        <v>262</v>
      </c>
      <c r="F359" s="321">
        <v>37496</v>
      </c>
      <c r="G359" s="321">
        <v>37525</v>
      </c>
      <c r="H359" s="184" t="s">
        <v>263</v>
      </c>
      <c r="I359" s="184" t="s">
        <v>256</v>
      </c>
      <c r="J359" s="184" t="s">
        <v>242</v>
      </c>
      <c r="K359" s="184"/>
      <c r="L359" s="184">
        <v>36</v>
      </c>
      <c r="M359" s="184">
        <v>160</v>
      </c>
      <c r="N359" s="184"/>
      <c r="O359" s="321">
        <v>38592</v>
      </c>
      <c r="P359" s="184"/>
      <c r="Q359" s="184">
        <v>0.1875</v>
      </c>
      <c r="R359" s="184"/>
      <c r="S359" s="184" t="s">
        <v>243</v>
      </c>
      <c r="T359" s="184"/>
      <c r="U359" s="184"/>
      <c r="V359" s="322"/>
      <c r="W359" s="248"/>
      <c r="X359" s="248"/>
      <c r="Y359" s="248"/>
      <c r="Z359" s="248"/>
      <c r="AA359" s="248"/>
      <c r="AB359" s="248"/>
      <c r="AC359" s="248"/>
    </row>
    <row r="360" spans="1:29" ht="25.5" customHeight="1" x14ac:dyDescent="0.25">
      <c r="A360" s="324">
        <v>228</v>
      </c>
      <c r="B360" s="324"/>
      <c r="C360" s="324"/>
      <c r="D360" s="324" t="s">
        <v>309</v>
      </c>
      <c r="E360" s="578" t="s">
        <v>2946</v>
      </c>
      <c r="F360" s="572">
        <v>38001</v>
      </c>
      <c r="G360" s="572">
        <v>38020</v>
      </c>
      <c r="H360" s="324" t="s">
        <v>392</v>
      </c>
      <c r="I360" s="324" t="s">
        <v>266</v>
      </c>
      <c r="J360" s="324" t="s">
        <v>488</v>
      </c>
      <c r="K360" s="324"/>
      <c r="L360" s="324"/>
      <c r="M360" s="324"/>
      <c r="N360" s="184"/>
      <c r="O360" s="184"/>
      <c r="P360" s="184"/>
      <c r="Q360" s="184"/>
      <c r="R360" s="184"/>
      <c r="S360" s="184"/>
      <c r="T360" s="184"/>
      <c r="U360" s="184"/>
      <c r="V360" s="184"/>
      <c r="W360" s="184"/>
      <c r="X360" s="184"/>
      <c r="Y360" s="184"/>
      <c r="Z360" s="184"/>
      <c r="AA360" s="184"/>
      <c r="AB360" s="184"/>
      <c r="AC360" s="184"/>
    </row>
    <row r="361" spans="1:29" ht="25.5" customHeight="1" x14ac:dyDescent="0.25">
      <c r="A361" s="325">
        <v>245</v>
      </c>
      <c r="B361" s="325"/>
      <c r="C361" s="325"/>
      <c r="D361" s="325" t="s">
        <v>309</v>
      </c>
      <c r="E361" s="577" t="s">
        <v>2946</v>
      </c>
      <c r="F361" s="573">
        <v>38001</v>
      </c>
      <c r="G361" s="573">
        <v>38020</v>
      </c>
      <c r="H361" s="325" t="s">
        <v>392</v>
      </c>
      <c r="I361" s="325" t="s">
        <v>266</v>
      </c>
      <c r="J361" s="325" t="s">
        <v>488</v>
      </c>
      <c r="K361" s="325"/>
      <c r="L361" s="325"/>
      <c r="M361" s="325"/>
      <c r="N361" s="184"/>
      <c r="O361" s="326"/>
      <c r="P361" s="184"/>
      <c r="Q361" s="184"/>
      <c r="R361" s="184"/>
      <c r="S361" s="184"/>
      <c r="T361" s="184"/>
      <c r="U361" s="184"/>
      <c r="V361" s="184"/>
    </row>
    <row r="362" spans="1:29" ht="25.5" customHeight="1" x14ac:dyDescent="0.25">
      <c r="A362" s="324">
        <v>229</v>
      </c>
      <c r="B362" s="324"/>
      <c r="C362" s="324"/>
      <c r="D362" s="324" t="s">
        <v>309</v>
      </c>
      <c r="E362" s="578" t="s">
        <v>2948</v>
      </c>
      <c r="F362" s="572">
        <v>38001</v>
      </c>
      <c r="G362" s="572">
        <v>38020</v>
      </c>
      <c r="H362" s="324" t="s">
        <v>577</v>
      </c>
      <c r="I362" s="324" t="s">
        <v>266</v>
      </c>
      <c r="J362" s="324" t="s">
        <v>488</v>
      </c>
      <c r="K362" s="324"/>
      <c r="L362" s="324"/>
      <c r="M362" s="324"/>
      <c r="N362" s="184"/>
      <c r="O362" s="184"/>
      <c r="P362" s="184"/>
      <c r="Q362" s="184"/>
      <c r="R362" s="184"/>
      <c r="S362" s="184"/>
      <c r="T362" s="184"/>
      <c r="U362" s="184"/>
      <c r="V362" s="184"/>
      <c r="W362" s="184"/>
      <c r="X362" s="184"/>
      <c r="Y362" s="184"/>
      <c r="Z362" s="184"/>
      <c r="AA362" s="184"/>
      <c r="AB362" s="184"/>
      <c r="AC362" s="184"/>
    </row>
    <row r="363" spans="1:29" ht="25.5" customHeight="1" x14ac:dyDescent="0.25">
      <c r="A363" s="325">
        <v>246</v>
      </c>
      <c r="B363" s="325"/>
      <c r="C363" s="325"/>
      <c r="D363" s="325" t="s">
        <v>309</v>
      </c>
      <c r="E363" s="577" t="s">
        <v>2948</v>
      </c>
      <c r="F363" s="573">
        <v>38001</v>
      </c>
      <c r="G363" s="573">
        <v>38020</v>
      </c>
      <c r="H363" s="325" t="s">
        <v>577</v>
      </c>
      <c r="I363" s="325" t="s">
        <v>266</v>
      </c>
      <c r="J363" s="325" t="s">
        <v>488</v>
      </c>
      <c r="K363" s="325"/>
      <c r="L363" s="325"/>
      <c r="M363" s="325"/>
      <c r="N363" s="184"/>
      <c r="O363" s="326"/>
      <c r="P363" s="184"/>
      <c r="Q363" s="184"/>
      <c r="R363" s="184"/>
      <c r="S363" s="184"/>
      <c r="T363" s="184"/>
      <c r="U363" s="184"/>
      <c r="V363" s="184"/>
    </row>
    <row r="364" spans="1:29" ht="25.5" customHeight="1" x14ac:dyDescent="0.25">
      <c r="A364" s="324">
        <v>236</v>
      </c>
      <c r="B364" s="324"/>
      <c r="C364" s="324"/>
      <c r="D364" s="324" t="s">
        <v>309</v>
      </c>
      <c r="E364" s="578" t="s">
        <v>2950</v>
      </c>
      <c r="F364" s="572">
        <v>38007</v>
      </c>
      <c r="G364" s="572">
        <v>38020</v>
      </c>
      <c r="H364" s="324" t="s">
        <v>446</v>
      </c>
      <c r="I364" s="324" t="s">
        <v>266</v>
      </c>
      <c r="J364" s="324" t="s">
        <v>643</v>
      </c>
      <c r="K364" s="324"/>
      <c r="L364" s="324"/>
      <c r="M364" s="324"/>
      <c r="N364" s="184"/>
      <c r="O364" s="184"/>
      <c r="P364" s="184"/>
      <c r="Q364" s="184"/>
      <c r="R364" s="184"/>
      <c r="S364" s="184"/>
      <c r="T364" s="184"/>
      <c r="U364" s="184"/>
      <c r="V364" s="184"/>
      <c r="W364" s="184"/>
      <c r="X364" s="184"/>
      <c r="Y364" s="184"/>
      <c r="Z364" s="184"/>
      <c r="AA364" s="184"/>
      <c r="AB364" s="184"/>
      <c r="AC364" s="184"/>
    </row>
    <row r="365" spans="1:29" ht="38.25" customHeight="1" x14ac:dyDescent="0.25">
      <c r="A365" s="325">
        <v>252</v>
      </c>
      <c r="B365" s="325"/>
      <c r="C365" s="325"/>
      <c r="D365" s="325" t="s">
        <v>309</v>
      </c>
      <c r="E365" s="577" t="s">
        <v>2950</v>
      </c>
      <c r="F365" s="573">
        <v>38007</v>
      </c>
      <c r="G365" s="573">
        <v>38020</v>
      </c>
      <c r="H365" s="325" t="s">
        <v>446</v>
      </c>
      <c r="I365" s="325" t="s">
        <v>266</v>
      </c>
      <c r="J365" s="325" t="s">
        <v>643</v>
      </c>
      <c r="K365" s="325"/>
      <c r="L365" s="325"/>
      <c r="M365" s="325"/>
      <c r="N365" s="184"/>
      <c r="O365" s="326"/>
      <c r="P365" s="184"/>
      <c r="Q365" s="184"/>
      <c r="R365" s="184"/>
      <c r="S365" s="184"/>
      <c r="T365" s="184"/>
      <c r="U365" s="184"/>
      <c r="V365" s="184"/>
    </row>
    <row r="366" spans="1:29" ht="25.5" customHeight="1" x14ac:dyDescent="0.25">
      <c r="A366" s="324">
        <v>230</v>
      </c>
      <c r="B366" s="324"/>
      <c r="C366" s="324"/>
      <c r="D366" s="324" t="s">
        <v>309</v>
      </c>
      <c r="E366" s="578" t="s">
        <v>2952</v>
      </c>
      <c r="F366" s="572">
        <v>38001</v>
      </c>
      <c r="G366" s="572">
        <v>38020</v>
      </c>
      <c r="H366" s="324" t="s">
        <v>571</v>
      </c>
      <c r="I366" s="324" t="s">
        <v>266</v>
      </c>
      <c r="J366" s="324" t="s">
        <v>488</v>
      </c>
      <c r="K366" s="324"/>
      <c r="L366" s="324"/>
      <c r="M366" s="324"/>
      <c r="N366" s="184"/>
      <c r="O366" s="184"/>
      <c r="P366" s="184"/>
      <c r="Q366" s="184"/>
      <c r="R366" s="184"/>
      <c r="S366" s="184"/>
      <c r="T366" s="184"/>
      <c r="U366" s="184"/>
      <c r="V366" s="184"/>
      <c r="W366" s="184"/>
      <c r="X366" s="184"/>
      <c r="Y366" s="184"/>
      <c r="Z366" s="184"/>
      <c r="AA366" s="184"/>
      <c r="AB366" s="184"/>
      <c r="AC366" s="184"/>
    </row>
    <row r="367" spans="1:29" ht="25.5" customHeight="1" x14ac:dyDescent="0.25">
      <c r="A367" s="325">
        <v>247</v>
      </c>
      <c r="B367" s="325"/>
      <c r="C367" s="325"/>
      <c r="D367" s="325" t="s">
        <v>309</v>
      </c>
      <c r="E367" s="577" t="s">
        <v>2952</v>
      </c>
      <c r="F367" s="573">
        <v>38001</v>
      </c>
      <c r="G367" s="573">
        <v>38020</v>
      </c>
      <c r="H367" s="325" t="s">
        <v>571</v>
      </c>
      <c r="I367" s="325" t="s">
        <v>266</v>
      </c>
      <c r="J367" s="325" t="s">
        <v>488</v>
      </c>
      <c r="K367" s="325"/>
      <c r="L367" s="325"/>
      <c r="M367" s="325"/>
      <c r="N367" s="184"/>
      <c r="O367" s="326"/>
      <c r="P367" s="184"/>
      <c r="Q367" s="184"/>
      <c r="R367" s="184"/>
      <c r="S367" s="184"/>
      <c r="T367" s="184"/>
      <c r="U367" s="184"/>
      <c r="V367" s="184"/>
    </row>
    <row r="368" spans="1:29" ht="25.5" customHeight="1" x14ac:dyDescent="0.25">
      <c r="A368" s="324">
        <v>240</v>
      </c>
      <c r="B368" s="324"/>
      <c r="C368" s="324"/>
      <c r="D368" s="324" t="s">
        <v>309</v>
      </c>
      <c r="E368" s="578" t="s">
        <v>271</v>
      </c>
      <c r="F368" s="572">
        <v>38025</v>
      </c>
      <c r="G368" s="572">
        <v>38027</v>
      </c>
      <c r="H368" s="324" t="s">
        <v>272</v>
      </c>
      <c r="I368" s="324" t="s">
        <v>266</v>
      </c>
      <c r="J368" s="324" t="s">
        <v>313</v>
      </c>
      <c r="K368" s="324"/>
      <c r="L368" s="324"/>
      <c r="M368" s="324"/>
      <c r="N368" s="184"/>
      <c r="O368" s="184"/>
      <c r="P368" s="184"/>
      <c r="Q368" s="184"/>
      <c r="R368" s="184"/>
      <c r="S368" s="184"/>
      <c r="T368" s="184"/>
      <c r="U368" s="184"/>
      <c r="V368" s="184"/>
      <c r="W368" s="184"/>
      <c r="X368" s="184"/>
      <c r="Y368" s="184"/>
      <c r="Z368" s="184"/>
      <c r="AA368" s="184"/>
      <c r="AB368" s="184"/>
      <c r="AC368" s="184"/>
    </row>
    <row r="369" spans="1:29" ht="25.5" customHeight="1" x14ac:dyDescent="0.25">
      <c r="A369" s="184">
        <v>13</v>
      </c>
      <c r="B369" s="184"/>
      <c r="C369" s="184"/>
      <c r="D369" s="325" t="s">
        <v>309</v>
      </c>
      <c r="E369" s="579" t="s">
        <v>271</v>
      </c>
      <c r="F369" s="321">
        <v>38025</v>
      </c>
      <c r="G369" s="321">
        <v>38027</v>
      </c>
      <c r="H369" s="184" t="s">
        <v>272</v>
      </c>
      <c r="I369" s="184" t="s">
        <v>266</v>
      </c>
      <c r="J369" s="184" t="s">
        <v>313</v>
      </c>
      <c r="K369" s="184"/>
      <c r="L369" s="184">
        <v>36</v>
      </c>
      <c r="M369" s="184">
        <v>92.135002</v>
      </c>
      <c r="N369" s="184"/>
      <c r="O369" s="326">
        <v>39121</v>
      </c>
      <c r="P369" s="184"/>
      <c r="Q369" s="184">
        <v>0.1875</v>
      </c>
      <c r="R369" s="184"/>
      <c r="S369" s="184" t="s">
        <v>243</v>
      </c>
      <c r="T369" s="184"/>
      <c r="U369" s="184"/>
      <c r="V369" s="322"/>
    </row>
    <row r="370" spans="1:29" ht="25.5" customHeight="1" x14ac:dyDescent="0.25">
      <c r="A370" s="324">
        <v>238</v>
      </c>
      <c r="B370" s="324"/>
      <c r="C370" s="324"/>
      <c r="D370" s="324" t="s">
        <v>309</v>
      </c>
      <c r="E370" s="578" t="s">
        <v>2957</v>
      </c>
      <c r="F370" s="572">
        <v>38019</v>
      </c>
      <c r="G370" s="572">
        <v>38027</v>
      </c>
      <c r="H370" s="324" t="s">
        <v>372</v>
      </c>
      <c r="I370" s="324" t="s">
        <v>266</v>
      </c>
      <c r="J370" s="324" t="s">
        <v>502</v>
      </c>
      <c r="K370" s="324"/>
      <c r="L370" s="324"/>
      <c r="M370" s="324"/>
      <c r="N370" s="184"/>
      <c r="O370" s="184"/>
      <c r="P370" s="184"/>
      <c r="Q370" s="184"/>
      <c r="R370" s="184"/>
      <c r="S370" s="184"/>
      <c r="T370" s="184"/>
      <c r="U370" s="184"/>
      <c r="V370" s="184"/>
      <c r="W370" s="184"/>
      <c r="X370" s="184"/>
      <c r="Y370" s="184"/>
      <c r="Z370" s="184"/>
      <c r="AA370" s="184"/>
      <c r="AB370" s="184"/>
      <c r="AC370" s="184"/>
    </row>
    <row r="371" spans="1:29" ht="25.5" customHeight="1" x14ac:dyDescent="0.25">
      <c r="A371" s="325">
        <v>254</v>
      </c>
      <c r="B371" s="325"/>
      <c r="C371" s="325"/>
      <c r="D371" s="325" t="s">
        <v>309</v>
      </c>
      <c r="E371" s="577" t="s">
        <v>2957</v>
      </c>
      <c r="F371" s="573">
        <v>38019</v>
      </c>
      <c r="G371" s="573">
        <v>38027</v>
      </c>
      <c r="H371" s="325" t="s">
        <v>372</v>
      </c>
      <c r="I371" s="325" t="s">
        <v>266</v>
      </c>
      <c r="J371" s="325" t="s">
        <v>502</v>
      </c>
      <c r="K371" s="325"/>
      <c r="L371" s="325"/>
      <c r="M371" s="325"/>
      <c r="N371" s="184"/>
      <c r="O371" s="326"/>
      <c r="P371" s="184"/>
      <c r="Q371" s="184"/>
      <c r="R371" s="184"/>
      <c r="S371" s="184"/>
      <c r="T371" s="184"/>
      <c r="U371" s="184"/>
      <c r="V371" s="184"/>
    </row>
    <row r="372" spans="1:29" ht="25.5" customHeight="1" x14ac:dyDescent="0.25">
      <c r="A372" s="324">
        <v>237</v>
      </c>
      <c r="B372" s="324"/>
      <c r="C372" s="324"/>
      <c r="D372" s="324" t="s">
        <v>309</v>
      </c>
      <c r="E372" s="578" t="s">
        <v>2959</v>
      </c>
      <c r="F372" s="572">
        <v>38012</v>
      </c>
      <c r="G372" s="572">
        <v>38027</v>
      </c>
      <c r="H372" s="324" t="s">
        <v>645</v>
      </c>
      <c r="I372" s="324" t="s">
        <v>266</v>
      </c>
      <c r="J372" s="324" t="s">
        <v>488</v>
      </c>
      <c r="K372" s="324"/>
      <c r="L372" s="324"/>
      <c r="M372" s="324"/>
      <c r="N372" s="184"/>
      <c r="O372" s="184"/>
      <c r="P372" s="184"/>
      <c r="Q372" s="184"/>
      <c r="R372" s="184"/>
      <c r="S372" s="184"/>
      <c r="T372" s="184"/>
      <c r="U372" s="184"/>
      <c r="V372" s="184"/>
      <c r="W372" s="184"/>
      <c r="X372" s="184"/>
      <c r="Y372" s="184"/>
      <c r="Z372" s="184"/>
      <c r="AA372" s="184"/>
      <c r="AB372" s="184"/>
      <c r="AC372" s="184"/>
    </row>
    <row r="373" spans="1:29" ht="25.5" customHeight="1" x14ac:dyDescent="0.25">
      <c r="A373" s="325">
        <v>253</v>
      </c>
      <c r="B373" s="325"/>
      <c r="C373" s="325"/>
      <c r="D373" s="325" t="s">
        <v>309</v>
      </c>
      <c r="E373" s="577" t="s">
        <v>2959</v>
      </c>
      <c r="F373" s="573">
        <v>38012</v>
      </c>
      <c r="G373" s="573">
        <v>38027</v>
      </c>
      <c r="H373" s="325" t="s">
        <v>940</v>
      </c>
      <c r="I373" s="325" t="s">
        <v>266</v>
      </c>
      <c r="J373" s="325" t="s">
        <v>488</v>
      </c>
      <c r="K373" s="325"/>
      <c r="L373" s="325"/>
      <c r="M373" s="325"/>
      <c r="N373" s="184"/>
      <c r="O373" s="326"/>
      <c r="P373" s="184"/>
      <c r="Q373" s="184"/>
      <c r="R373" s="184"/>
      <c r="S373" s="184"/>
      <c r="T373" s="184"/>
      <c r="U373" s="184"/>
      <c r="V373" s="184"/>
    </row>
    <row r="374" spans="1:29" ht="25.5" customHeight="1" x14ac:dyDescent="0.25">
      <c r="A374" s="324">
        <v>235</v>
      </c>
      <c r="B374" s="324"/>
      <c r="C374" s="324"/>
      <c r="D374" s="324" t="s">
        <v>309</v>
      </c>
      <c r="E374" s="578" t="s">
        <v>267</v>
      </c>
      <c r="F374" s="572">
        <v>38007</v>
      </c>
      <c r="G374" s="572">
        <v>38029</v>
      </c>
      <c r="H374" s="324" t="s">
        <v>394</v>
      </c>
      <c r="I374" s="324" t="s">
        <v>266</v>
      </c>
      <c r="J374" s="324" t="s">
        <v>488</v>
      </c>
      <c r="K374" s="324"/>
      <c r="L374" s="324"/>
      <c r="M374" s="324"/>
      <c r="N374" s="184"/>
      <c r="O374" s="184"/>
      <c r="P374" s="184"/>
      <c r="Q374" s="184"/>
      <c r="R374" s="184"/>
      <c r="S374" s="184"/>
      <c r="T374" s="184"/>
      <c r="U374" s="184"/>
      <c r="V374" s="184"/>
      <c r="W374" s="184"/>
      <c r="X374" s="184"/>
      <c r="Y374" s="184"/>
      <c r="Z374" s="184"/>
      <c r="AA374" s="184"/>
      <c r="AB374" s="184"/>
      <c r="AC374" s="184"/>
    </row>
    <row r="375" spans="1:29" ht="25.5" customHeight="1" x14ac:dyDescent="0.25">
      <c r="A375" s="184">
        <v>11</v>
      </c>
      <c r="B375" s="184"/>
      <c r="C375" s="184"/>
      <c r="D375" s="325" t="s">
        <v>309</v>
      </c>
      <c r="E375" s="579" t="s">
        <v>267</v>
      </c>
      <c r="F375" s="321">
        <v>38007</v>
      </c>
      <c r="G375" s="321">
        <v>38029</v>
      </c>
      <c r="H375" s="184" t="s">
        <v>394</v>
      </c>
      <c r="I375" s="184" t="s">
        <v>266</v>
      </c>
      <c r="J375" s="184" t="s">
        <v>488</v>
      </c>
      <c r="K375" s="184"/>
      <c r="L375" s="184">
        <v>36</v>
      </c>
      <c r="M375" s="184">
        <v>160</v>
      </c>
      <c r="N375" s="184"/>
      <c r="O375" s="326">
        <v>39103</v>
      </c>
      <c r="P375" s="184"/>
      <c r="Q375" s="184">
        <v>0.1875</v>
      </c>
      <c r="R375" s="184"/>
      <c r="S375" s="184" t="s">
        <v>243</v>
      </c>
      <c r="T375" s="184"/>
      <c r="U375" s="184"/>
      <c r="V375" s="322"/>
    </row>
    <row r="376" spans="1:29" ht="25.5" customHeight="1" x14ac:dyDescent="0.25">
      <c r="A376" s="324">
        <v>231</v>
      </c>
      <c r="B376" s="324"/>
      <c r="C376" s="324"/>
      <c r="D376" s="324" t="s">
        <v>309</v>
      </c>
      <c r="E376" s="578" t="s">
        <v>2970</v>
      </c>
      <c r="F376" s="572">
        <v>38001</v>
      </c>
      <c r="G376" s="572">
        <v>38029</v>
      </c>
      <c r="H376" s="324" t="s">
        <v>400</v>
      </c>
      <c r="I376" s="324" t="s">
        <v>266</v>
      </c>
      <c r="J376" s="324" t="s">
        <v>488</v>
      </c>
      <c r="K376" s="324"/>
      <c r="L376" s="324"/>
      <c r="M376" s="324"/>
      <c r="N376" s="184"/>
      <c r="O376" s="184"/>
      <c r="P376" s="184"/>
      <c r="Q376" s="184"/>
      <c r="R376" s="184"/>
      <c r="S376" s="184"/>
      <c r="T376" s="184"/>
      <c r="U376" s="184"/>
      <c r="V376" s="184"/>
      <c r="W376" s="184"/>
      <c r="X376" s="184"/>
      <c r="Y376" s="184"/>
      <c r="Z376" s="184"/>
      <c r="AA376" s="184"/>
      <c r="AB376" s="184"/>
      <c r="AC376" s="184"/>
    </row>
    <row r="377" spans="1:29" ht="25.5" customHeight="1" x14ac:dyDescent="0.25">
      <c r="A377" s="325">
        <v>248</v>
      </c>
      <c r="B377" s="325"/>
      <c r="C377" s="325"/>
      <c r="D377" s="325" t="s">
        <v>309</v>
      </c>
      <c r="E377" s="577" t="s">
        <v>2970</v>
      </c>
      <c r="F377" s="573">
        <v>38001</v>
      </c>
      <c r="G377" s="573">
        <v>38029</v>
      </c>
      <c r="H377" s="325" t="s">
        <v>400</v>
      </c>
      <c r="I377" s="325" t="s">
        <v>266</v>
      </c>
      <c r="J377" s="325" t="s">
        <v>488</v>
      </c>
      <c r="K377" s="325"/>
      <c r="L377" s="325"/>
      <c r="M377" s="325"/>
      <c r="N377" s="184"/>
      <c r="O377" s="326"/>
      <c r="P377" s="184"/>
      <c r="Q377" s="184"/>
      <c r="R377" s="184"/>
      <c r="S377" s="184"/>
      <c r="T377" s="184"/>
      <c r="U377" s="184"/>
      <c r="V377" s="184"/>
    </row>
    <row r="378" spans="1:29" ht="25.5" customHeight="1" x14ac:dyDescent="0.25">
      <c r="A378" s="324">
        <v>224</v>
      </c>
      <c r="B378" s="324"/>
      <c r="C378" s="324"/>
      <c r="D378" s="324" t="s">
        <v>309</v>
      </c>
      <c r="E378" s="578" t="s">
        <v>264</v>
      </c>
      <c r="F378" s="572">
        <v>37999</v>
      </c>
      <c r="G378" s="572">
        <v>38029</v>
      </c>
      <c r="H378" s="324" t="s">
        <v>265</v>
      </c>
      <c r="I378" s="324" t="s">
        <v>266</v>
      </c>
      <c r="J378" s="324" t="s">
        <v>629</v>
      </c>
      <c r="K378" s="324"/>
      <c r="L378" s="324"/>
      <c r="M378" s="324"/>
      <c r="N378" s="184"/>
      <c r="O378" s="184"/>
      <c r="P378" s="184"/>
      <c r="Q378" s="184"/>
      <c r="R378" s="184"/>
      <c r="S378" s="184"/>
      <c r="T378" s="184"/>
      <c r="U378" s="184"/>
      <c r="V378" s="184"/>
      <c r="W378" s="184"/>
      <c r="X378" s="184"/>
      <c r="Y378" s="184"/>
      <c r="Z378" s="184"/>
      <c r="AA378" s="184"/>
      <c r="AB378" s="184"/>
      <c r="AC378" s="184"/>
    </row>
    <row r="379" spans="1:29" ht="25.5" customHeight="1" x14ac:dyDescent="0.25">
      <c r="A379" s="184">
        <v>10</v>
      </c>
      <c r="B379" s="184"/>
      <c r="C379" s="184"/>
      <c r="D379" s="325" t="s">
        <v>309</v>
      </c>
      <c r="E379" s="579" t="s">
        <v>264</v>
      </c>
      <c r="F379" s="321">
        <v>37999</v>
      </c>
      <c r="G379" s="321">
        <v>38029</v>
      </c>
      <c r="H379" s="184" t="s">
        <v>265</v>
      </c>
      <c r="I379" s="184" t="s">
        <v>266</v>
      </c>
      <c r="J379" s="184" t="s">
        <v>629</v>
      </c>
      <c r="K379" s="184"/>
      <c r="L379" s="184">
        <v>36</v>
      </c>
      <c r="M379" s="184">
        <v>375.334991</v>
      </c>
      <c r="N379" s="184"/>
      <c r="O379" s="326">
        <v>39095</v>
      </c>
      <c r="P379" s="184"/>
      <c r="Q379" s="184">
        <v>0.1875</v>
      </c>
      <c r="R379" s="184"/>
      <c r="S379" s="184" t="s">
        <v>243</v>
      </c>
      <c r="T379" s="184"/>
      <c r="U379" s="184"/>
      <c r="V379" s="322"/>
    </row>
    <row r="380" spans="1:29" ht="25.5" customHeight="1" x14ac:dyDescent="0.25">
      <c r="A380" s="324">
        <v>225</v>
      </c>
      <c r="B380" s="324"/>
      <c r="C380" s="324"/>
      <c r="D380" s="324" t="s">
        <v>309</v>
      </c>
      <c r="E380" s="578" t="s">
        <v>2972</v>
      </c>
      <c r="F380" s="572">
        <v>37999</v>
      </c>
      <c r="G380" s="572">
        <v>38029</v>
      </c>
      <c r="H380" s="324" t="s">
        <v>482</v>
      </c>
      <c r="I380" s="324" t="s">
        <v>266</v>
      </c>
      <c r="J380" s="324" t="s">
        <v>629</v>
      </c>
      <c r="K380" s="324"/>
      <c r="L380" s="324"/>
      <c r="M380" s="324"/>
      <c r="N380" s="184"/>
      <c r="O380" s="184"/>
      <c r="P380" s="184"/>
      <c r="Q380" s="184"/>
      <c r="R380" s="184"/>
      <c r="S380" s="184"/>
      <c r="T380" s="184"/>
      <c r="U380" s="184"/>
      <c r="V380" s="184"/>
      <c r="W380" s="184"/>
      <c r="X380" s="184"/>
      <c r="Y380" s="184"/>
      <c r="Z380" s="184"/>
      <c r="AA380" s="184"/>
      <c r="AB380" s="184"/>
      <c r="AC380" s="184"/>
    </row>
    <row r="381" spans="1:29" ht="25.5" customHeight="1" x14ac:dyDescent="0.25">
      <c r="A381" s="325">
        <v>242</v>
      </c>
      <c r="B381" s="325"/>
      <c r="C381" s="325"/>
      <c r="D381" s="325" t="s">
        <v>309</v>
      </c>
      <c r="E381" s="577" t="s">
        <v>2972</v>
      </c>
      <c r="F381" s="573">
        <v>37999</v>
      </c>
      <c r="G381" s="573">
        <v>38029</v>
      </c>
      <c r="H381" s="325" t="s">
        <v>482</v>
      </c>
      <c r="I381" s="325" t="s">
        <v>266</v>
      </c>
      <c r="J381" s="325" t="s">
        <v>629</v>
      </c>
      <c r="K381" s="325"/>
      <c r="L381" s="325"/>
      <c r="M381" s="325"/>
      <c r="N381" s="184"/>
      <c r="O381" s="326"/>
      <c r="P381" s="184"/>
      <c r="Q381" s="184"/>
      <c r="R381" s="184"/>
      <c r="S381" s="184"/>
      <c r="T381" s="184"/>
      <c r="U381" s="184"/>
      <c r="V381" s="184"/>
    </row>
    <row r="382" spans="1:29" ht="25.5" customHeight="1" x14ac:dyDescent="0.25">
      <c r="A382" s="324">
        <v>232</v>
      </c>
      <c r="B382" s="324"/>
      <c r="C382" s="324"/>
      <c r="D382" s="324" t="s">
        <v>309</v>
      </c>
      <c r="E382" s="578" t="s">
        <v>2974</v>
      </c>
      <c r="F382" s="572">
        <v>38001</v>
      </c>
      <c r="G382" s="572">
        <v>38029</v>
      </c>
      <c r="H382" s="324" t="s">
        <v>396</v>
      </c>
      <c r="I382" s="324" t="s">
        <v>266</v>
      </c>
      <c r="J382" s="324" t="s">
        <v>488</v>
      </c>
      <c r="K382" s="324"/>
      <c r="L382" s="324"/>
      <c r="M382" s="324"/>
      <c r="N382" s="184"/>
      <c r="O382" s="184"/>
      <c r="P382" s="184"/>
      <c r="Q382" s="184"/>
      <c r="R382" s="184"/>
      <c r="S382" s="184"/>
      <c r="T382" s="184"/>
      <c r="U382" s="184"/>
      <c r="V382" s="184"/>
      <c r="W382" s="184"/>
      <c r="X382" s="184"/>
      <c r="Y382" s="184"/>
      <c r="Z382" s="184"/>
      <c r="AA382" s="184"/>
      <c r="AB382" s="184"/>
      <c r="AC382" s="184"/>
    </row>
    <row r="383" spans="1:29" ht="25.5" customHeight="1" x14ac:dyDescent="0.25">
      <c r="A383" s="325">
        <v>249</v>
      </c>
      <c r="B383" s="325"/>
      <c r="C383" s="325"/>
      <c r="D383" s="325" t="s">
        <v>309</v>
      </c>
      <c r="E383" s="577" t="s">
        <v>2974</v>
      </c>
      <c r="F383" s="573">
        <v>38001</v>
      </c>
      <c r="G383" s="573">
        <v>38029</v>
      </c>
      <c r="H383" s="325" t="s">
        <v>396</v>
      </c>
      <c r="I383" s="325" t="s">
        <v>266</v>
      </c>
      <c r="J383" s="325" t="s">
        <v>488</v>
      </c>
      <c r="K383" s="325"/>
      <c r="L383" s="325"/>
      <c r="M383" s="325"/>
      <c r="N383" s="184"/>
      <c r="O383" s="326"/>
      <c r="P383" s="184"/>
      <c r="Q383" s="184"/>
      <c r="R383" s="184"/>
      <c r="S383" s="184"/>
      <c r="T383" s="184"/>
      <c r="U383" s="184"/>
      <c r="V383" s="184"/>
    </row>
    <row r="384" spans="1:29" ht="25.5" customHeight="1" x14ac:dyDescent="0.25">
      <c r="A384" s="324">
        <v>233</v>
      </c>
      <c r="B384" s="324"/>
      <c r="C384" s="324"/>
      <c r="D384" s="324" t="s">
        <v>309</v>
      </c>
      <c r="E384" s="578" t="s">
        <v>2976</v>
      </c>
      <c r="F384" s="572">
        <v>38001</v>
      </c>
      <c r="G384" s="572">
        <v>38029</v>
      </c>
      <c r="H384" s="324" t="s">
        <v>639</v>
      </c>
      <c r="I384" s="324" t="s">
        <v>266</v>
      </c>
      <c r="J384" s="324" t="s">
        <v>488</v>
      </c>
      <c r="K384" s="324"/>
      <c r="L384" s="324"/>
      <c r="M384" s="324"/>
      <c r="N384" s="184"/>
      <c r="O384" s="184"/>
      <c r="P384" s="184"/>
      <c r="Q384" s="184"/>
      <c r="R384" s="184"/>
      <c r="S384" s="184"/>
      <c r="T384" s="184"/>
      <c r="U384" s="184"/>
      <c r="V384" s="184"/>
      <c r="W384" s="184"/>
      <c r="X384" s="184"/>
      <c r="Y384" s="184"/>
      <c r="Z384" s="184"/>
      <c r="AA384" s="184"/>
      <c r="AB384" s="184"/>
      <c r="AC384" s="184"/>
    </row>
    <row r="385" spans="1:29" ht="25.5" customHeight="1" x14ac:dyDescent="0.25">
      <c r="A385" s="325">
        <v>250</v>
      </c>
      <c r="B385" s="325"/>
      <c r="C385" s="325"/>
      <c r="D385" s="325" t="s">
        <v>309</v>
      </c>
      <c r="E385" s="577" t="s">
        <v>2976</v>
      </c>
      <c r="F385" s="573">
        <v>38001</v>
      </c>
      <c r="G385" s="573">
        <v>38029</v>
      </c>
      <c r="H385" s="325" t="s">
        <v>639</v>
      </c>
      <c r="I385" s="325" t="s">
        <v>266</v>
      </c>
      <c r="J385" s="325" t="s">
        <v>488</v>
      </c>
      <c r="K385" s="325"/>
      <c r="L385" s="325"/>
      <c r="M385" s="325"/>
      <c r="N385" s="184"/>
      <c r="O385" s="326"/>
      <c r="P385" s="184"/>
      <c r="Q385" s="184"/>
      <c r="R385" s="184"/>
      <c r="S385" s="184"/>
      <c r="T385" s="184"/>
      <c r="U385" s="184"/>
      <c r="V385" s="184"/>
    </row>
    <row r="386" spans="1:29" ht="25.5" customHeight="1" x14ac:dyDescent="0.25">
      <c r="A386" s="324">
        <v>226</v>
      </c>
      <c r="B386" s="324"/>
      <c r="C386" s="324"/>
      <c r="D386" s="324" t="s">
        <v>309</v>
      </c>
      <c r="E386" s="578" t="s">
        <v>2978</v>
      </c>
      <c r="F386" s="572">
        <v>37999</v>
      </c>
      <c r="G386" s="572">
        <v>38029</v>
      </c>
      <c r="H386" s="324" t="s">
        <v>480</v>
      </c>
      <c r="I386" s="324" t="s">
        <v>266</v>
      </c>
      <c r="J386" s="324" t="s">
        <v>629</v>
      </c>
      <c r="K386" s="324"/>
      <c r="L386" s="324"/>
      <c r="M386" s="324"/>
      <c r="N386" s="184"/>
      <c r="O386" s="184"/>
      <c r="P386" s="184"/>
      <c r="Q386" s="184"/>
      <c r="R386" s="184"/>
      <c r="S386" s="184"/>
      <c r="T386" s="184"/>
      <c r="U386" s="184"/>
      <c r="V386" s="184"/>
      <c r="W386" s="184"/>
      <c r="X386" s="184"/>
      <c r="Y386" s="184"/>
      <c r="Z386" s="184"/>
      <c r="AA386" s="184"/>
      <c r="AB386" s="184"/>
      <c r="AC386" s="184"/>
    </row>
    <row r="387" spans="1:29" ht="25.5" customHeight="1" x14ac:dyDescent="0.25">
      <c r="A387" s="325">
        <v>243</v>
      </c>
      <c r="B387" s="325"/>
      <c r="C387" s="325"/>
      <c r="D387" s="325" t="s">
        <v>309</v>
      </c>
      <c r="E387" s="577" t="s">
        <v>2978</v>
      </c>
      <c r="F387" s="573">
        <v>37999</v>
      </c>
      <c r="G387" s="573">
        <v>38029</v>
      </c>
      <c r="H387" s="325" t="s">
        <v>480</v>
      </c>
      <c r="I387" s="325" t="s">
        <v>266</v>
      </c>
      <c r="J387" s="325" t="s">
        <v>629</v>
      </c>
      <c r="K387" s="325"/>
      <c r="L387" s="325"/>
      <c r="M387" s="325"/>
      <c r="N387" s="184"/>
      <c r="O387" s="326"/>
      <c r="P387" s="184"/>
      <c r="Q387" s="184"/>
      <c r="R387" s="184"/>
      <c r="S387" s="184"/>
      <c r="T387" s="184"/>
      <c r="U387" s="184"/>
      <c r="V387" s="184"/>
    </row>
    <row r="388" spans="1:29" ht="25.5" customHeight="1" x14ac:dyDescent="0.25">
      <c r="A388" s="324">
        <v>227</v>
      </c>
      <c r="B388" s="324"/>
      <c r="C388" s="324"/>
      <c r="D388" s="324" t="s">
        <v>309</v>
      </c>
      <c r="E388" s="578" t="s">
        <v>2980</v>
      </c>
      <c r="F388" s="572">
        <v>37999</v>
      </c>
      <c r="G388" s="572">
        <v>38029</v>
      </c>
      <c r="H388" s="324" t="s">
        <v>554</v>
      </c>
      <c r="I388" s="324" t="s">
        <v>266</v>
      </c>
      <c r="J388" s="324" t="s">
        <v>629</v>
      </c>
      <c r="K388" s="324"/>
      <c r="L388" s="324"/>
      <c r="M388" s="324"/>
      <c r="N388" s="184"/>
      <c r="O388" s="184"/>
      <c r="P388" s="184"/>
      <c r="Q388" s="184"/>
      <c r="R388" s="184"/>
      <c r="S388" s="184"/>
      <c r="T388" s="184"/>
      <c r="U388" s="184"/>
      <c r="V388" s="184"/>
      <c r="W388" s="184"/>
      <c r="X388" s="184"/>
      <c r="Y388" s="184"/>
      <c r="Z388" s="184"/>
      <c r="AA388" s="184"/>
      <c r="AB388" s="184"/>
      <c r="AC388" s="184"/>
    </row>
    <row r="389" spans="1:29" ht="25.5" customHeight="1" x14ac:dyDescent="0.25">
      <c r="A389" s="325">
        <v>244</v>
      </c>
      <c r="B389" s="325"/>
      <c r="C389" s="325"/>
      <c r="D389" s="325" t="s">
        <v>309</v>
      </c>
      <c r="E389" s="577" t="s">
        <v>2980</v>
      </c>
      <c r="F389" s="573">
        <v>37999</v>
      </c>
      <c r="G389" s="573">
        <v>38029</v>
      </c>
      <c r="H389" s="325" t="s">
        <v>554</v>
      </c>
      <c r="I389" s="325" t="s">
        <v>266</v>
      </c>
      <c r="J389" s="325" t="s">
        <v>629</v>
      </c>
      <c r="K389" s="325"/>
      <c r="L389" s="325"/>
      <c r="M389" s="325"/>
      <c r="N389" s="184"/>
      <c r="O389" s="326"/>
      <c r="P389" s="184"/>
      <c r="Q389" s="184"/>
      <c r="R389" s="184"/>
      <c r="S389" s="184"/>
      <c r="T389" s="184"/>
      <c r="U389" s="184"/>
      <c r="V389" s="184"/>
    </row>
    <row r="390" spans="1:29" ht="25.5" customHeight="1" x14ac:dyDescent="0.25">
      <c r="A390" s="184">
        <v>10</v>
      </c>
      <c r="B390" s="184"/>
      <c r="C390" s="184"/>
      <c r="D390" s="184" t="s">
        <v>238</v>
      </c>
      <c r="E390" s="579" t="s">
        <v>271</v>
      </c>
      <c r="F390" s="321">
        <v>38025</v>
      </c>
      <c r="G390" s="321">
        <v>38027</v>
      </c>
      <c r="H390" s="184" t="s">
        <v>272</v>
      </c>
      <c r="I390" s="184" t="s">
        <v>266</v>
      </c>
      <c r="J390" s="184" t="s">
        <v>242</v>
      </c>
      <c r="K390" s="184"/>
      <c r="L390" s="184">
        <v>36</v>
      </c>
      <c r="M390" s="184">
        <v>92.135002</v>
      </c>
      <c r="N390" s="184"/>
      <c r="O390" s="321">
        <v>39121</v>
      </c>
      <c r="P390" s="184"/>
      <c r="Q390" s="184">
        <v>0.1875</v>
      </c>
      <c r="R390" s="184"/>
      <c r="S390" s="184" t="s">
        <v>243</v>
      </c>
      <c r="T390" s="184"/>
      <c r="U390" s="184"/>
      <c r="V390" s="322"/>
      <c r="W390" s="248"/>
      <c r="X390" s="248"/>
      <c r="Y390" s="248"/>
      <c r="Z390" s="248"/>
      <c r="AA390" s="248"/>
      <c r="AB390" s="248"/>
      <c r="AC390" s="248"/>
    </row>
    <row r="391" spans="1:29" ht="25.5" customHeight="1" x14ac:dyDescent="0.25">
      <c r="A391" s="184">
        <v>11</v>
      </c>
      <c r="B391" s="184"/>
      <c r="C391" s="184"/>
      <c r="D391" s="184" t="s">
        <v>238</v>
      </c>
      <c r="E391" s="579" t="s">
        <v>267</v>
      </c>
      <c r="F391" s="321">
        <v>38007</v>
      </c>
      <c r="G391" s="321">
        <v>38029</v>
      </c>
      <c r="H391" s="184" t="s">
        <v>268</v>
      </c>
      <c r="I391" s="184" t="s">
        <v>266</v>
      </c>
      <c r="J391" s="184" t="s">
        <v>242</v>
      </c>
      <c r="K391" s="184"/>
      <c r="L391" s="184">
        <v>36</v>
      </c>
      <c r="M391" s="184">
        <v>160</v>
      </c>
      <c r="N391" s="184"/>
      <c r="O391" s="321">
        <v>39103</v>
      </c>
      <c r="P391" s="184"/>
      <c r="Q391" s="184">
        <v>0.1875</v>
      </c>
      <c r="R391" s="184"/>
      <c r="S391" s="184" t="s">
        <v>243</v>
      </c>
      <c r="T391" s="184"/>
      <c r="U391" s="184"/>
      <c r="V391" s="322"/>
      <c r="W391" s="248"/>
      <c r="X391" s="248"/>
      <c r="Y391" s="248"/>
      <c r="Z391" s="248"/>
      <c r="AA391" s="248"/>
      <c r="AB391" s="248"/>
      <c r="AC391" s="248"/>
    </row>
    <row r="392" spans="1:29" ht="25.5" customHeight="1" x14ac:dyDescent="0.25">
      <c r="A392" s="184">
        <v>12</v>
      </c>
      <c r="B392" s="184"/>
      <c r="C392" s="184"/>
      <c r="D392" s="184" t="s">
        <v>238</v>
      </c>
      <c r="E392" s="579" t="s">
        <v>264</v>
      </c>
      <c r="F392" s="321">
        <v>37999</v>
      </c>
      <c r="G392" s="321">
        <v>38029</v>
      </c>
      <c r="H392" s="184" t="s">
        <v>265</v>
      </c>
      <c r="I392" s="184" t="s">
        <v>266</v>
      </c>
      <c r="J392" s="184" t="s">
        <v>242</v>
      </c>
      <c r="K392" s="184"/>
      <c r="L392" s="184">
        <v>36</v>
      </c>
      <c r="M392" s="184">
        <v>375.334991</v>
      </c>
      <c r="N392" s="184"/>
      <c r="O392" s="321">
        <v>39095</v>
      </c>
      <c r="P392" s="184"/>
      <c r="Q392" s="184">
        <v>0.1875</v>
      </c>
      <c r="R392" s="184"/>
      <c r="S392" s="184" t="s">
        <v>243</v>
      </c>
      <c r="T392" s="184"/>
      <c r="U392" s="184"/>
      <c r="V392" s="322"/>
      <c r="W392" s="248"/>
      <c r="X392" s="248"/>
      <c r="Y392" s="248"/>
      <c r="Z392" s="248"/>
      <c r="AA392" s="248"/>
      <c r="AB392" s="248"/>
      <c r="AC392" s="248"/>
    </row>
    <row r="393" spans="1:29" ht="25.5" customHeight="1" x14ac:dyDescent="0.25">
      <c r="A393" s="324">
        <v>241</v>
      </c>
      <c r="B393" s="324"/>
      <c r="C393" s="324"/>
      <c r="D393" s="324" t="s">
        <v>309</v>
      </c>
      <c r="E393" s="578" t="s">
        <v>2982</v>
      </c>
      <c r="F393" s="572">
        <v>38032</v>
      </c>
      <c r="G393" s="572">
        <v>38040</v>
      </c>
      <c r="H393" s="324" t="s">
        <v>531</v>
      </c>
      <c r="I393" s="324" t="s">
        <v>650</v>
      </c>
      <c r="J393" s="324" t="s">
        <v>313</v>
      </c>
      <c r="K393" s="324"/>
      <c r="L393" s="324"/>
      <c r="M393" s="324"/>
      <c r="N393" s="184"/>
      <c r="O393" s="184"/>
      <c r="P393" s="184"/>
      <c r="Q393" s="184"/>
      <c r="R393" s="184"/>
      <c r="S393" s="184"/>
      <c r="T393" s="184"/>
      <c r="U393" s="184"/>
      <c r="V393" s="184"/>
      <c r="W393" s="184"/>
      <c r="X393" s="184"/>
      <c r="Y393" s="184"/>
      <c r="Z393" s="184"/>
      <c r="AA393" s="184"/>
      <c r="AB393" s="184"/>
      <c r="AC393" s="184"/>
    </row>
    <row r="394" spans="1:29" ht="25.5" customHeight="1" x14ac:dyDescent="0.25">
      <c r="A394" s="325">
        <v>255</v>
      </c>
      <c r="B394" s="325"/>
      <c r="C394" s="325"/>
      <c r="D394" s="325" t="s">
        <v>309</v>
      </c>
      <c r="E394" s="577" t="s">
        <v>2982</v>
      </c>
      <c r="F394" s="573">
        <v>38032</v>
      </c>
      <c r="G394" s="573">
        <v>38040</v>
      </c>
      <c r="H394" s="325" t="s">
        <v>531</v>
      </c>
      <c r="I394" s="325" t="s">
        <v>650</v>
      </c>
      <c r="J394" s="325" t="s">
        <v>313</v>
      </c>
      <c r="K394" s="325"/>
      <c r="L394" s="325"/>
      <c r="M394" s="325"/>
      <c r="N394" s="184"/>
      <c r="O394" s="326"/>
      <c r="P394" s="184"/>
      <c r="Q394" s="184"/>
      <c r="R394" s="184"/>
      <c r="S394" s="184"/>
      <c r="T394" s="184"/>
      <c r="U394" s="184"/>
      <c r="V394" s="184"/>
    </row>
    <row r="395" spans="1:29" ht="25.5" customHeight="1" x14ac:dyDescent="0.25">
      <c r="A395" s="324">
        <v>239</v>
      </c>
      <c r="B395" s="324"/>
      <c r="C395" s="324"/>
      <c r="D395" s="324" t="s">
        <v>309</v>
      </c>
      <c r="E395" s="578" t="s">
        <v>269</v>
      </c>
      <c r="F395" s="572">
        <v>38022</v>
      </c>
      <c r="G395" s="572">
        <v>38049</v>
      </c>
      <c r="H395" s="324" t="s">
        <v>270</v>
      </c>
      <c r="I395" s="324" t="s">
        <v>266</v>
      </c>
      <c r="J395" s="324" t="s">
        <v>488</v>
      </c>
      <c r="K395" s="324"/>
      <c r="L395" s="324"/>
      <c r="M395" s="324"/>
      <c r="N395" s="184"/>
      <c r="O395" s="184"/>
      <c r="P395" s="184"/>
      <c r="Q395" s="184"/>
      <c r="R395" s="184"/>
      <c r="S395" s="184"/>
      <c r="T395" s="184"/>
      <c r="U395" s="184"/>
      <c r="V395" s="184"/>
      <c r="W395" s="184"/>
      <c r="X395" s="184"/>
      <c r="Y395" s="184"/>
      <c r="Z395" s="184"/>
      <c r="AA395" s="184"/>
      <c r="AB395" s="184"/>
      <c r="AC395" s="184"/>
    </row>
    <row r="396" spans="1:29" ht="25.5" customHeight="1" x14ac:dyDescent="0.25">
      <c r="A396" s="184">
        <v>12</v>
      </c>
      <c r="B396" s="184"/>
      <c r="C396" s="184"/>
      <c r="D396" s="325" t="s">
        <v>309</v>
      </c>
      <c r="E396" s="579" t="s">
        <v>269</v>
      </c>
      <c r="F396" s="321">
        <v>38022</v>
      </c>
      <c r="G396" s="321">
        <v>38049</v>
      </c>
      <c r="H396" s="184" t="s">
        <v>270</v>
      </c>
      <c r="I396" s="184" t="s">
        <v>266</v>
      </c>
      <c r="J396" s="184" t="s">
        <v>488</v>
      </c>
      <c r="K396" s="184"/>
      <c r="L396" s="184">
        <v>36</v>
      </c>
      <c r="M396" s="184">
        <v>100</v>
      </c>
      <c r="N396" s="184"/>
      <c r="O396" s="326">
        <v>39118</v>
      </c>
      <c r="P396" s="184"/>
      <c r="Q396" s="184">
        <v>0.1875</v>
      </c>
      <c r="R396" s="184"/>
      <c r="S396" s="184" t="s">
        <v>243</v>
      </c>
      <c r="T396" s="184"/>
      <c r="U396" s="184"/>
      <c r="V396" s="322"/>
    </row>
    <row r="397" spans="1:29" ht="25.5" customHeight="1" x14ac:dyDescent="0.25">
      <c r="A397" s="184">
        <v>13</v>
      </c>
      <c r="B397" s="184"/>
      <c r="C397" s="184"/>
      <c r="D397" s="184" t="s">
        <v>238</v>
      </c>
      <c r="E397" s="579" t="s">
        <v>269</v>
      </c>
      <c r="F397" s="321">
        <v>38022</v>
      </c>
      <c r="G397" s="321">
        <v>38049</v>
      </c>
      <c r="H397" s="184" t="s">
        <v>270</v>
      </c>
      <c r="I397" s="184" t="s">
        <v>266</v>
      </c>
      <c r="J397" s="184" t="s">
        <v>242</v>
      </c>
      <c r="K397" s="184"/>
      <c r="L397" s="184">
        <v>36</v>
      </c>
      <c r="M397" s="184">
        <v>100</v>
      </c>
      <c r="N397" s="184"/>
      <c r="O397" s="321">
        <v>39118</v>
      </c>
      <c r="P397" s="184"/>
      <c r="Q397" s="184">
        <v>0.1875</v>
      </c>
      <c r="R397" s="184"/>
      <c r="S397" s="184" t="s">
        <v>243</v>
      </c>
      <c r="T397" s="184"/>
      <c r="U397" s="184"/>
      <c r="V397" s="322"/>
      <c r="W397" s="248"/>
      <c r="X397" s="248"/>
      <c r="Y397" s="248"/>
      <c r="Z397" s="248"/>
      <c r="AA397" s="248"/>
      <c r="AB397" s="248"/>
      <c r="AC397" s="248"/>
    </row>
    <row r="398" spans="1:29" ht="25.5" customHeight="1" x14ac:dyDescent="0.25">
      <c r="A398" s="324">
        <v>242</v>
      </c>
      <c r="B398" s="324"/>
      <c r="C398" s="324"/>
      <c r="D398" s="324" t="s">
        <v>309</v>
      </c>
      <c r="E398" s="578" t="s">
        <v>3013</v>
      </c>
      <c r="F398" s="572">
        <v>38251</v>
      </c>
      <c r="G398" s="572">
        <v>38272</v>
      </c>
      <c r="H398" s="324" t="s">
        <v>652</v>
      </c>
      <c r="I398" s="324" t="s">
        <v>266</v>
      </c>
      <c r="J398" s="324" t="s">
        <v>488</v>
      </c>
      <c r="K398" s="324"/>
      <c r="L398" s="324"/>
      <c r="M398" s="324"/>
      <c r="N398" s="184"/>
      <c r="O398" s="184"/>
      <c r="P398" s="184"/>
      <c r="Q398" s="184"/>
      <c r="R398" s="184"/>
      <c r="S398" s="184"/>
      <c r="T398" s="184"/>
      <c r="U398" s="184"/>
      <c r="V398" s="184"/>
      <c r="W398" s="184"/>
      <c r="X398" s="184"/>
      <c r="Y398" s="184"/>
      <c r="Z398" s="184"/>
      <c r="AA398" s="184"/>
      <c r="AB398" s="184"/>
      <c r="AC398" s="184"/>
    </row>
    <row r="399" spans="1:29" ht="25.5" customHeight="1" x14ac:dyDescent="0.25">
      <c r="A399" s="325">
        <v>256</v>
      </c>
      <c r="B399" s="325"/>
      <c r="C399" s="325"/>
      <c r="D399" s="325" t="s">
        <v>309</v>
      </c>
      <c r="E399" s="577" t="s">
        <v>3013</v>
      </c>
      <c r="F399" s="573">
        <v>38251</v>
      </c>
      <c r="G399" s="573">
        <v>38272</v>
      </c>
      <c r="H399" s="325" t="s">
        <v>652</v>
      </c>
      <c r="I399" s="325" t="s">
        <v>266</v>
      </c>
      <c r="J399" s="325" t="s">
        <v>488</v>
      </c>
      <c r="K399" s="325"/>
      <c r="L399" s="325"/>
      <c r="M399" s="325"/>
      <c r="N399" s="184"/>
      <c r="O399" s="326"/>
      <c r="P399" s="184"/>
      <c r="Q399" s="184"/>
      <c r="R399" s="184"/>
      <c r="S399" s="184"/>
      <c r="T399" s="184"/>
      <c r="U399" s="184"/>
      <c r="V399" s="184"/>
    </row>
    <row r="400" spans="1:29" ht="25.5" customHeight="1" x14ac:dyDescent="0.25">
      <c r="A400" s="324">
        <v>243</v>
      </c>
      <c r="B400" s="324"/>
      <c r="C400" s="324"/>
      <c r="D400" s="324" t="s">
        <v>309</v>
      </c>
      <c r="E400" s="578" t="s">
        <v>3015</v>
      </c>
      <c r="F400" s="572">
        <v>38251</v>
      </c>
      <c r="G400" s="572">
        <v>38272</v>
      </c>
      <c r="H400" s="324" t="s">
        <v>654</v>
      </c>
      <c r="I400" s="324" t="s">
        <v>266</v>
      </c>
      <c r="J400" s="324" t="s">
        <v>488</v>
      </c>
      <c r="K400" s="324"/>
      <c r="L400" s="324"/>
      <c r="M400" s="324"/>
      <c r="N400" s="184"/>
      <c r="O400" s="184"/>
      <c r="P400" s="184"/>
      <c r="Q400" s="184"/>
      <c r="R400" s="184"/>
      <c r="S400" s="184"/>
      <c r="T400" s="184"/>
      <c r="U400" s="184"/>
      <c r="V400" s="184"/>
      <c r="W400" s="184"/>
      <c r="X400" s="184"/>
      <c r="Y400" s="184"/>
      <c r="Z400" s="184"/>
      <c r="AA400" s="184"/>
      <c r="AB400" s="184"/>
      <c r="AC400" s="184"/>
    </row>
    <row r="401" spans="1:29" ht="25.5" customHeight="1" x14ac:dyDescent="0.25">
      <c r="A401" s="325">
        <v>257</v>
      </c>
      <c r="B401" s="325"/>
      <c r="C401" s="325"/>
      <c r="D401" s="325" t="s">
        <v>309</v>
      </c>
      <c r="E401" s="577" t="s">
        <v>3015</v>
      </c>
      <c r="F401" s="573">
        <v>38251</v>
      </c>
      <c r="G401" s="573">
        <v>38272</v>
      </c>
      <c r="H401" s="325" t="s">
        <v>654</v>
      </c>
      <c r="I401" s="325" t="s">
        <v>266</v>
      </c>
      <c r="J401" s="325" t="s">
        <v>488</v>
      </c>
      <c r="K401" s="325"/>
      <c r="L401" s="325"/>
      <c r="M401" s="325"/>
      <c r="N401" s="184"/>
      <c r="O401" s="326"/>
      <c r="P401" s="184"/>
      <c r="Q401" s="184"/>
      <c r="R401" s="184"/>
      <c r="S401" s="184"/>
      <c r="T401" s="184"/>
      <c r="U401" s="184"/>
      <c r="V401" s="184"/>
    </row>
    <row r="402" spans="1:29" ht="25.5" customHeight="1" x14ac:dyDescent="0.25">
      <c r="A402" s="324">
        <v>244</v>
      </c>
      <c r="B402" s="324"/>
      <c r="C402" s="324"/>
      <c r="D402" s="324" t="s">
        <v>309</v>
      </c>
      <c r="E402" s="578" t="s">
        <v>3017</v>
      </c>
      <c r="F402" s="572">
        <v>38251</v>
      </c>
      <c r="G402" s="572">
        <v>38272</v>
      </c>
      <c r="H402" s="324" t="s">
        <v>656</v>
      </c>
      <c r="I402" s="324" t="s">
        <v>266</v>
      </c>
      <c r="J402" s="324" t="s">
        <v>657</v>
      </c>
      <c r="K402" s="324"/>
      <c r="L402" s="324"/>
      <c r="M402" s="324"/>
      <c r="N402" s="184"/>
      <c r="O402" s="184"/>
      <c r="P402" s="184"/>
      <c r="Q402" s="184"/>
      <c r="R402" s="184"/>
      <c r="S402" s="184"/>
      <c r="T402" s="184"/>
      <c r="U402" s="184"/>
      <c r="V402" s="184"/>
      <c r="W402" s="184"/>
      <c r="X402" s="184"/>
      <c r="Y402" s="184"/>
      <c r="Z402" s="184"/>
      <c r="AA402" s="184"/>
      <c r="AB402" s="184"/>
      <c r="AC402" s="184"/>
    </row>
    <row r="403" spans="1:29" ht="25.5" customHeight="1" x14ac:dyDescent="0.25">
      <c r="A403" s="325">
        <v>258</v>
      </c>
      <c r="B403" s="325"/>
      <c r="C403" s="325"/>
      <c r="D403" s="325" t="s">
        <v>309</v>
      </c>
      <c r="E403" s="577" t="s">
        <v>3017</v>
      </c>
      <c r="F403" s="573">
        <v>38251</v>
      </c>
      <c r="G403" s="573">
        <v>38272</v>
      </c>
      <c r="H403" s="325" t="s">
        <v>656</v>
      </c>
      <c r="I403" s="325" t="s">
        <v>266</v>
      </c>
      <c r="J403" s="325" t="s">
        <v>657</v>
      </c>
      <c r="K403" s="325"/>
      <c r="L403" s="325"/>
      <c r="M403" s="325"/>
      <c r="N403" s="184"/>
      <c r="O403" s="326"/>
      <c r="P403" s="184"/>
      <c r="Q403" s="184"/>
      <c r="R403" s="184"/>
      <c r="S403" s="184"/>
      <c r="T403" s="184"/>
      <c r="U403" s="184"/>
      <c r="V403" s="184"/>
    </row>
    <row r="404" spans="1:29" ht="25.5" customHeight="1" x14ac:dyDescent="0.25">
      <c r="A404" s="324">
        <v>245</v>
      </c>
      <c r="B404" s="324"/>
      <c r="C404" s="324"/>
      <c r="D404" s="324" t="s">
        <v>309</v>
      </c>
      <c r="E404" s="578" t="s">
        <v>3044</v>
      </c>
      <c r="F404" s="572">
        <v>38406</v>
      </c>
      <c r="G404" s="572">
        <v>38420</v>
      </c>
      <c r="H404" s="324" t="s">
        <v>490</v>
      </c>
      <c r="I404" s="324" t="s">
        <v>659</v>
      </c>
      <c r="J404" s="324" t="s">
        <v>488</v>
      </c>
      <c r="K404" s="324"/>
      <c r="L404" s="324"/>
      <c r="M404" s="324"/>
      <c r="N404" s="184"/>
      <c r="O404" s="184"/>
      <c r="P404" s="184"/>
      <c r="Q404" s="184"/>
      <c r="R404" s="184"/>
      <c r="S404" s="184"/>
      <c r="T404" s="184"/>
      <c r="U404" s="184"/>
      <c r="V404" s="184"/>
      <c r="W404" s="184"/>
      <c r="X404" s="184"/>
      <c r="Y404" s="184"/>
      <c r="Z404" s="184"/>
      <c r="AA404" s="184"/>
      <c r="AB404" s="184"/>
      <c r="AC404" s="184"/>
    </row>
    <row r="405" spans="1:29" ht="25.5" customHeight="1" x14ac:dyDescent="0.25">
      <c r="A405" s="325">
        <v>259</v>
      </c>
      <c r="B405" s="325"/>
      <c r="C405" s="325"/>
      <c r="D405" s="325" t="s">
        <v>309</v>
      </c>
      <c r="E405" s="577" t="s">
        <v>3044</v>
      </c>
      <c r="F405" s="573">
        <v>38406</v>
      </c>
      <c r="G405" s="573">
        <v>38420</v>
      </c>
      <c r="H405" s="325" t="s">
        <v>490</v>
      </c>
      <c r="I405" s="325" t="s">
        <v>659</v>
      </c>
      <c r="J405" s="325" t="s">
        <v>488</v>
      </c>
      <c r="K405" s="325"/>
      <c r="L405" s="325"/>
      <c r="M405" s="325"/>
      <c r="N405" s="184"/>
      <c r="O405" s="326"/>
      <c r="P405" s="184"/>
      <c r="Q405" s="184"/>
      <c r="R405" s="184"/>
      <c r="S405" s="184"/>
      <c r="T405" s="184"/>
      <c r="U405" s="184"/>
      <c r="V405" s="184"/>
    </row>
    <row r="406" spans="1:29" ht="25.5" customHeight="1" x14ac:dyDescent="0.25">
      <c r="A406" s="324">
        <v>247</v>
      </c>
      <c r="B406" s="324"/>
      <c r="C406" s="324"/>
      <c r="D406" s="324" t="s">
        <v>309</v>
      </c>
      <c r="E406" s="578" t="s">
        <v>3046</v>
      </c>
      <c r="F406" s="572">
        <v>38411</v>
      </c>
      <c r="G406" s="572">
        <v>38426</v>
      </c>
      <c r="H406" s="324" t="s">
        <v>499</v>
      </c>
      <c r="I406" s="324" t="s">
        <v>659</v>
      </c>
      <c r="J406" s="324" t="s">
        <v>488</v>
      </c>
      <c r="K406" s="324"/>
      <c r="L406" s="324"/>
      <c r="M406" s="324"/>
      <c r="N406" s="184"/>
      <c r="O406" s="184"/>
      <c r="P406" s="184"/>
      <c r="Q406" s="184"/>
      <c r="R406" s="184"/>
      <c r="S406" s="184"/>
      <c r="T406" s="184"/>
      <c r="U406" s="184"/>
      <c r="V406" s="184"/>
      <c r="W406" s="184"/>
      <c r="X406" s="184"/>
      <c r="Y406" s="184"/>
      <c r="Z406" s="184"/>
      <c r="AA406" s="184"/>
      <c r="AB406" s="184"/>
      <c r="AC406" s="184"/>
    </row>
    <row r="407" spans="1:29" ht="25.5" customHeight="1" x14ac:dyDescent="0.25">
      <c r="A407" s="325">
        <v>261</v>
      </c>
      <c r="B407" s="325"/>
      <c r="C407" s="325"/>
      <c r="D407" s="325" t="s">
        <v>309</v>
      </c>
      <c r="E407" s="577" t="s">
        <v>3046</v>
      </c>
      <c r="F407" s="573">
        <v>38411</v>
      </c>
      <c r="G407" s="573">
        <v>38426</v>
      </c>
      <c r="H407" s="325" t="s">
        <v>499</v>
      </c>
      <c r="I407" s="325" t="s">
        <v>659</v>
      </c>
      <c r="J407" s="325" t="s">
        <v>488</v>
      </c>
      <c r="K407" s="325"/>
      <c r="L407" s="325"/>
      <c r="M407" s="325"/>
      <c r="N407" s="184"/>
      <c r="O407" s="326"/>
      <c r="P407" s="184"/>
      <c r="Q407" s="184"/>
      <c r="R407" s="184"/>
      <c r="S407" s="184"/>
      <c r="T407" s="184"/>
      <c r="U407" s="184"/>
      <c r="V407" s="184"/>
    </row>
    <row r="408" spans="1:29" ht="25.5" customHeight="1" x14ac:dyDescent="0.25">
      <c r="A408" s="324">
        <v>246</v>
      </c>
      <c r="B408" s="324"/>
      <c r="C408" s="324"/>
      <c r="D408" s="324" t="s">
        <v>309</v>
      </c>
      <c r="E408" s="578" t="s">
        <v>3048</v>
      </c>
      <c r="F408" s="572">
        <v>38407</v>
      </c>
      <c r="G408" s="572">
        <v>38432</v>
      </c>
      <c r="H408" s="324" t="s">
        <v>495</v>
      </c>
      <c r="I408" s="324" t="s">
        <v>659</v>
      </c>
      <c r="J408" s="324" t="s">
        <v>488</v>
      </c>
      <c r="K408" s="324"/>
      <c r="L408" s="324"/>
      <c r="M408" s="324"/>
      <c r="N408" s="184"/>
      <c r="O408" s="184"/>
      <c r="P408" s="184"/>
      <c r="Q408" s="184"/>
      <c r="R408" s="184"/>
      <c r="S408" s="184"/>
      <c r="T408" s="184"/>
      <c r="U408" s="184"/>
      <c r="V408" s="184"/>
      <c r="W408" s="184"/>
      <c r="X408" s="184"/>
      <c r="Y408" s="184"/>
      <c r="Z408" s="184"/>
      <c r="AA408" s="184"/>
      <c r="AB408" s="184"/>
      <c r="AC408" s="184"/>
    </row>
    <row r="409" spans="1:29" ht="25.5" customHeight="1" x14ac:dyDescent="0.25">
      <c r="A409" s="325">
        <v>260</v>
      </c>
      <c r="B409" s="325"/>
      <c r="C409" s="325"/>
      <c r="D409" s="325" t="s">
        <v>309</v>
      </c>
      <c r="E409" s="577" t="s">
        <v>3048</v>
      </c>
      <c r="F409" s="573">
        <v>38407</v>
      </c>
      <c r="G409" s="573">
        <v>38432</v>
      </c>
      <c r="H409" s="325" t="s">
        <v>495</v>
      </c>
      <c r="I409" s="325" t="s">
        <v>659</v>
      </c>
      <c r="J409" s="325" t="s">
        <v>488</v>
      </c>
      <c r="K409" s="325"/>
      <c r="L409" s="325"/>
      <c r="M409" s="325"/>
      <c r="N409" s="184"/>
      <c r="O409" s="326"/>
      <c r="P409" s="184"/>
      <c r="Q409" s="184"/>
      <c r="R409" s="184"/>
      <c r="S409" s="184"/>
      <c r="T409" s="184"/>
      <c r="U409" s="184"/>
      <c r="V409" s="184"/>
    </row>
    <row r="410" spans="1:29" ht="25.5" customHeight="1" x14ac:dyDescent="0.25">
      <c r="A410" s="324">
        <v>248</v>
      </c>
      <c r="B410" s="324"/>
      <c r="C410" s="324"/>
      <c r="D410" s="324" t="s">
        <v>309</v>
      </c>
      <c r="E410" s="578" t="s">
        <v>3050</v>
      </c>
      <c r="F410" s="572">
        <v>38411</v>
      </c>
      <c r="G410" s="572">
        <v>38432</v>
      </c>
      <c r="H410" s="324" t="s">
        <v>527</v>
      </c>
      <c r="I410" s="324" t="s">
        <v>659</v>
      </c>
      <c r="J410" s="324" t="s">
        <v>488</v>
      </c>
      <c r="K410" s="324"/>
      <c r="L410" s="324"/>
      <c r="M410" s="324"/>
      <c r="N410" s="184"/>
      <c r="O410" s="184"/>
      <c r="P410" s="184"/>
      <c r="Q410" s="184"/>
      <c r="R410" s="184"/>
      <c r="S410" s="184"/>
      <c r="T410" s="184"/>
      <c r="U410" s="184"/>
      <c r="V410" s="184"/>
      <c r="W410" s="184"/>
      <c r="X410" s="184"/>
      <c r="Y410" s="184"/>
      <c r="Z410" s="184"/>
      <c r="AA410" s="184"/>
      <c r="AB410" s="184"/>
      <c r="AC410" s="184"/>
    </row>
    <row r="411" spans="1:29" ht="25.5" customHeight="1" x14ac:dyDescent="0.25">
      <c r="A411" s="325">
        <v>262</v>
      </c>
      <c r="B411" s="325"/>
      <c r="C411" s="325"/>
      <c r="D411" s="325" t="s">
        <v>309</v>
      </c>
      <c r="E411" s="577" t="s">
        <v>3050</v>
      </c>
      <c r="F411" s="573">
        <v>38411</v>
      </c>
      <c r="G411" s="573">
        <v>38432</v>
      </c>
      <c r="H411" s="325" t="s">
        <v>527</v>
      </c>
      <c r="I411" s="325" t="s">
        <v>659</v>
      </c>
      <c r="J411" s="325" t="s">
        <v>488</v>
      </c>
      <c r="K411" s="325"/>
      <c r="L411" s="325"/>
      <c r="M411" s="325"/>
      <c r="N411" s="184"/>
      <c r="O411" s="326"/>
      <c r="P411" s="184"/>
      <c r="Q411" s="184"/>
      <c r="R411" s="184"/>
      <c r="S411" s="184"/>
      <c r="T411" s="184"/>
      <c r="U411" s="184"/>
      <c r="V411" s="184"/>
    </row>
    <row r="412" spans="1:29" ht="25.5" customHeight="1" x14ac:dyDescent="0.25">
      <c r="A412" s="324">
        <v>249</v>
      </c>
      <c r="B412" s="324"/>
      <c r="C412" s="324"/>
      <c r="D412" s="324" t="s">
        <v>309</v>
      </c>
      <c r="E412" s="578" t="s">
        <v>3062</v>
      </c>
      <c r="F412" s="572">
        <v>38419</v>
      </c>
      <c r="G412" s="572">
        <v>38457</v>
      </c>
      <c r="H412" s="324" t="s">
        <v>664</v>
      </c>
      <c r="I412" s="324" t="s">
        <v>250</v>
      </c>
      <c r="J412" s="324" t="s">
        <v>505</v>
      </c>
      <c r="K412" s="324"/>
      <c r="L412" s="324"/>
      <c r="M412" s="324"/>
      <c r="N412" s="184"/>
      <c r="O412" s="184"/>
      <c r="P412" s="184"/>
      <c r="Q412" s="184"/>
      <c r="R412" s="184"/>
      <c r="S412" s="184"/>
      <c r="T412" s="184"/>
      <c r="U412" s="184"/>
      <c r="V412" s="184"/>
      <c r="W412" s="184"/>
      <c r="X412" s="184"/>
      <c r="Y412" s="184"/>
      <c r="Z412" s="184"/>
      <c r="AA412" s="184"/>
      <c r="AB412" s="184"/>
      <c r="AC412" s="184"/>
    </row>
    <row r="413" spans="1:29" ht="25.5" customHeight="1" x14ac:dyDescent="0.25">
      <c r="A413" s="325">
        <v>263</v>
      </c>
      <c r="B413" s="325"/>
      <c r="C413" s="325"/>
      <c r="D413" s="325" t="s">
        <v>309</v>
      </c>
      <c r="E413" s="577" t="s">
        <v>3062</v>
      </c>
      <c r="F413" s="573">
        <v>38419</v>
      </c>
      <c r="G413" s="573">
        <v>38457</v>
      </c>
      <c r="H413" s="325" t="s">
        <v>664</v>
      </c>
      <c r="I413" s="325" t="s">
        <v>487</v>
      </c>
      <c r="J413" s="325" t="s">
        <v>505</v>
      </c>
      <c r="K413" s="325"/>
      <c r="L413" s="325"/>
      <c r="M413" s="325"/>
      <c r="N413" s="184"/>
      <c r="O413" s="326"/>
      <c r="P413" s="184"/>
      <c r="Q413" s="184"/>
      <c r="R413" s="184"/>
      <c r="S413" s="184"/>
      <c r="T413" s="184"/>
      <c r="U413" s="184"/>
      <c r="V413" s="184"/>
    </row>
    <row r="414" spans="1:29" ht="25.5" customHeight="1" x14ac:dyDescent="0.25">
      <c r="A414" s="324">
        <v>251</v>
      </c>
      <c r="B414" s="324"/>
      <c r="C414" s="324"/>
      <c r="D414" s="324" t="s">
        <v>309</v>
      </c>
      <c r="E414" s="578" t="s">
        <v>3065</v>
      </c>
      <c r="F414" s="572">
        <v>38420</v>
      </c>
      <c r="G414" s="572">
        <v>38457</v>
      </c>
      <c r="H414" s="324" t="s">
        <v>515</v>
      </c>
      <c r="I414" s="324" t="s">
        <v>250</v>
      </c>
      <c r="J414" s="324" t="s">
        <v>548</v>
      </c>
      <c r="K414" s="324"/>
      <c r="L414" s="324"/>
      <c r="M414" s="324"/>
      <c r="N414" s="184"/>
      <c r="O414" s="184"/>
      <c r="P414" s="184"/>
      <c r="Q414" s="184"/>
      <c r="R414" s="184"/>
      <c r="S414" s="184"/>
      <c r="T414" s="184"/>
      <c r="U414" s="184"/>
      <c r="V414" s="184"/>
      <c r="W414" s="184"/>
      <c r="X414" s="184"/>
      <c r="Y414" s="184"/>
      <c r="Z414" s="184"/>
      <c r="AA414" s="184"/>
      <c r="AB414" s="184"/>
      <c r="AC414" s="184"/>
    </row>
    <row r="415" spans="1:29" ht="25.5" customHeight="1" x14ac:dyDescent="0.25">
      <c r="A415" s="325">
        <v>265</v>
      </c>
      <c r="B415" s="325"/>
      <c r="C415" s="325"/>
      <c r="D415" s="325" t="s">
        <v>309</v>
      </c>
      <c r="E415" s="577" t="s">
        <v>3065</v>
      </c>
      <c r="F415" s="573">
        <v>38420</v>
      </c>
      <c r="G415" s="573">
        <v>38457</v>
      </c>
      <c r="H415" s="325" t="s">
        <v>515</v>
      </c>
      <c r="I415" s="325" t="s">
        <v>487</v>
      </c>
      <c r="J415" s="325" t="s">
        <v>548</v>
      </c>
      <c r="K415" s="325"/>
      <c r="L415" s="325"/>
      <c r="M415" s="325"/>
      <c r="N415" s="184"/>
      <c r="O415" s="326"/>
      <c r="P415" s="184"/>
      <c r="Q415" s="184"/>
      <c r="R415" s="184"/>
      <c r="S415" s="184"/>
      <c r="T415" s="184"/>
      <c r="U415" s="184"/>
      <c r="V415" s="184"/>
    </row>
    <row r="416" spans="1:29" ht="25.5" customHeight="1" x14ac:dyDescent="0.25">
      <c r="A416" s="324">
        <v>250</v>
      </c>
      <c r="B416" s="324"/>
      <c r="C416" s="324"/>
      <c r="D416" s="324" t="s">
        <v>309</v>
      </c>
      <c r="E416" s="578" t="s">
        <v>3067</v>
      </c>
      <c r="F416" s="572">
        <v>38419</v>
      </c>
      <c r="G416" s="572">
        <v>38457</v>
      </c>
      <c r="H416" s="324" t="s">
        <v>566</v>
      </c>
      <c r="I416" s="324" t="s">
        <v>250</v>
      </c>
      <c r="J416" s="324" t="s">
        <v>505</v>
      </c>
      <c r="K416" s="324"/>
      <c r="L416" s="324"/>
      <c r="M416" s="324"/>
      <c r="N416" s="184"/>
      <c r="O416" s="184"/>
      <c r="P416" s="184"/>
      <c r="Q416" s="184"/>
      <c r="R416" s="184"/>
      <c r="S416" s="184"/>
      <c r="T416" s="184"/>
      <c r="U416" s="184"/>
      <c r="V416" s="184"/>
      <c r="W416" s="184"/>
      <c r="X416" s="184"/>
      <c r="Y416" s="184"/>
      <c r="Z416" s="184"/>
      <c r="AA416" s="184"/>
      <c r="AB416" s="184"/>
      <c r="AC416" s="184"/>
    </row>
    <row r="417" spans="1:29" ht="25.5" customHeight="1" x14ac:dyDescent="0.25">
      <c r="A417" s="325">
        <v>264</v>
      </c>
      <c r="B417" s="325"/>
      <c r="C417" s="325"/>
      <c r="D417" s="325" t="s">
        <v>309</v>
      </c>
      <c r="E417" s="577" t="s">
        <v>3067</v>
      </c>
      <c r="F417" s="573">
        <v>38419</v>
      </c>
      <c r="G417" s="573">
        <v>38457</v>
      </c>
      <c r="H417" s="325" t="s">
        <v>566</v>
      </c>
      <c r="I417" s="325" t="s">
        <v>487</v>
      </c>
      <c r="J417" s="325" t="s">
        <v>505</v>
      </c>
      <c r="K417" s="325"/>
      <c r="L417" s="325"/>
      <c r="M417" s="325"/>
      <c r="N417" s="184"/>
      <c r="O417" s="326"/>
      <c r="P417" s="184"/>
      <c r="Q417" s="184"/>
      <c r="R417" s="184"/>
      <c r="S417" s="184"/>
      <c r="T417" s="184"/>
      <c r="U417" s="184"/>
      <c r="V417" s="184"/>
    </row>
    <row r="418" spans="1:29" ht="25.5" customHeight="1" x14ac:dyDescent="0.25">
      <c r="A418" s="324">
        <v>256</v>
      </c>
      <c r="B418" s="324"/>
      <c r="C418" s="324"/>
      <c r="D418" s="324" t="s">
        <v>309</v>
      </c>
      <c r="E418" s="578" t="s">
        <v>3069</v>
      </c>
      <c r="F418" s="572">
        <v>38447</v>
      </c>
      <c r="G418" s="572">
        <v>38462</v>
      </c>
      <c r="H418" s="324" t="s">
        <v>675</v>
      </c>
      <c r="I418" s="324" t="s">
        <v>676</v>
      </c>
      <c r="J418" s="324" t="s">
        <v>584</v>
      </c>
      <c r="K418" s="324"/>
      <c r="L418" s="324"/>
      <c r="M418" s="324"/>
      <c r="N418" s="184"/>
      <c r="O418" s="184"/>
      <c r="P418" s="184"/>
      <c r="Q418" s="184"/>
      <c r="R418" s="184"/>
      <c r="S418" s="184"/>
      <c r="T418" s="184"/>
      <c r="U418" s="184"/>
      <c r="V418" s="184"/>
      <c r="W418" s="184"/>
      <c r="X418" s="184"/>
      <c r="Y418" s="184"/>
      <c r="Z418" s="184"/>
      <c r="AA418" s="184"/>
      <c r="AB418" s="184"/>
      <c r="AC418" s="184"/>
    </row>
    <row r="419" spans="1:29" ht="25.5" customHeight="1" x14ac:dyDescent="0.25">
      <c r="A419" s="325">
        <v>269</v>
      </c>
      <c r="B419" s="325"/>
      <c r="C419" s="325"/>
      <c r="D419" s="325" t="s">
        <v>309</v>
      </c>
      <c r="E419" s="577" t="s">
        <v>3069</v>
      </c>
      <c r="F419" s="573">
        <v>38447</v>
      </c>
      <c r="G419" s="573">
        <v>38462</v>
      </c>
      <c r="H419" s="325" t="s">
        <v>942</v>
      </c>
      <c r="I419" s="325" t="s">
        <v>943</v>
      </c>
      <c r="J419" s="325" t="s">
        <v>584</v>
      </c>
      <c r="K419" s="325"/>
      <c r="L419" s="325"/>
      <c r="M419" s="325"/>
      <c r="N419" s="184"/>
      <c r="O419" s="326"/>
      <c r="P419" s="184"/>
      <c r="Q419" s="184"/>
      <c r="R419" s="184"/>
      <c r="S419" s="184"/>
      <c r="T419" s="184"/>
      <c r="U419" s="184"/>
      <c r="V419" s="184"/>
    </row>
    <row r="420" spans="1:29" ht="25.5" customHeight="1" x14ac:dyDescent="0.25">
      <c r="A420" s="324">
        <v>252</v>
      </c>
      <c r="B420" s="324"/>
      <c r="C420" s="324"/>
      <c r="D420" s="324" t="s">
        <v>309</v>
      </c>
      <c r="E420" s="578" t="s">
        <v>3072</v>
      </c>
      <c r="F420" s="572">
        <v>38435</v>
      </c>
      <c r="G420" s="572">
        <v>38464</v>
      </c>
      <c r="H420" s="324" t="s">
        <v>668</v>
      </c>
      <c r="I420" s="324" t="s">
        <v>659</v>
      </c>
      <c r="J420" s="324" t="s">
        <v>502</v>
      </c>
      <c r="K420" s="324"/>
      <c r="L420" s="324"/>
      <c r="M420" s="324"/>
      <c r="N420" s="184"/>
      <c r="O420" s="184"/>
      <c r="P420" s="184"/>
      <c r="Q420" s="184"/>
      <c r="R420" s="184"/>
      <c r="S420" s="184"/>
      <c r="T420" s="184"/>
      <c r="U420" s="184"/>
      <c r="V420" s="184"/>
      <c r="W420" s="184"/>
      <c r="X420" s="184"/>
      <c r="Y420" s="184"/>
      <c r="Z420" s="184"/>
      <c r="AA420" s="184"/>
      <c r="AB420" s="184"/>
      <c r="AC420" s="184"/>
    </row>
    <row r="421" spans="1:29" ht="25.5" customHeight="1" x14ac:dyDescent="0.25">
      <c r="A421" s="325">
        <v>266</v>
      </c>
      <c r="B421" s="325"/>
      <c r="C421" s="325"/>
      <c r="D421" s="325" t="s">
        <v>309</v>
      </c>
      <c r="E421" s="577" t="s">
        <v>3072</v>
      </c>
      <c r="F421" s="573">
        <v>38435</v>
      </c>
      <c r="G421" s="573">
        <v>38464</v>
      </c>
      <c r="H421" s="325" t="s">
        <v>941</v>
      </c>
      <c r="I421" s="325" t="s">
        <v>659</v>
      </c>
      <c r="J421" s="325" t="s">
        <v>502</v>
      </c>
      <c r="K421" s="325"/>
      <c r="L421" s="325"/>
      <c r="M421" s="325"/>
      <c r="N421" s="184"/>
      <c r="O421" s="326"/>
      <c r="P421" s="184"/>
      <c r="Q421" s="184"/>
      <c r="R421" s="184"/>
      <c r="S421" s="184"/>
      <c r="T421" s="184"/>
      <c r="U421" s="184"/>
      <c r="V421" s="184"/>
    </row>
    <row r="422" spans="1:29" ht="25.5" customHeight="1" x14ac:dyDescent="0.25">
      <c r="A422" s="324">
        <v>257</v>
      </c>
      <c r="B422" s="324"/>
      <c r="C422" s="324"/>
      <c r="D422" s="324" t="s">
        <v>309</v>
      </c>
      <c r="E422" s="578" t="s">
        <v>3075</v>
      </c>
      <c r="F422" s="572">
        <v>38457</v>
      </c>
      <c r="G422" s="572">
        <v>38474</v>
      </c>
      <c r="H422" s="324" t="s">
        <v>678</v>
      </c>
      <c r="I422" s="324" t="s">
        <v>679</v>
      </c>
      <c r="J422" s="324" t="s">
        <v>505</v>
      </c>
      <c r="K422" s="324"/>
      <c r="L422" s="324"/>
      <c r="M422" s="324"/>
      <c r="N422" s="184"/>
      <c r="O422" s="184"/>
      <c r="P422" s="184"/>
      <c r="Q422" s="184"/>
      <c r="R422" s="184"/>
      <c r="S422" s="184"/>
      <c r="T422" s="184"/>
      <c r="U422" s="184"/>
      <c r="V422" s="184"/>
      <c r="W422" s="184"/>
      <c r="X422" s="184"/>
      <c r="Y422" s="184"/>
      <c r="Z422" s="184"/>
      <c r="AA422" s="184"/>
      <c r="AB422" s="184"/>
      <c r="AC422" s="184"/>
    </row>
    <row r="423" spans="1:29" ht="25.5" customHeight="1" x14ac:dyDescent="0.25">
      <c r="A423" s="325">
        <v>270</v>
      </c>
      <c r="B423" s="325"/>
      <c r="C423" s="325"/>
      <c r="D423" s="325" t="s">
        <v>309</v>
      </c>
      <c r="E423" s="577" t="s">
        <v>3075</v>
      </c>
      <c r="F423" s="573">
        <v>38457</v>
      </c>
      <c r="G423" s="573">
        <v>38474</v>
      </c>
      <c r="H423" s="325" t="s">
        <v>944</v>
      </c>
      <c r="I423" s="325" t="s">
        <v>945</v>
      </c>
      <c r="J423" s="325" t="s">
        <v>505</v>
      </c>
      <c r="K423" s="325"/>
      <c r="L423" s="325"/>
      <c r="M423" s="325"/>
      <c r="N423" s="184"/>
      <c r="O423" s="326"/>
      <c r="P423" s="184"/>
      <c r="Q423" s="184"/>
      <c r="R423" s="184"/>
      <c r="S423" s="184"/>
      <c r="T423" s="184"/>
      <c r="U423" s="184"/>
      <c r="V423" s="184"/>
    </row>
    <row r="424" spans="1:29" ht="25.5" customHeight="1" x14ac:dyDescent="0.25">
      <c r="A424" s="324">
        <v>253</v>
      </c>
      <c r="B424" s="324"/>
      <c r="C424" s="324"/>
      <c r="D424" s="324" t="s">
        <v>309</v>
      </c>
      <c r="E424" s="578" t="s">
        <v>273</v>
      </c>
      <c r="F424" s="572">
        <v>38440</v>
      </c>
      <c r="G424" s="572">
        <v>38504</v>
      </c>
      <c r="H424" s="324" t="s">
        <v>274</v>
      </c>
      <c r="I424" s="324" t="s">
        <v>250</v>
      </c>
      <c r="J424" s="324" t="s">
        <v>505</v>
      </c>
      <c r="K424" s="324"/>
      <c r="L424" s="324"/>
      <c r="M424" s="324"/>
      <c r="N424" s="184"/>
      <c r="O424" s="184"/>
      <c r="P424" s="184"/>
      <c r="Q424" s="184"/>
      <c r="R424" s="184"/>
      <c r="S424" s="184"/>
      <c r="T424" s="184"/>
      <c r="U424" s="184"/>
      <c r="V424" s="184"/>
      <c r="W424" s="184"/>
      <c r="X424" s="184"/>
      <c r="Y424" s="184"/>
      <c r="Z424" s="184"/>
      <c r="AA424" s="184"/>
      <c r="AB424" s="184"/>
      <c r="AC424" s="184"/>
    </row>
    <row r="425" spans="1:29" ht="25.5" customHeight="1" x14ac:dyDescent="0.25">
      <c r="A425" s="184">
        <v>14</v>
      </c>
      <c r="B425" s="184"/>
      <c r="C425" s="184"/>
      <c r="D425" s="325" t="s">
        <v>309</v>
      </c>
      <c r="E425" s="579" t="s">
        <v>273</v>
      </c>
      <c r="F425" s="321">
        <v>38440</v>
      </c>
      <c r="G425" s="321">
        <v>38504</v>
      </c>
      <c r="H425" s="184" t="s">
        <v>274</v>
      </c>
      <c r="I425" s="184" t="s">
        <v>487</v>
      </c>
      <c r="J425" s="184" t="s">
        <v>505</v>
      </c>
      <c r="K425" s="184"/>
      <c r="L425" s="184">
        <v>36</v>
      </c>
      <c r="M425" s="184">
        <v>40</v>
      </c>
      <c r="N425" s="184"/>
      <c r="O425" s="326">
        <v>39536</v>
      </c>
      <c r="P425" s="184"/>
      <c r="Q425" s="184">
        <v>0.1875</v>
      </c>
      <c r="R425" s="184"/>
      <c r="S425" s="184" t="s">
        <v>243</v>
      </c>
      <c r="T425" s="184"/>
      <c r="U425" s="184"/>
      <c r="V425" s="322"/>
    </row>
    <row r="426" spans="1:29" ht="25.5" customHeight="1" x14ac:dyDescent="0.25">
      <c r="A426" s="184">
        <v>14</v>
      </c>
      <c r="B426" s="184"/>
      <c r="C426" s="184"/>
      <c r="D426" s="184" t="s">
        <v>238</v>
      </c>
      <c r="E426" s="579" t="s">
        <v>273</v>
      </c>
      <c r="F426" s="321">
        <v>38440</v>
      </c>
      <c r="G426" s="321">
        <v>38504</v>
      </c>
      <c r="H426" s="184" t="s">
        <v>274</v>
      </c>
      <c r="I426" s="184" t="s">
        <v>250</v>
      </c>
      <c r="J426" s="184" t="s">
        <v>242</v>
      </c>
      <c r="K426" s="184"/>
      <c r="L426" s="184">
        <v>36</v>
      </c>
      <c r="M426" s="184">
        <v>40</v>
      </c>
      <c r="N426" s="184"/>
      <c r="O426" s="321">
        <v>39536</v>
      </c>
      <c r="P426" s="184"/>
      <c r="Q426" s="184">
        <v>0.1875</v>
      </c>
      <c r="R426" s="184"/>
      <c r="S426" s="184" t="s">
        <v>243</v>
      </c>
      <c r="T426" s="184"/>
      <c r="U426" s="184"/>
      <c r="V426" s="322"/>
      <c r="W426" s="248"/>
      <c r="X426" s="248"/>
      <c r="Y426" s="248"/>
      <c r="Z426" s="248"/>
      <c r="AA426" s="248"/>
      <c r="AB426" s="248"/>
      <c r="AC426" s="248"/>
    </row>
    <row r="427" spans="1:29" ht="25.5" customHeight="1" x14ac:dyDescent="0.25">
      <c r="A427" s="324">
        <v>254</v>
      </c>
      <c r="B427" s="324"/>
      <c r="C427" s="324"/>
      <c r="D427" s="324" t="s">
        <v>615</v>
      </c>
      <c r="E427" s="578" t="s">
        <v>3090</v>
      </c>
      <c r="F427" s="572">
        <v>38441</v>
      </c>
      <c r="G427" s="572">
        <v>38511</v>
      </c>
      <c r="H427" s="324" t="s">
        <v>671</v>
      </c>
      <c r="I427" s="324" t="s">
        <v>250</v>
      </c>
      <c r="J427" s="324" t="s">
        <v>505</v>
      </c>
      <c r="K427" s="324"/>
      <c r="L427" s="324"/>
      <c r="M427" s="324"/>
      <c r="N427" s="184"/>
      <c r="O427" s="184"/>
      <c r="P427" s="184"/>
      <c r="Q427" s="184"/>
      <c r="R427" s="184"/>
      <c r="S427" s="184"/>
      <c r="T427" s="184"/>
      <c r="U427" s="184"/>
      <c r="V427" s="184"/>
      <c r="W427" s="184"/>
      <c r="X427" s="184"/>
      <c r="Y427" s="184"/>
      <c r="Z427" s="184"/>
      <c r="AA427" s="184"/>
      <c r="AB427" s="184"/>
      <c r="AC427" s="184"/>
    </row>
    <row r="428" spans="1:29" ht="25.5" customHeight="1" x14ac:dyDescent="0.25">
      <c r="A428" s="325">
        <v>267</v>
      </c>
      <c r="B428" s="325"/>
      <c r="C428" s="325"/>
      <c r="D428" s="325" t="s">
        <v>615</v>
      </c>
      <c r="E428" s="577" t="s">
        <v>3090</v>
      </c>
      <c r="F428" s="573">
        <v>38441</v>
      </c>
      <c r="G428" s="573">
        <v>38511</v>
      </c>
      <c r="H428" s="325" t="s">
        <v>671</v>
      </c>
      <c r="I428" s="325" t="s">
        <v>487</v>
      </c>
      <c r="J428" s="325" t="s">
        <v>505</v>
      </c>
      <c r="K428" s="325"/>
      <c r="L428" s="325"/>
      <c r="M428" s="325"/>
      <c r="N428" s="184"/>
      <c r="O428" s="326"/>
      <c r="P428" s="184"/>
      <c r="Q428" s="184"/>
      <c r="R428" s="184"/>
      <c r="S428" s="184"/>
      <c r="T428" s="184"/>
      <c r="U428" s="184"/>
      <c r="V428" s="184"/>
    </row>
    <row r="429" spans="1:29" ht="25.5" customHeight="1" x14ac:dyDescent="0.25">
      <c r="A429" s="324">
        <v>255</v>
      </c>
      <c r="B429" s="324"/>
      <c r="C429" s="324"/>
      <c r="D429" s="324" t="s">
        <v>615</v>
      </c>
      <c r="E429" s="578" t="s">
        <v>3092</v>
      </c>
      <c r="F429" s="572">
        <v>38441</v>
      </c>
      <c r="G429" s="572">
        <v>38511</v>
      </c>
      <c r="H429" s="324" t="s">
        <v>673</v>
      </c>
      <c r="I429" s="324" t="s">
        <v>250</v>
      </c>
      <c r="J429" s="324" t="s">
        <v>505</v>
      </c>
      <c r="K429" s="324"/>
      <c r="L429" s="324"/>
      <c r="M429" s="324"/>
      <c r="N429" s="184"/>
      <c r="O429" s="184"/>
      <c r="P429" s="184"/>
      <c r="Q429" s="184"/>
      <c r="R429" s="184"/>
      <c r="S429" s="184"/>
      <c r="T429" s="184"/>
      <c r="U429" s="184"/>
      <c r="V429" s="184"/>
      <c r="W429" s="184"/>
      <c r="X429" s="184"/>
      <c r="Y429" s="184"/>
      <c r="Z429" s="184"/>
      <c r="AA429" s="184"/>
      <c r="AB429" s="184"/>
      <c r="AC429" s="184"/>
    </row>
    <row r="430" spans="1:29" ht="25.5" customHeight="1" x14ac:dyDescent="0.25">
      <c r="A430" s="325">
        <v>268</v>
      </c>
      <c r="B430" s="325"/>
      <c r="C430" s="325"/>
      <c r="D430" s="325" t="s">
        <v>615</v>
      </c>
      <c r="E430" s="577" t="s">
        <v>3092</v>
      </c>
      <c r="F430" s="573">
        <v>38441</v>
      </c>
      <c r="G430" s="573">
        <v>38511</v>
      </c>
      <c r="H430" s="325" t="s">
        <v>673</v>
      </c>
      <c r="I430" s="325" t="s">
        <v>487</v>
      </c>
      <c r="J430" s="325" t="s">
        <v>505</v>
      </c>
      <c r="K430" s="325"/>
      <c r="L430" s="325"/>
      <c r="M430" s="325"/>
      <c r="N430" s="184"/>
      <c r="O430" s="326"/>
      <c r="P430" s="184"/>
      <c r="Q430" s="184"/>
      <c r="R430" s="184"/>
      <c r="S430" s="184"/>
      <c r="T430" s="184"/>
      <c r="U430" s="184"/>
      <c r="V430" s="184"/>
    </row>
    <row r="431" spans="1:29" ht="25.5" customHeight="1" x14ac:dyDescent="0.25">
      <c r="A431" s="324">
        <v>262</v>
      </c>
      <c r="B431" s="324"/>
      <c r="C431" s="324"/>
      <c r="D431" s="324" t="s">
        <v>309</v>
      </c>
      <c r="E431" s="578" t="s">
        <v>277</v>
      </c>
      <c r="F431" s="572">
        <v>38482</v>
      </c>
      <c r="G431" s="572">
        <v>38541</v>
      </c>
      <c r="H431" s="324" t="s">
        <v>278</v>
      </c>
      <c r="I431" s="324" t="s">
        <v>250</v>
      </c>
      <c r="J431" s="324" t="s">
        <v>488</v>
      </c>
      <c r="K431" s="324"/>
      <c r="L431" s="324"/>
      <c r="M431" s="324"/>
      <c r="N431" s="184"/>
      <c r="O431" s="184"/>
      <c r="P431" s="184"/>
      <c r="Q431" s="184"/>
      <c r="R431" s="184"/>
      <c r="S431" s="184"/>
      <c r="T431" s="184"/>
      <c r="U431" s="184"/>
      <c r="V431" s="184"/>
      <c r="W431" s="184"/>
      <c r="X431" s="184"/>
      <c r="Y431" s="184"/>
      <c r="Z431" s="184"/>
      <c r="AA431" s="184"/>
      <c r="AB431" s="184"/>
      <c r="AC431" s="184"/>
    </row>
    <row r="432" spans="1:29" ht="25.5" customHeight="1" x14ac:dyDescent="0.25">
      <c r="A432" s="184">
        <v>16</v>
      </c>
      <c r="B432" s="184"/>
      <c r="C432" s="184"/>
      <c r="D432" s="325" t="s">
        <v>309</v>
      </c>
      <c r="E432" s="579" t="s">
        <v>277</v>
      </c>
      <c r="F432" s="321">
        <v>38482</v>
      </c>
      <c r="G432" s="321">
        <v>38541</v>
      </c>
      <c r="H432" s="184" t="s">
        <v>278</v>
      </c>
      <c r="I432" s="184" t="s">
        <v>487</v>
      </c>
      <c r="J432" s="184" t="s">
        <v>488</v>
      </c>
      <c r="K432" s="184"/>
      <c r="L432" s="184">
        <v>24</v>
      </c>
      <c r="M432" s="184">
        <v>160</v>
      </c>
      <c r="N432" s="184"/>
      <c r="O432" s="326">
        <v>39212</v>
      </c>
      <c r="P432" s="184"/>
      <c r="Q432" s="184">
        <v>0.1875</v>
      </c>
      <c r="R432" s="184"/>
      <c r="S432" s="184" t="s">
        <v>243</v>
      </c>
      <c r="T432" s="184"/>
      <c r="U432" s="184"/>
      <c r="V432" s="322"/>
    </row>
    <row r="433" spans="1:29" ht="25.5" customHeight="1" x14ac:dyDescent="0.25">
      <c r="A433" s="184">
        <v>15</v>
      </c>
      <c r="B433" s="184"/>
      <c r="C433" s="184"/>
      <c r="D433" s="184" t="s">
        <v>238</v>
      </c>
      <c r="E433" s="579" t="s">
        <v>277</v>
      </c>
      <c r="F433" s="321">
        <v>38482</v>
      </c>
      <c r="G433" s="321">
        <v>38541</v>
      </c>
      <c r="H433" s="184" t="s">
        <v>278</v>
      </c>
      <c r="I433" s="184" t="s">
        <v>250</v>
      </c>
      <c r="J433" s="184" t="s">
        <v>242</v>
      </c>
      <c r="K433" s="184"/>
      <c r="L433" s="184">
        <v>24</v>
      </c>
      <c r="M433" s="184">
        <v>160</v>
      </c>
      <c r="N433" s="184"/>
      <c r="O433" s="321">
        <v>39212</v>
      </c>
      <c r="P433" s="184"/>
      <c r="Q433" s="184">
        <v>0.1875</v>
      </c>
      <c r="R433" s="184"/>
      <c r="S433" s="184" t="s">
        <v>243</v>
      </c>
      <c r="T433" s="184"/>
      <c r="U433" s="184"/>
      <c r="V433" s="322"/>
      <c r="W433" s="248"/>
      <c r="X433" s="248"/>
      <c r="Y433" s="248"/>
      <c r="Z433" s="248"/>
      <c r="AA433" s="248"/>
      <c r="AB433" s="248"/>
      <c r="AC433" s="248"/>
    </row>
    <row r="434" spans="1:29" ht="25.5" customHeight="1" x14ac:dyDescent="0.25">
      <c r="A434" s="324">
        <v>258</v>
      </c>
      <c r="B434" s="324"/>
      <c r="C434" s="324"/>
      <c r="D434" s="324" t="s">
        <v>309</v>
      </c>
      <c r="E434" s="578" t="s">
        <v>275</v>
      </c>
      <c r="F434" s="572">
        <v>38468</v>
      </c>
      <c r="G434" s="572">
        <v>38551</v>
      </c>
      <c r="H434" s="324" t="s">
        <v>681</v>
      </c>
      <c r="I434" s="324" t="s">
        <v>682</v>
      </c>
      <c r="J434" s="324" t="s">
        <v>488</v>
      </c>
      <c r="K434" s="324"/>
      <c r="L434" s="324"/>
      <c r="M434" s="324"/>
      <c r="N434" s="184"/>
      <c r="O434" s="184"/>
      <c r="P434" s="184"/>
      <c r="Q434" s="184"/>
      <c r="R434" s="184"/>
      <c r="S434" s="184"/>
      <c r="T434" s="184"/>
      <c r="U434" s="184"/>
      <c r="V434" s="184"/>
      <c r="W434" s="184"/>
      <c r="X434" s="184"/>
      <c r="Y434" s="184"/>
      <c r="Z434" s="184"/>
      <c r="AA434" s="184"/>
      <c r="AB434" s="184"/>
      <c r="AC434" s="184"/>
    </row>
    <row r="435" spans="1:29" ht="25.5" customHeight="1" x14ac:dyDescent="0.25">
      <c r="A435" s="184">
        <v>15</v>
      </c>
      <c r="B435" s="184"/>
      <c r="C435" s="184"/>
      <c r="D435" s="325" t="s">
        <v>309</v>
      </c>
      <c r="E435" s="579" t="s">
        <v>275</v>
      </c>
      <c r="F435" s="321">
        <v>38468</v>
      </c>
      <c r="G435" s="321">
        <v>38551</v>
      </c>
      <c r="H435" s="184" t="s">
        <v>754</v>
      </c>
      <c r="I435" s="184" t="s">
        <v>749</v>
      </c>
      <c r="J435" s="184" t="s">
        <v>488</v>
      </c>
      <c r="K435" s="184"/>
      <c r="L435" s="184">
        <v>36</v>
      </c>
      <c r="M435" s="184">
        <v>160</v>
      </c>
      <c r="N435" s="184"/>
      <c r="O435" s="326">
        <v>39564</v>
      </c>
      <c r="P435" s="184"/>
      <c r="Q435" s="184">
        <v>0.1875</v>
      </c>
      <c r="R435" s="184"/>
      <c r="S435" s="184" t="s">
        <v>243</v>
      </c>
      <c r="T435" s="184"/>
      <c r="U435" s="184"/>
      <c r="V435" s="322"/>
    </row>
    <row r="436" spans="1:29" ht="25.5" customHeight="1" x14ac:dyDescent="0.25">
      <c r="A436" s="324">
        <v>259</v>
      </c>
      <c r="B436" s="324"/>
      <c r="C436" s="324"/>
      <c r="D436" s="324" t="s">
        <v>309</v>
      </c>
      <c r="E436" s="578" t="s">
        <v>3109</v>
      </c>
      <c r="F436" s="572">
        <v>38468</v>
      </c>
      <c r="G436" s="572">
        <v>38551</v>
      </c>
      <c r="H436" s="324" t="s">
        <v>513</v>
      </c>
      <c r="I436" s="324" t="s">
        <v>676</v>
      </c>
      <c r="J436" s="324" t="s">
        <v>488</v>
      </c>
      <c r="K436" s="324"/>
      <c r="L436" s="324"/>
      <c r="M436" s="324"/>
      <c r="N436" s="184"/>
      <c r="O436" s="184"/>
      <c r="P436" s="184"/>
      <c r="Q436" s="184"/>
      <c r="R436" s="184"/>
      <c r="S436" s="184"/>
      <c r="T436" s="184"/>
      <c r="U436" s="184"/>
      <c r="V436" s="184"/>
      <c r="W436" s="184"/>
      <c r="X436" s="184"/>
      <c r="Y436" s="184"/>
      <c r="Z436" s="184"/>
      <c r="AA436" s="184"/>
      <c r="AB436" s="184"/>
      <c r="AC436" s="184"/>
    </row>
    <row r="437" spans="1:29" ht="25.5" customHeight="1" x14ac:dyDescent="0.25">
      <c r="A437" s="325">
        <v>271</v>
      </c>
      <c r="B437" s="325"/>
      <c r="C437" s="325"/>
      <c r="D437" s="325" t="s">
        <v>309</v>
      </c>
      <c r="E437" s="577" t="s">
        <v>3109</v>
      </c>
      <c r="F437" s="573">
        <v>38468</v>
      </c>
      <c r="G437" s="573">
        <v>38551</v>
      </c>
      <c r="H437" s="325" t="s">
        <v>513</v>
      </c>
      <c r="I437" s="325" t="s">
        <v>943</v>
      </c>
      <c r="J437" s="325" t="s">
        <v>488</v>
      </c>
      <c r="K437" s="325"/>
      <c r="L437" s="325"/>
      <c r="M437" s="325"/>
      <c r="N437" s="184"/>
      <c r="O437" s="326"/>
      <c r="P437" s="184"/>
      <c r="Q437" s="184"/>
      <c r="R437" s="184"/>
      <c r="S437" s="184"/>
      <c r="T437" s="184"/>
      <c r="U437" s="184"/>
      <c r="V437" s="184"/>
    </row>
    <row r="438" spans="1:29" ht="25.5" customHeight="1" x14ac:dyDescent="0.25">
      <c r="A438" s="324">
        <v>260</v>
      </c>
      <c r="B438" s="324"/>
      <c r="C438" s="324"/>
      <c r="D438" s="324" t="s">
        <v>309</v>
      </c>
      <c r="E438" s="578" t="s">
        <v>3111</v>
      </c>
      <c r="F438" s="572">
        <v>38468</v>
      </c>
      <c r="G438" s="572">
        <v>38551</v>
      </c>
      <c r="H438" s="324" t="s">
        <v>685</v>
      </c>
      <c r="I438" s="324" t="s">
        <v>676</v>
      </c>
      <c r="J438" s="324" t="s">
        <v>686</v>
      </c>
      <c r="K438" s="324"/>
      <c r="L438" s="324"/>
      <c r="M438" s="324"/>
      <c r="N438" s="184"/>
      <c r="O438" s="184"/>
      <c r="P438" s="184"/>
      <c r="Q438" s="184"/>
      <c r="R438" s="184"/>
      <c r="S438" s="184"/>
      <c r="T438" s="184"/>
      <c r="U438" s="184"/>
      <c r="V438" s="184"/>
      <c r="W438" s="184"/>
      <c r="X438" s="184"/>
      <c r="Y438" s="184"/>
      <c r="Z438" s="184"/>
      <c r="AA438" s="184"/>
      <c r="AB438" s="184"/>
      <c r="AC438" s="184"/>
    </row>
    <row r="439" spans="1:29" ht="25.5" customHeight="1" x14ac:dyDescent="0.25">
      <c r="A439" s="325">
        <v>272</v>
      </c>
      <c r="B439" s="325"/>
      <c r="C439" s="325"/>
      <c r="D439" s="325" t="s">
        <v>309</v>
      </c>
      <c r="E439" s="577" t="s">
        <v>3111</v>
      </c>
      <c r="F439" s="573">
        <v>38468</v>
      </c>
      <c r="G439" s="573">
        <v>38551</v>
      </c>
      <c r="H439" s="325" t="s">
        <v>946</v>
      </c>
      <c r="I439" s="325" t="s">
        <v>943</v>
      </c>
      <c r="J439" s="325" t="s">
        <v>686</v>
      </c>
      <c r="K439" s="325"/>
      <c r="L439" s="325"/>
      <c r="M439" s="325"/>
      <c r="N439" s="184"/>
      <c r="O439" s="326"/>
      <c r="P439" s="184"/>
      <c r="Q439" s="184"/>
      <c r="R439" s="184"/>
      <c r="S439" s="184"/>
      <c r="T439" s="184"/>
      <c r="U439" s="184"/>
      <c r="V439" s="184"/>
    </row>
    <row r="440" spans="1:29" ht="25.5" customHeight="1" x14ac:dyDescent="0.25">
      <c r="A440" s="324">
        <v>261</v>
      </c>
      <c r="B440" s="324"/>
      <c r="C440" s="324"/>
      <c r="D440" s="324" t="s">
        <v>309</v>
      </c>
      <c r="E440" s="578" t="s">
        <v>3114</v>
      </c>
      <c r="F440" s="572">
        <v>38468</v>
      </c>
      <c r="G440" s="572">
        <v>38552</v>
      </c>
      <c r="H440" s="324" t="s">
        <v>688</v>
      </c>
      <c r="I440" s="324" t="s">
        <v>689</v>
      </c>
      <c r="J440" s="324" t="s">
        <v>488</v>
      </c>
      <c r="K440" s="324"/>
      <c r="L440" s="324"/>
      <c r="M440" s="324"/>
      <c r="N440" s="184"/>
      <c r="O440" s="184"/>
      <c r="P440" s="184"/>
      <c r="Q440" s="184"/>
      <c r="R440" s="184"/>
      <c r="S440" s="184"/>
      <c r="T440" s="184"/>
      <c r="U440" s="184"/>
      <c r="V440" s="184"/>
      <c r="W440" s="184"/>
      <c r="X440" s="184"/>
      <c r="Y440" s="184"/>
      <c r="Z440" s="184"/>
      <c r="AA440" s="184"/>
      <c r="AB440" s="184"/>
      <c r="AC440" s="184"/>
    </row>
    <row r="441" spans="1:29" ht="25.5" customHeight="1" x14ac:dyDescent="0.25">
      <c r="A441" s="325">
        <v>273</v>
      </c>
      <c r="B441" s="325"/>
      <c r="C441" s="325"/>
      <c r="D441" s="325" t="s">
        <v>309</v>
      </c>
      <c r="E441" s="577" t="s">
        <v>3114</v>
      </c>
      <c r="F441" s="573">
        <v>38468</v>
      </c>
      <c r="G441" s="573">
        <v>38552</v>
      </c>
      <c r="H441" s="325" t="s">
        <v>509</v>
      </c>
      <c r="I441" s="325" t="s">
        <v>947</v>
      </c>
      <c r="J441" s="325" t="s">
        <v>488</v>
      </c>
      <c r="K441" s="325"/>
      <c r="L441" s="325"/>
      <c r="M441" s="325"/>
      <c r="N441" s="184"/>
      <c r="O441" s="326"/>
      <c r="P441" s="184"/>
      <c r="Q441" s="184"/>
      <c r="R441" s="184"/>
      <c r="S441" s="184"/>
      <c r="T441" s="184"/>
      <c r="U441" s="184"/>
      <c r="V441" s="184"/>
    </row>
    <row r="442" spans="1:29" ht="25.5" customHeight="1" x14ac:dyDescent="0.25">
      <c r="A442" s="324">
        <v>263</v>
      </c>
      <c r="B442" s="324"/>
      <c r="C442" s="324"/>
      <c r="D442" s="324" t="s">
        <v>309</v>
      </c>
      <c r="E442" s="578" t="s">
        <v>3117</v>
      </c>
      <c r="F442" s="572">
        <v>38482</v>
      </c>
      <c r="G442" s="572">
        <v>38554</v>
      </c>
      <c r="H442" s="324" t="s">
        <v>692</v>
      </c>
      <c r="I442" s="324" t="s">
        <v>250</v>
      </c>
      <c r="J442" s="324" t="s">
        <v>488</v>
      </c>
      <c r="K442" s="324"/>
      <c r="L442" s="324"/>
      <c r="M442" s="324"/>
      <c r="N442" s="184"/>
      <c r="O442" s="184"/>
      <c r="P442" s="184"/>
      <c r="Q442" s="184"/>
      <c r="R442" s="184"/>
      <c r="S442" s="184"/>
      <c r="T442" s="184"/>
      <c r="U442" s="184"/>
      <c r="V442" s="184"/>
      <c r="W442" s="184"/>
      <c r="X442" s="184"/>
      <c r="Y442" s="184"/>
      <c r="Z442" s="184"/>
      <c r="AA442" s="184"/>
      <c r="AB442" s="184"/>
      <c r="AC442" s="184"/>
    </row>
    <row r="443" spans="1:29" ht="25.5" customHeight="1" x14ac:dyDescent="0.25">
      <c r="A443" s="325">
        <v>274</v>
      </c>
      <c r="B443" s="325"/>
      <c r="C443" s="325"/>
      <c r="D443" s="325" t="s">
        <v>309</v>
      </c>
      <c r="E443" s="577" t="s">
        <v>3117</v>
      </c>
      <c r="F443" s="573">
        <v>38482</v>
      </c>
      <c r="G443" s="573">
        <v>38554</v>
      </c>
      <c r="H443" s="325" t="s">
        <v>692</v>
      </c>
      <c r="I443" s="325" t="s">
        <v>487</v>
      </c>
      <c r="J443" s="325" t="s">
        <v>488</v>
      </c>
      <c r="K443" s="325"/>
      <c r="L443" s="325"/>
      <c r="M443" s="325"/>
      <c r="N443" s="184"/>
      <c r="O443" s="326"/>
      <c r="P443" s="184"/>
      <c r="Q443" s="184"/>
      <c r="R443" s="184"/>
      <c r="S443" s="184"/>
      <c r="T443" s="184"/>
      <c r="U443" s="184"/>
      <c r="V443" s="184"/>
    </row>
    <row r="444" spans="1:29" ht="25.5" customHeight="1" x14ac:dyDescent="0.25">
      <c r="A444" s="324">
        <v>264</v>
      </c>
      <c r="B444" s="324"/>
      <c r="C444" s="324"/>
      <c r="D444" s="324" t="s">
        <v>309</v>
      </c>
      <c r="E444" s="578" t="s">
        <v>3119</v>
      </c>
      <c r="F444" s="572">
        <v>38482</v>
      </c>
      <c r="G444" s="572">
        <v>38554</v>
      </c>
      <c r="H444" s="324" t="s">
        <v>622</v>
      </c>
      <c r="I444" s="324" t="s">
        <v>250</v>
      </c>
      <c r="J444" s="324" t="s">
        <v>488</v>
      </c>
      <c r="K444" s="324"/>
      <c r="L444" s="324"/>
      <c r="M444" s="324"/>
      <c r="N444" s="184"/>
      <c r="O444" s="184"/>
      <c r="P444" s="184"/>
      <c r="Q444" s="184"/>
      <c r="R444" s="184"/>
      <c r="S444" s="184"/>
      <c r="T444" s="184"/>
      <c r="U444" s="184"/>
      <c r="V444" s="184"/>
      <c r="W444" s="184"/>
      <c r="X444" s="184"/>
      <c r="Y444" s="184"/>
      <c r="Z444" s="184"/>
      <c r="AA444" s="184"/>
      <c r="AB444" s="184"/>
      <c r="AC444" s="184"/>
    </row>
    <row r="445" spans="1:29" ht="25.5" customHeight="1" x14ac:dyDescent="0.25">
      <c r="A445" s="325">
        <v>275</v>
      </c>
      <c r="B445" s="325"/>
      <c r="C445" s="325"/>
      <c r="D445" s="325" t="s">
        <v>309</v>
      </c>
      <c r="E445" s="577" t="s">
        <v>3119</v>
      </c>
      <c r="F445" s="573">
        <v>38482</v>
      </c>
      <c r="G445" s="573">
        <v>38554</v>
      </c>
      <c r="H445" s="325" t="s">
        <v>622</v>
      </c>
      <c r="I445" s="325" t="s">
        <v>487</v>
      </c>
      <c r="J445" s="325" t="s">
        <v>488</v>
      </c>
      <c r="K445" s="325"/>
      <c r="L445" s="325"/>
      <c r="M445" s="325"/>
      <c r="N445" s="184"/>
      <c r="O445" s="326"/>
      <c r="P445" s="184"/>
      <c r="Q445" s="184"/>
      <c r="R445" s="184"/>
      <c r="S445" s="184"/>
      <c r="T445" s="184"/>
      <c r="U445" s="184"/>
      <c r="V445" s="184"/>
    </row>
    <row r="446" spans="1:29" ht="25.5" customHeight="1" x14ac:dyDescent="0.25">
      <c r="A446" s="324">
        <v>265</v>
      </c>
      <c r="B446" s="324"/>
      <c r="C446" s="324"/>
      <c r="D446" s="324" t="s">
        <v>309</v>
      </c>
      <c r="E446" s="578" t="s">
        <v>3121</v>
      </c>
      <c r="F446" s="572">
        <v>38482</v>
      </c>
      <c r="G446" s="572">
        <v>38554</v>
      </c>
      <c r="H446" s="324" t="s">
        <v>695</v>
      </c>
      <c r="I446" s="324" t="s">
        <v>250</v>
      </c>
      <c r="J446" s="324" t="s">
        <v>488</v>
      </c>
      <c r="K446" s="324"/>
      <c r="L446" s="324"/>
      <c r="M446" s="324"/>
      <c r="N446" s="184"/>
      <c r="O446" s="184"/>
      <c r="P446" s="184"/>
      <c r="Q446" s="184"/>
      <c r="R446" s="184"/>
      <c r="S446" s="184"/>
      <c r="T446" s="184"/>
      <c r="U446" s="184"/>
      <c r="V446" s="184"/>
      <c r="W446" s="184"/>
      <c r="X446" s="184"/>
      <c r="Y446" s="184"/>
      <c r="Z446" s="184"/>
      <c r="AA446" s="184"/>
      <c r="AB446" s="184"/>
      <c r="AC446" s="184"/>
    </row>
    <row r="447" spans="1:29" ht="25.5" customHeight="1" x14ac:dyDescent="0.25">
      <c r="A447" s="325">
        <v>276</v>
      </c>
      <c r="B447" s="325"/>
      <c r="C447" s="325"/>
      <c r="D447" s="325" t="s">
        <v>309</v>
      </c>
      <c r="E447" s="577" t="s">
        <v>3121</v>
      </c>
      <c r="F447" s="573">
        <v>38482</v>
      </c>
      <c r="G447" s="573">
        <v>38554</v>
      </c>
      <c r="H447" s="325" t="s">
        <v>695</v>
      </c>
      <c r="I447" s="325" t="s">
        <v>487</v>
      </c>
      <c r="J447" s="325" t="s">
        <v>488</v>
      </c>
      <c r="K447" s="325"/>
      <c r="L447" s="325"/>
      <c r="M447" s="325"/>
      <c r="N447" s="184"/>
      <c r="O447" s="326"/>
      <c r="P447" s="184"/>
      <c r="Q447" s="184"/>
      <c r="R447" s="184"/>
      <c r="S447" s="184"/>
      <c r="T447" s="184"/>
      <c r="U447" s="184"/>
      <c r="V447" s="184"/>
    </row>
    <row r="448" spans="1:29" ht="25.5" customHeight="1" x14ac:dyDescent="0.25">
      <c r="A448" s="324">
        <v>266</v>
      </c>
      <c r="B448" s="324"/>
      <c r="C448" s="324"/>
      <c r="D448" s="324" t="s">
        <v>309</v>
      </c>
      <c r="E448" s="578" t="s">
        <v>3123</v>
      </c>
      <c r="F448" s="572">
        <v>38482</v>
      </c>
      <c r="G448" s="572">
        <v>38554</v>
      </c>
      <c r="H448" s="324" t="s">
        <v>626</v>
      </c>
      <c r="I448" s="324" t="s">
        <v>250</v>
      </c>
      <c r="J448" s="324" t="s">
        <v>488</v>
      </c>
      <c r="K448" s="324"/>
      <c r="L448" s="324"/>
      <c r="M448" s="324"/>
      <c r="N448" s="184"/>
      <c r="O448" s="184"/>
      <c r="P448" s="184"/>
      <c r="Q448" s="184"/>
      <c r="R448" s="184"/>
      <c r="S448" s="184"/>
      <c r="T448" s="184"/>
      <c r="U448" s="184"/>
      <c r="V448" s="184"/>
      <c r="W448" s="184"/>
      <c r="X448" s="184"/>
      <c r="Y448" s="184"/>
      <c r="Z448" s="184"/>
      <c r="AA448" s="184"/>
      <c r="AB448" s="184"/>
      <c r="AC448" s="184"/>
    </row>
    <row r="449" spans="1:29" ht="25.5" customHeight="1" x14ac:dyDescent="0.25">
      <c r="A449" s="325">
        <v>277</v>
      </c>
      <c r="B449" s="325"/>
      <c r="C449" s="325"/>
      <c r="D449" s="325" t="s">
        <v>309</v>
      </c>
      <c r="E449" s="577" t="s">
        <v>3123</v>
      </c>
      <c r="F449" s="573">
        <v>38482</v>
      </c>
      <c r="G449" s="573">
        <v>38554</v>
      </c>
      <c r="H449" s="325" t="s">
        <v>626</v>
      </c>
      <c r="I449" s="325" t="s">
        <v>487</v>
      </c>
      <c r="J449" s="325" t="s">
        <v>488</v>
      </c>
      <c r="K449" s="325"/>
      <c r="L449" s="325"/>
      <c r="M449" s="325"/>
      <c r="N449" s="184"/>
      <c r="O449" s="326"/>
      <c r="P449" s="184"/>
      <c r="Q449" s="184"/>
      <c r="R449" s="184"/>
      <c r="S449" s="184"/>
      <c r="T449" s="184"/>
      <c r="U449" s="184"/>
      <c r="V449" s="184"/>
    </row>
    <row r="450" spans="1:29" ht="25.5" customHeight="1" x14ac:dyDescent="0.25">
      <c r="A450" s="184">
        <v>16</v>
      </c>
      <c r="B450" s="184"/>
      <c r="C450" s="184"/>
      <c r="D450" s="184" t="s">
        <v>238</v>
      </c>
      <c r="E450" s="579" t="s">
        <v>275</v>
      </c>
      <c r="F450" s="321">
        <v>38468</v>
      </c>
      <c r="G450" s="321">
        <v>38551</v>
      </c>
      <c r="H450" s="184" t="s">
        <v>276</v>
      </c>
      <c r="I450" s="184" t="s">
        <v>241</v>
      </c>
      <c r="J450" s="184" t="s">
        <v>242</v>
      </c>
      <c r="K450" s="184"/>
      <c r="L450" s="184">
        <v>36</v>
      </c>
      <c r="M450" s="184">
        <v>160</v>
      </c>
      <c r="N450" s="184"/>
      <c r="O450" s="321">
        <v>39564</v>
      </c>
      <c r="P450" s="184"/>
      <c r="Q450" s="184">
        <v>0.1875</v>
      </c>
      <c r="R450" s="184"/>
      <c r="S450" s="184" t="s">
        <v>243</v>
      </c>
      <c r="T450" s="184"/>
      <c r="U450" s="184"/>
      <c r="V450" s="322"/>
      <c r="W450" s="248"/>
      <c r="X450" s="248"/>
      <c r="Y450" s="248"/>
      <c r="Z450" s="248"/>
      <c r="AA450" s="248"/>
      <c r="AB450" s="248"/>
      <c r="AC450" s="248"/>
    </row>
    <row r="451" spans="1:29" ht="25.5" customHeight="1" x14ac:dyDescent="0.25">
      <c r="A451" s="324">
        <v>267</v>
      </c>
      <c r="B451" s="324"/>
      <c r="C451" s="324"/>
      <c r="D451" s="324" t="s">
        <v>309</v>
      </c>
      <c r="E451" s="578" t="s">
        <v>3125</v>
      </c>
      <c r="F451" s="572">
        <v>38482</v>
      </c>
      <c r="G451" s="572">
        <v>38555</v>
      </c>
      <c r="H451" s="324" t="s">
        <v>698</v>
      </c>
      <c r="I451" s="324" t="s">
        <v>250</v>
      </c>
      <c r="J451" s="324" t="s">
        <v>488</v>
      </c>
      <c r="K451" s="324"/>
      <c r="L451" s="324"/>
      <c r="M451" s="324"/>
      <c r="N451" s="184"/>
      <c r="O451" s="184"/>
      <c r="P451" s="184"/>
      <c r="Q451" s="184"/>
      <c r="R451" s="184"/>
      <c r="S451" s="184"/>
      <c r="T451" s="184"/>
      <c r="U451" s="184"/>
      <c r="V451" s="184"/>
      <c r="W451" s="184"/>
      <c r="X451" s="184"/>
      <c r="Y451" s="184"/>
      <c r="Z451" s="184"/>
      <c r="AA451" s="184"/>
      <c r="AB451" s="184"/>
      <c r="AC451" s="184"/>
    </row>
    <row r="452" spans="1:29" ht="25.5" customHeight="1" x14ac:dyDescent="0.25">
      <c r="A452" s="325">
        <v>278</v>
      </c>
      <c r="B452" s="325"/>
      <c r="C452" s="325"/>
      <c r="D452" s="325" t="s">
        <v>309</v>
      </c>
      <c r="E452" s="577" t="s">
        <v>3125</v>
      </c>
      <c r="F452" s="573">
        <v>38482</v>
      </c>
      <c r="G452" s="573">
        <v>38555</v>
      </c>
      <c r="H452" s="325" t="s">
        <v>698</v>
      </c>
      <c r="I452" s="325" t="s">
        <v>487</v>
      </c>
      <c r="J452" s="325" t="s">
        <v>488</v>
      </c>
      <c r="K452" s="325"/>
      <c r="L452" s="325"/>
      <c r="M452" s="325"/>
      <c r="N452" s="184"/>
      <c r="O452" s="326"/>
      <c r="P452" s="184"/>
      <c r="Q452" s="184"/>
      <c r="R452" s="184"/>
      <c r="S452" s="184"/>
      <c r="T452" s="184"/>
      <c r="U452" s="184"/>
      <c r="V452" s="184"/>
    </row>
    <row r="453" spans="1:29" ht="25.5" customHeight="1" x14ac:dyDescent="0.25">
      <c r="A453" s="324">
        <v>270</v>
      </c>
      <c r="B453" s="324"/>
      <c r="C453" s="324"/>
      <c r="D453" s="324" t="s">
        <v>309</v>
      </c>
      <c r="E453" s="578" t="s">
        <v>3146</v>
      </c>
      <c r="F453" s="572">
        <v>38632</v>
      </c>
      <c r="G453" s="572">
        <v>38644</v>
      </c>
      <c r="H453" s="324" t="s">
        <v>703</v>
      </c>
      <c r="I453" s="324" t="s">
        <v>259</v>
      </c>
      <c r="J453" s="324" t="s">
        <v>502</v>
      </c>
      <c r="K453" s="324"/>
      <c r="L453" s="324"/>
      <c r="M453" s="324"/>
      <c r="N453" s="184"/>
      <c r="O453" s="184"/>
      <c r="P453" s="184"/>
      <c r="Q453" s="184"/>
      <c r="R453" s="184"/>
      <c r="S453" s="184"/>
      <c r="T453" s="184"/>
      <c r="U453" s="184"/>
      <c r="V453" s="184"/>
      <c r="W453" s="184"/>
      <c r="X453" s="184"/>
      <c r="Y453" s="184"/>
      <c r="Z453" s="184"/>
      <c r="AA453" s="184"/>
      <c r="AB453" s="184"/>
      <c r="AC453" s="184"/>
    </row>
    <row r="454" spans="1:29" ht="25.5" customHeight="1" x14ac:dyDescent="0.25">
      <c r="A454" s="325">
        <v>280</v>
      </c>
      <c r="B454" s="325"/>
      <c r="C454" s="325"/>
      <c r="D454" s="325" t="s">
        <v>309</v>
      </c>
      <c r="E454" s="577" t="s">
        <v>3146</v>
      </c>
      <c r="F454" s="573">
        <v>38632</v>
      </c>
      <c r="G454" s="573">
        <v>38644</v>
      </c>
      <c r="H454" s="325" t="s">
        <v>948</v>
      </c>
      <c r="I454" s="325" t="s">
        <v>611</v>
      </c>
      <c r="J454" s="325" t="s">
        <v>502</v>
      </c>
      <c r="K454" s="325"/>
      <c r="L454" s="325"/>
      <c r="M454" s="325"/>
      <c r="N454" s="184"/>
      <c r="O454" s="326"/>
      <c r="P454" s="184"/>
      <c r="Q454" s="184"/>
      <c r="R454" s="184"/>
      <c r="S454" s="184"/>
      <c r="T454" s="184"/>
      <c r="U454" s="184"/>
      <c r="V454" s="184"/>
    </row>
    <row r="455" spans="1:29" ht="25.5" customHeight="1" x14ac:dyDescent="0.25">
      <c r="A455" s="324">
        <v>271</v>
      </c>
      <c r="B455" s="324"/>
      <c r="C455" s="324"/>
      <c r="D455" s="324" t="s">
        <v>309</v>
      </c>
      <c r="E455" s="578" t="s">
        <v>282</v>
      </c>
      <c r="F455" s="572">
        <v>38636</v>
      </c>
      <c r="G455" s="572">
        <v>38701</v>
      </c>
      <c r="H455" s="324" t="s">
        <v>283</v>
      </c>
      <c r="I455" s="324" t="s">
        <v>290</v>
      </c>
      <c r="J455" s="324" t="s">
        <v>505</v>
      </c>
      <c r="K455" s="324"/>
      <c r="L455" s="324"/>
      <c r="M455" s="324"/>
      <c r="N455" s="184"/>
      <c r="O455" s="184"/>
      <c r="P455" s="184"/>
      <c r="Q455" s="184"/>
      <c r="R455" s="184"/>
      <c r="S455" s="184"/>
      <c r="T455" s="184"/>
      <c r="U455" s="184"/>
      <c r="V455" s="184"/>
      <c r="W455" s="184"/>
      <c r="X455" s="184"/>
      <c r="Y455" s="184"/>
      <c r="Z455" s="184"/>
      <c r="AA455" s="184"/>
      <c r="AB455" s="184"/>
      <c r="AC455" s="184"/>
    </row>
    <row r="456" spans="1:29" ht="25.5" customHeight="1" x14ac:dyDescent="0.25">
      <c r="A456" s="184">
        <v>18</v>
      </c>
      <c r="B456" s="184"/>
      <c r="C456" s="184"/>
      <c r="D456" s="325" t="s">
        <v>309</v>
      </c>
      <c r="E456" s="579" t="s">
        <v>282</v>
      </c>
      <c r="F456" s="321">
        <v>38636</v>
      </c>
      <c r="G456" s="321">
        <v>38701</v>
      </c>
      <c r="H456" s="184" t="s">
        <v>283</v>
      </c>
      <c r="I456" s="184" t="s">
        <v>756</v>
      </c>
      <c r="J456" s="184" t="s">
        <v>505</v>
      </c>
      <c r="K456" s="184"/>
      <c r="L456" s="184">
        <v>24</v>
      </c>
      <c r="M456" s="184">
        <v>40</v>
      </c>
      <c r="N456" s="184"/>
      <c r="O456" s="326">
        <v>39366</v>
      </c>
      <c r="P456" s="184"/>
      <c r="Q456" s="184">
        <v>0.1875</v>
      </c>
      <c r="R456" s="184"/>
      <c r="S456" s="184" t="s">
        <v>243</v>
      </c>
      <c r="T456" s="184"/>
      <c r="U456" s="184"/>
      <c r="V456" s="322"/>
    </row>
    <row r="457" spans="1:29" ht="25.5" customHeight="1" x14ac:dyDescent="0.25">
      <c r="A457" s="324">
        <v>272</v>
      </c>
      <c r="B457" s="324"/>
      <c r="C457" s="324"/>
      <c r="D457" s="324" t="s">
        <v>309</v>
      </c>
      <c r="E457" s="578" t="s">
        <v>285</v>
      </c>
      <c r="F457" s="572">
        <v>38636</v>
      </c>
      <c r="G457" s="572">
        <v>38701</v>
      </c>
      <c r="H457" s="324" t="s">
        <v>286</v>
      </c>
      <c r="I457" s="324" t="s">
        <v>290</v>
      </c>
      <c r="J457" s="324" t="s">
        <v>313</v>
      </c>
      <c r="K457" s="324"/>
      <c r="L457" s="324"/>
      <c r="M457" s="324"/>
      <c r="N457" s="184"/>
      <c r="O457" s="184"/>
      <c r="P457" s="184"/>
      <c r="Q457" s="184"/>
      <c r="R457" s="184"/>
      <c r="S457" s="184"/>
      <c r="T457" s="184"/>
      <c r="U457" s="184"/>
      <c r="V457" s="184"/>
      <c r="W457" s="184"/>
      <c r="X457" s="184"/>
      <c r="Y457" s="184"/>
      <c r="Z457" s="184"/>
      <c r="AA457" s="184"/>
      <c r="AB457" s="184"/>
      <c r="AC457" s="184"/>
    </row>
    <row r="458" spans="1:29" ht="25.5" customHeight="1" x14ac:dyDescent="0.25">
      <c r="A458" s="184">
        <v>19</v>
      </c>
      <c r="B458" s="184"/>
      <c r="C458" s="184"/>
      <c r="D458" s="325" t="s">
        <v>309</v>
      </c>
      <c r="E458" s="579" t="s">
        <v>285</v>
      </c>
      <c r="F458" s="321">
        <v>38636</v>
      </c>
      <c r="G458" s="321">
        <v>38701</v>
      </c>
      <c r="H458" s="184" t="s">
        <v>286</v>
      </c>
      <c r="I458" s="184" t="s">
        <v>756</v>
      </c>
      <c r="J458" s="184" t="s">
        <v>313</v>
      </c>
      <c r="K458" s="184"/>
      <c r="L458" s="184">
        <v>36</v>
      </c>
      <c r="M458" s="184">
        <v>40</v>
      </c>
      <c r="N458" s="184"/>
      <c r="O458" s="326">
        <v>39732</v>
      </c>
      <c r="P458" s="184"/>
      <c r="Q458" s="184">
        <v>0.1875</v>
      </c>
      <c r="R458" s="184"/>
      <c r="S458" s="184" t="s">
        <v>243</v>
      </c>
      <c r="T458" s="184"/>
      <c r="U458" s="184"/>
      <c r="V458" s="322"/>
    </row>
    <row r="459" spans="1:29" ht="25.5" customHeight="1" x14ac:dyDescent="0.25">
      <c r="A459" s="324">
        <v>279</v>
      </c>
      <c r="B459" s="324"/>
      <c r="C459" s="324"/>
      <c r="D459" s="324" t="s">
        <v>309</v>
      </c>
      <c r="E459" s="578" t="s">
        <v>291</v>
      </c>
      <c r="F459" s="572">
        <v>38670</v>
      </c>
      <c r="G459" s="572">
        <v>38701</v>
      </c>
      <c r="H459" s="324" t="s">
        <v>292</v>
      </c>
      <c r="I459" s="324" t="s">
        <v>290</v>
      </c>
      <c r="J459" s="324" t="s">
        <v>715</v>
      </c>
      <c r="K459" s="324"/>
      <c r="L459" s="324"/>
      <c r="M459" s="324"/>
      <c r="N459" s="184"/>
      <c r="O459" s="184"/>
      <c r="P459" s="184"/>
      <c r="Q459" s="184"/>
      <c r="R459" s="184"/>
      <c r="S459" s="184"/>
      <c r="T459" s="184"/>
      <c r="U459" s="184"/>
      <c r="V459" s="184"/>
      <c r="W459" s="184"/>
      <c r="X459" s="184"/>
      <c r="Y459" s="184"/>
      <c r="Z459" s="184"/>
      <c r="AA459" s="184"/>
      <c r="AB459" s="184"/>
      <c r="AC459" s="184"/>
    </row>
    <row r="460" spans="1:29" ht="25.5" customHeight="1" x14ac:dyDescent="0.25">
      <c r="A460" s="184">
        <v>22</v>
      </c>
      <c r="B460" s="184"/>
      <c r="C460" s="184"/>
      <c r="D460" s="325" t="s">
        <v>309</v>
      </c>
      <c r="E460" s="579" t="s">
        <v>291</v>
      </c>
      <c r="F460" s="321">
        <v>38670</v>
      </c>
      <c r="G460" s="321">
        <v>38701</v>
      </c>
      <c r="H460" s="184" t="s">
        <v>292</v>
      </c>
      <c r="I460" s="184" t="s">
        <v>756</v>
      </c>
      <c r="J460" s="184" t="s">
        <v>715</v>
      </c>
      <c r="K460" s="184"/>
      <c r="L460" s="184">
        <v>36</v>
      </c>
      <c r="M460" s="184">
        <v>115.334999</v>
      </c>
      <c r="N460" s="184"/>
      <c r="O460" s="326">
        <v>39766</v>
      </c>
      <c r="P460" s="184"/>
      <c r="Q460" s="184">
        <v>0.1875</v>
      </c>
      <c r="R460" s="184"/>
      <c r="S460" s="184" t="s">
        <v>243</v>
      </c>
      <c r="T460" s="184"/>
      <c r="U460" s="184"/>
      <c r="V460" s="323"/>
    </row>
    <row r="461" spans="1:29" ht="25.5" customHeight="1" x14ac:dyDescent="0.25">
      <c r="A461" s="324">
        <v>275</v>
      </c>
      <c r="B461" s="324"/>
      <c r="C461" s="324"/>
      <c r="D461" s="324" t="s">
        <v>309</v>
      </c>
      <c r="E461" s="578" t="s">
        <v>3174</v>
      </c>
      <c r="F461" s="572">
        <v>38657</v>
      </c>
      <c r="G461" s="572">
        <v>38701</v>
      </c>
      <c r="H461" s="324" t="s">
        <v>434</v>
      </c>
      <c r="I461" s="324" t="s">
        <v>290</v>
      </c>
      <c r="J461" s="324" t="s">
        <v>497</v>
      </c>
      <c r="K461" s="324"/>
      <c r="L461" s="324"/>
      <c r="M461" s="324"/>
      <c r="N461" s="184"/>
      <c r="O461" s="184"/>
      <c r="P461" s="184"/>
      <c r="Q461" s="184"/>
      <c r="R461" s="184"/>
      <c r="S461" s="184"/>
      <c r="T461" s="184"/>
      <c r="U461" s="184"/>
      <c r="V461" s="184"/>
      <c r="W461" s="184"/>
      <c r="X461" s="184"/>
      <c r="Y461" s="184"/>
      <c r="Z461" s="184"/>
      <c r="AA461" s="184"/>
      <c r="AB461" s="184"/>
      <c r="AC461" s="184"/>
    </row>
    <row r="462" spans="1:29" ht="25.5" customHeight="1" x14ac:dyDescent="0.25">
      <c r="A462" s="325">
        <v>282</v>
      </c>
      <c r="B462" s="325"/>
      <c r="C462" s="325"/>
      <c r="D462" s="325" t="s">
        <v>309</v>
      </c>
      <c r="E462" s="577" t="s">
        <v>3174</v>
      </c>
      <c r="F462" s="573">
        <v>38657</v>
      </c>
      <c r="G462" s="573">
        <v>38701</v>
      </c>
      <c r="H462" s="325" t="s">
        <v>752</v>
      </c>
      <c r="I462" s="325" t="s">
        <v>756</v>
      </c>
      <c r="J462" s="325" t="s">
        <v>497</v>
      </c>
      <c r="K462" s="325"/>
      <c r="L462" s="325"/>
      <c r="M462" s="325"/>
      <c r="N462" s="184"/>
      <c r="O462" s="326"/>
      <c r="P462" s="184"/>
      <c r="Q462" s="184"/>
      <c r="R462" s="184"/>
      <c r="S462" s="184"/>
      <c r="T462" s="184"/>
      <c r="U462" s="184"/>
      <c r="V462" s="184"/>
    </row>
    <row r="463" spans="1:29" ht="25.5" customHeight="1" x14ac:dyDescent="0.25">
      <c r="A463" s="324">
        <v>273</v>
      </c>
      <c r="B463" s="324"/>
      <c r="C463" s="324"/>
      <c r="D463" s="324" t="s">
        <v>309</v>
      </c>
      <c r="E463" s="578" t="s">
        <v>287</v>
      </c>
      <c r="F463" s="572">
        <v>38637</v>
      </c>
      <c r="G463" s="572">
        <v>38701</v>
      </c>
      <c r="H463" s="324" t="s">
        <v>288</v>
      </c>
      <c r="I463" s="324" t="s">
        <v>290</v>
      </c>
      <c r="J463" s="324" t="s">
        <v>313</v>
      </c>
      <c r="K463" s="324"/>
      <c r="L463" s="324"/>
      <c r="M463" s="324"/>
      <c r="N463" s="184"/>
      <c r="O463" s="184"/>
      <c r="P463" s="184"/>
      <c r="Q463" s="184"/>
      <c r="R463" s="184"/>
      <c r="S463" s="184"/>
      <c r="T463" s="184"/>
      <c r="U463" s="184"/>
      <c r="V463" s="184"/>
      <c r="W463" s="184"/>
      <c r="X463" s="184"/>
      <c r="Y463" s="184"/>
      <c r="Z463" s="184"/>
      <c r="AA463" s="184"/>
      <c r="AB463" s="184"/>
      <c r="AC463" s="184"/>
    </row>
    <row r="464" spans="1:29" ht="25.5" customHeight="1" x14ac:dyDescent="0.25">
      <c r="A464" s="184">
        <v>20</v>
      </c>
      <c r="B464" s="184"/>
      <c r="C464" s="184"/>
      <c r="D464" s="325" t="s">
        <v>309</v>
      </c>
      <c r="E464" s="579" t="s">
        <v>287</v>
      </c>
      <c r="F464" s="321">
        <v>38637</v>
      </c>
      <c r="G464" s="321">
        <v>38701</v>
      </c>
      <c r="H464" s="184" t="s">
        <v>288</v>
      </c>
      <c r="I464" s="184" t="s">
        <v>756</v>
      </c>
      <c r="J464" s="184" t="s">
        <v>313</v>
      </c>
      <c r="K464" s="184"/>
      <c r="L464" s="184">
        <v>36</v>
      </c>
      <c r="M464" s="184">
        <v>160</v>
      </c>
      <c r="N464" s="184"/>
      <c r="O464" s="326">
        <v>39733</v>
      </c>
      <c r="P464" s="184"/>
      <c r="Q464" s="184">
        <v>0.1875</v>
      </c>
      <c r="R464" s="184"/>
      <c r="S464" s="184" t="s">
        <v>243</v>
      </c>
      <c r="T464" s="184"/>
      <c r="U464" s="184"/>
      <c r="V464" s="322"/>
    </row>
    <row r="465" spans="1:29" ht="25.5" customHeight="1" x14ac:dyDescent="0.25">
      <c r="A465" s="324">
        <v>274</v>
      </c>
      <c r="B465" s="324"/>
      <c r="C465" s="324"/>
      <c r="D465" s="324" t="s">
        <v>309</v>
      </c>
      <c r="E465" s="578" t="s">
        <v>3176</v>
      </c>
      <c r="F465" s="572">
        <v>38653</v>
      </c>
      <c r="G465" s="572">
        <v>38701</v>
      </c>
      <c r="H465" s="324" t="s">
        <v>708</v>
      </c>
      <c r="I465" s="324" t="s">
        <v>290</v>
      </c>
      <c r="J465" s="324" t="s">
        <v>497</v>
      </c>
      <c r="K465" s="324"/>
      <c r="L465" s="324"/>
      <c r="M465" s="324"/>
      <c r="N465" s="184"/>
      <c r="O465" s="184"/>
      <c r="P465" s="184"/>
      <c r="Q465" s="184"/>
      <c r="R465" s="184"/>
      <c r="S465" s="184"/>
      <c r="T465" s="184"/>
      <c r="U465" s="184"/>
      <c r="V465" s="184"/>
      <c r="W465" s="184"/>
      <c r="X465" s="184"/>
      <c r="Y465" s="184"/>
      <c r="Z465" s="184"/>
      <c r="AA465" s="184"/>
      <c r="AB465" s="184"/>
      <c r="AC465" s="184"/>
    </row>
    <row r="466" spans="1:29" ht="25.5" customHeight="1" x14ac:dyDescent="0.25">
      <c r="A466" s="325">
        <v>281</v>
      </c>
      <c r="B466" s="325"/>
      <c r="C466" s="325"/>
      <c r="D466" s="325" t="s">
        <v>309</v>
      </c>
      <c r="E466" s="577" t="s">
        <v>3176</v>
      </c>
      <c r="F466" s="573">
        <v>38653</v>
      </c>
      <c r="G466" s="573">
        <v>38701</v>
      </c>
      <c r="H466" s="325" t="s">
        <v>708</v>
      </c>
      <c r="I466" s="325" t="s">
        <v>756</v>
      </c>
      <c r="J466" s="325" t="s">
        <v>497</v>
      </c>
      <c r="K466" s="325"/>
      <c r="L466" s="325"/>
      <c r="M466" s="325"/>
      <c r="N466" s="184"/>
      <c r="O466" s="326"/>
      <c r="P466" s="184"/>
      <c r="Q466" s="184"/>
      <c r="R466" s="184"/>
      <c r="S466" s="184"/>
      <c r="T466" s="184"/>
      <c r="U466" s="184"/>
      <c r="V466" s="184"/>
    </row>
    <row r="467" spans="1:29" ht="25.5" customHeight="1" x14ac:dyDescent="0.25">
      <c r="A467" s="184">
        <v>17</v>
      </c>
      <c r="B467" s="184"/>
      <c r="C467" s="184"/>
      <c r="D467" s="184" t="s">
        <v>238</v>
      </c>
      <c r="E467" s="579" t="s">
        <v>282</v>
      </c>
      <c r="F467" s="321">
        <v>38636</v>
      </c>
      <c r="G467" s="321">
        <v>38701</v>
      </c>
      <c r="H467" s="184" t="s">
        <v>283</v>
      </c>
      <c r="I467" s="184" t="s">
        <v>284</v>
      </c>
      <c r="J467" s="184" t="s">
        <v>242</v>
      </c>
      <c r="K467" s="184"/>
      <c r="L467" s="184">
        <v>24</v>
      </c>
      <c r="M467" s="184">
        <v>40</v>
      </c>
      <c r="N467" s="184"/>
      <c r="O467" s="321">
        <v>39366</v>
      </c>
      <c r="P467" s="184"/>
      <c r="Q467" s="184">
        <v>0.1875</v>
      </c>
      <c r="R467" s="184"/>
      <c r="S467" s="184" t="s">
        <v>243</v>
      </c>
      <c r="T467" s="184"/>
      <c r="U467" s="184"/>
      <c r="V467" s="322"/>
      <c r="W467" s="248"/>
      <c r="X467" s="248"/>
      <c r="Y467" s="248"/>
      <c r="Z467" s="248"/>
      <c r="AA467" s="248"/>
      <c r="AB467" s="248"/>
      <c r="AC467" s="248"/>
    </row>
    <row r="468" spans="1:29" ht="25.5" customHeight="1" x14ac:dyDescent="0.25">
      <c r="A468" s="184">
        <v>18</v>
      </c>
      <c r="B468" s="184"/>
      <c r="C468" s="184"/>
      <c r="D468" s="184" t="s">
        <v>238</v>
      </c>
      <c r="E468" s="579" t="s">
        <v>285</v>
      </c>
      <c r="F468" s="321">
        <v>38636</v>
      </c>
      <c r="G468" s="321">
        <v>38701</v>
      </c>
      <c r="H468" s="184" t="s">
        <v>286</v>
      </c>
      <c r="I468" s="184" t="s">
        <v>284</v>
      </c>
      <c r="J468" s="184" t="s">
        <v>242</v>
      </c>
      <c r="K468" s="184"/>
      <c r="L468" s="184">
        <v>36</v>
      </c>
      <c r="M468" s="184">
        <v>40</v>
      </c>
      <c r="N468" s="184"/>
      <c r="O468" s="321">
        <v>39732</v>
      </c>
      <c r="P468" s="184"/>
      <c r="Q468" s="184">
        <v>0.1875</v>
      </c>
      <c r="R468" s="184"/>
      <c r="S468" s="184" t="s">
        <v>243</v>
      </c>
      <c r="T468" s="184"/>
      <c r="U468" s="184"/>
      <c r="V468" s="322"/>
      <c r="W468" s="248"/>
      <c r="X468" s="248"/>
      <c r="Y468" s="248"/>
      <c r="Z468" s="248"/>
      <c r="AA468" s="248"/>
      <c r="AB468" s="248"/>
      <c r="AC468" s="248"/>
    </row>
    <row r="469" spans="1:29" ht="25.5" customHeight="1" x14ac:dyDescent="0.25">
      <c r="A469" s="184">
        <v>19</v>
      </c>
      <c r="B469" s="184"/>
      <c r="C469" s="184"/>
      <c r="D469" s="184" t="s">
        <v>238</v>
      </c>
      <c r="E469" s="579" t="s">
        <v>291</v>
      </c>
      <c r="F469" s="321">
        <v>38670</v>
      </c>
      <c r="G469" s="321">
        <v>38701</v>
      </c>
      <c r="H469" s="184" t="s">
        <v>292</v>
      </c>
      <c r="I469" s="184" t="s">
        <v>284</v>
      </c>
      <c r="J469" s="184" t="s">
        <v>242</v>
      </c>
      <c r="K469" s="184"/>
      <c r="L469" s="184">
        <v>36</v>
      </c>
      <c r="M469" s="184">
        <v>115.334999</v>
      </c>
      <c r="N469" s="184"/>
      <c r="O469" s="321">
        <v>39766</v>
      </c>
      <c r="P469" s="184"/>
      <c r="Q469" s="184">
        <v>0.1875</v>
      </c>
      <c r="R469" s="184"/>
      <c r="S469" s="184" t="s">
        <v>243</v>
      </c>
      <c r="T469" s="184"/>
      <c r="U469" s="184"/>
      <c r="V469" s="323"/>
    </row>
    <row r="470" spans="1:29" ht="25.5" customHeight="1" x14ac:dyDescent="0.25">
      <c r="A470" s="184">
        <v>20</v>
      </c>
      <c r="B470" s="184"/>
      <c r="C470" s="184"/>
      <c r="D470" s="184" t="s">
        <v>238</v>
      </c>
      <c r="E470" s="579" t="s">
        <v>287</v>
      </c>
      <c r="F470" s="321">
        <v>38637</v>
      </c>
      <c r="G470" s="321">
        <v>38701</v>
      </c>
      <c r="H470" s="184" t="s">
        <v>288</v>
      </c>
      <c r="I470" s="184" t="s">
        <v>284</v>
      </c>
      <c r="J470" s="184" t="s">
        <v>242</v>
      </c>
      <c r="K470" s="184"/>
      <c r="L470" s="184">
        <v>36</v>
      </c>
      <c r="M470" s="184">
        <v>160</v>
      </c>
      <c r="N470" s="184"/>
      <c r="O470" s="321">
        <v>39733</v>
      </c>
      <c r="P470" s="184"/>
      <c r="Q470" s="184">
        <v>0.1875</v>
      </c>
      <c r="R470" s="184"/>
      <c r="S470" s="184" t="s">
        <v>243</v>
      </c>
      <c r="T470" s="184"/>
      <c r="U470" s="184"/>
      <c r="V470" s="322"/>
      <c r="W470" s="248"/>
      <c r="X470" s="248"/>
      <c r="Y470" s="248"/>
      <c r="Z470" s="248"/>
      <c r="AA470" s="248"/>
      <c r="AB470" s="248"/>
      <c r="AC470" s="248"/>
    </row>
    <row r="471" spans="1:29" ht="25.5" customHeight="1" x14ac:dyDescent="0.25">
      <c r="A471" s="324">
        <v>268</v>
      </c>
      <c r="B471" s="324"/>
      <c r="C471" s="324"/>
      <c r="D471" s="324" t="s">
        <v>309</v>
      </c>
      <c r="E471" s="578" t="s">
        <v>279</v>
      </c>
      <c r="F471" s="572">
        <v>38621</v>
      </c>
      <c r="G471" s="572">
        <v>38709</v>
      </c>
      <c r="H471" s="324" t="s">
        <v>280</v>
      </c>
      <c r="I471" s="324" t="s">
        <v>281</v>
      </c>
      <c r="J471" s="324" t="s">
        <v>502</v>
      </c>
      <c r="K471" s="324"/>
      <c r="L471" s="324"/>
      <c r="M471" s="324"/>
      <c r="N471" s="184"/>
      <c r="O471" s="184"/>
      <c r="P471" s="184"/>
      <c r="Q471" s="184"/>
      <c r="R471" s="184"/>
      <c r="S471" s="184"/>
      <c r="T471" s="184"/>
      <c r="U471" s="184"/>
      <c r="V471" s="184"/>
      <c r="W471" s="184"/>
      <c r="X471" s="184"/>
      <c r="Y471" s="184"/>
      <c r="Z471" s="184"/>
      <c r="AA471" s="184"/>
      <c r="AB471" s="184"/>
      <c r="AC471" s="184"/>
    </row>
    <row r="472" spans="1:29" ht="25.5" customHeight="1" x14ac:dyDescent="0.25">
      <c r="A472" s="184">
        <v>17</v>
      </c>
      <c r="B472" s="184"/>
      <c r="C472" s="184"/>
      <c r="D472" s="325" t="s">
        <v>309</v>
      </c>
      <c r="E472" s="579" t="s">
        <v>279</v>
      </c>
      <c r="F472" s="321">
        <v>38621</v>
      </c>
      <c r="G472" s="321">
        <v>38709</v>
      </c>
      <c r="H472" s="184" t="s">
        <v>280</v>
      </c>
      <c r="I472" s="184" t="s">
        <v>755</v>
      </c>
      <c r="J472" s="184" t="s">
        <v>502</v>
      </c>
      <c r="K472" s="184"/>
      <c r="L472" s="184">
        <v>36</v>
      </c>
      <c r="M472" s="184">
        <v>180</v>
      </c>
      <c r="N472" s="184"/>
      <c r="O472" s="326">
        <v>39717</v>
      </c>
      <c r="P472" s="184"/>
      <c r="Q472" s="184">
        <v>0.1875</v>
      </c>
      <c r="R472" s="184"/>
      <c r="S472" s="184" t="s">
        <v>243</v>
      </c>
      <c r="T472" s="184"/>
      <c r="U472" s="184"/>
      <c r="V472" s="322"/>
    </row>
    <row r="473" spans="1:29" ht="25.5" customHeight="1" x14ac:dyDescent="0.25">
      <c r="A473" s="324">
        <v>269</v>
      </c>
      <c r="B473" s="324"/>
      <c r="C473" s="324"/>
      <c r="D473" s="324" t="s">
        <v>309</v>
      </c>
      <c r="E473" s="578" t="s">
        <v>3181</v>
      </c>
      <c r="F473" s="572">
        <v>38621</v>
      </c>
      <c r="G473" s="572">
        <v>38709</v>
      </c>
      <c r="H473" s="324" t="s">
        <v>701</v>
      </c>
      <c r="I473" s="324" t="s">
        <v>281</v>
      </c>
      <c r="J473" s="324" t="s">
        <v>488</v>
      </c>
      <c r="K473" s="324"/>
      <c r="L473" s="324"/>
      <c r="M473" s="324"/>
      <c r="N473" s="184"/>
      <c r="O473" s="184"/>
      <c r="P473" s="184"/>
      <c r="Q473" s="184"/>
      <c r="R473" s="184"/>
      <c r="S473" s="184"/>
      <c r="T473" s="184"/>
      <c r="U473" s="184"/>
      <c r="V473" s="184"/>
      <c r="W473" s="184"/>
      <c r="X473" s="184"/>
      <c r="Y473" s="184"/>
      <c r="Z473" s="184"/>
      <c r="AA473" s="184"/>
      <c r="AB473" s="184"/>
      <c r="AC473" s="184"/>
    </row>
    <row r="474" spans="1:29" ht="25.5" customHeight="1" x14ac:dyDescent="0.25">
      <c r="A474" s="325">
        <v>279</v>
      </c>
      <c r="B474" s="325"/>
      <c r="C474" s="325"/>
      <c r="D474" s="325" t="s">
        <v>309</v>
      </c>
      <c r="E474" s="577" t="s">
        <v>3181</v>
      </c>
      <c r="F474" s="573">
        <v>38621</v>
      </c>
      <c r="G474" s="573">
        <v>38709</v>
      </c>
      <c r="H474" s="325" t="s">
        <v>701</v>
      </c>
      <c r="I474" s="325" t="s">
        <v>755</v>
      </c>
      <c r="J474" s="325" t="s">
        <v>488</v>
      </c>
      <c r="K474" s="325"/>
      <c r="L474" s="325"/>
      <c r="M474" s="325"/>
      <c r="N474" s="184"/>
      <c r="O474" s="326"/>
      <c r="P474" s="184"/>
      <c r="Q474" s="184"/>
      <c r="R474" s="184"/>
      <c r="S474" s="184"/>
      <c r="T474" s="184"/>
      <c r="U474" s="184"/>
      <c r="V474" s="184"/>
    </row>
    <row r="475" spans="1:29" ht="25.5" customHeight="1" x14ac:dyDescent="0.25">
      <c r="A475" s="184">
        <v>22</v>
      </c>
      <c r="B475" s="184"/>
      <c r="C475" s="184"/>
      <c r="D475" s="184" t="s">
        <v>238</v>
      </c>
      <c r="E475" s="579" t="s">
        <v>279</v>
      </c>
      <c r="F475" s="321">
        <v>38621</v>
      </c>
      <c r="G475" s="321">
        <v>38709</v>
      </c>
      <c r="H475" s="184" t="s">
        <v>280</v>
      </c>
      <c r="I475" s="184" t="s">
        <v>281</v>
      </c>
      <c r="J475" s="184" t="s">
        <v>242</v>
      </c>
      <c r="K475" s="184"/>
      <c r="L475" s="184">
        <v>36</v>
      </c>
      <c r="M475" s="184">
        <v>180</v>
      </c>
      <c r="N475" s="184"/>
      <c r="O475" s="321">
        <v>39717</v>
      </c>
      <c r="P475" s="184"/>
      <c r="Q475" s="184">
        <v>0.1875</v>
      </c>
      <c r="R475" s="184"/>
      <c r="S475" s="184" t="s">
        <v>243</v>
      </c>
      <c r="T475" s="184"/>
      <c r="U475" s="184"/>
      <c r="V475" s="322"/>
      <c r="W475" s="248"/>
      <c r="X475" s="248"/>
      <c r="Y475" s="248"/>
      <c r="Z475" s="248"/>
      <c r="AA475" s="248"/>
      <c r="AB475" s="248"/>
      <c r="AC475" s="248"/>
    </row>
    <row r="476" spans="1:29" ht="25.5" customHeight="1" x14ac:dyDescent="0.25">
      <c r="A476" s="324">
        <v>282</v>
      </c>
      <c r="B476" s="324"/>
      <c r="C476" s="324"/>
      <c r="D476" s="324" t="s">
        <v>309</v>
      </c>
      <c r="E476" s="578" t="s">
        <v>295</v>
      </c>
      <c r="F476" s="572">
        <v>38708</v>
      </c>
      <c r="G476" s="572">
        <v>38733</v>
      </c>
      <c r="H476" s="324" t="s">
        <v>240</v>
      </c>
      <c r="I476" s="324" t="s">
        <v>720</v>
      </c>
      <c r="J476" s="324" t="s">
        <v>488</v>
      </c>
      <c r="K476" s="324"/>
      <c r="L476" s="324"/>
      <c r="M476" s="324"/>
      <c r="N476" s="184"/>
      <c r="O476" s="184"/>
      <c r="P476" s="184"/>
      <c r="Q476" s="184"/>
      <c r="R476" s="184"/>
      <c r="S476" s="184"/>
      <c r="T476" s="184"/>
      <c r="U476" s="184"/>
      <c r="V476" s="184"/>
      <c r="W476" s="184"/>
      <c r="X476" s="184"/>
      <c r="Y476" s="184"/>
      <c r="Z476" s="184"/>
      <c r="AA476" s="184"/>
      <c r="AB476" s="184"/>
      <c r="AC476" s="184"/>
    </row>
    <row r="477" spans="1:29" ht="25.5" customHeight="1" x14ac:dyDescent="0.25">
      <c r="A477" s="184">
        <v>24</v>
      </c>
      <c r="B477" s="184"/>
      <c r="C477" s="184"/>
      <c r="D477" s="325" t="s">
        <v>309</v>
      </c>
      <c r="E477" s="579" t="s">
        <v>295</v>
      </c>
      <c r="F477" s="321">
        <v>38708</v>
      </c>
      <c r="G477" s="321">
        <v>38733</v>
      </c>
      <c r="H477" s="184" t="s">
        <v>240</v>
      </c>
      <c r="I477" s="184" t="s">
        <v>757</v>
      </c>
      <c r="J477" s="184" t="s">
        <v>488</v>
      </c>
      <c r="K477" s="184"/>
      <c r="L477" s="184">
        <v>36</v>
      </c>
      <c r="M477" s="184">
        <v>160</v>
      </c>
      <c r="N477" s="184"/>
      <c r="O477" s="326">
        <v>39804</v>
      </c>
      <c r="P477" s="184"/>
      <c r="Q477" s="184">
        <v>0.1875</v>
      </c>
      <c r="R477" s="184"/>
      <c r="S477" s="184" t="s">
        <v>243</v>
      </c>
      <c r="T477" s="184"/>
      <c r="U477" s="184"/>
      <c r="V477" s="323"/>
    </row>
    <row r="478" spans="1:29" ht="25.5" customHeight="1" x14ac:dyDescent="0.25">
      <c r="A478" s="184">
        <v>21</v>
      </c>
      <c r="B478" s="184"/>
      <c r="C478" s="184"/>
      <c r="D478" s="184" t="s">
        <v>238</v>
      </c>
      <c r="E478" s="579" t="s">
        <v>295</v>
      </c>
      <c r="F478" s="321">
        <v>38708</v>
      </c>
      <c r="G478" s="321">
        <v>38733</v>
      </c>
      <c r="H478" s="184" t="s">
        <v>240</v>
      </c>
      <c r="I478" s="184" t="s">
        <v>296</v>
      </c>
      <c r="J478" s="184" t="s">
        <v>242</v>
      </c>
      <c r="K478" s="184"/>
      <c r="L478" s="184">
        <v>36</v>
      </c>
      <c r="M478" s="184">
        <v>160</v>
      </c>
      <c r="N478" s="184"/>
      <c r="O478" s="321">
        <v>39804</v>
      </c>
      <c r="P478" s="184"/>
      <c r="Q478" s="184">
        <v>0.1875</v>
      </c>
      <c r="R478" s="184"/>
      <c r="S478" s="184" t="s">
        <v>243</v>
      </c>
      <c r="T478" s="184"/>
      <c r="U478" s="184"/>
      <c r="V478" s="323"/>
    </row>
    <row r="479" spans="1:29" ht="25.5" customHeight="1" x14ac:dyDescent="0.25">
      <c r="A479" s="324">
        <v>284</v>
      </c>
      <c r="B479" s="324"/>
      <c r="C479" s="324"/>
      <c r="D479" s="324" t="s">
        <v>309</v>
      </c>
      <c r="E479" s="578" t="s">
        <v>297</v>
      </c>
      <c r="F479" s="572">
        <v>38725</v>
      </c>
      <c r="G479" s="572">
        <v>38742</v>
      </c>
      <c r="H479" s="324" t="s">
        <v>298</v>
      </c>
      <c r="I479" s="324" t="s">
        <v>302</v>
      </c>
      <c r="J479" s="324" t="s">
        <v>488</v>
      </c>
      <c r="K479" s="324"/>
      <c r="L479" s="324"/>
      <c r="M479" s="324"/>
      <c r="N479" s="184"/>
      <c r="O479" s="184"/>
      <c r="P479" s="184"/>
      <c r="Q479" s="184"/>
      <c r="R479" s="184"/>
      <c r="S479" s="184"/>
      <c r="T479" s="184"/>
      <c r="U479" s="184"/>
      <c r="V479" s="184"/>
      <c r="W479" s="184"/>
      <c r="X479" s="184"/>
      <c r="Y479" s="184"/>
      <c r="Z479" s="184"/>
      <c r="AA479" s="184"/>
      <c r="AB479" s="184"/>
      <c r="AC479" s="184"/>
    </row>
    <row r="480" spans="1:29" ht="25.5" customHeight="1" x14ac:dyDescent="0.25">
      <c r="A480" s="184">
        <v>25</v>
      </c>
      <c r="B480" s="184"/>
      <c r="C480" s="184"/>
      <c r="D480" s="325" t="s">
        <v>309</v>
      </c>
      <c r="E480" s="579" t="s">
        <v>297</v>
      </c>
      <c r="F480" s="321">
        <v>38725</v>
      </c>
      <c r="G480" s="321">
        <v>38742</v>
      </c>
      <c r="H480" s="184" t="s">
        <v>298</v>
      </c>
      <c r="I480" s="184" t="s">
        <v>299</v>
      </c>
      <c r="J480" s="184" t="s">
        <v>488</v>
      </c>
      <c r="K480" s="184"/>
      <c r="L480" s="184">
        <v>36</v>
      </c>
      <c r="M480" s="184">
        <v>160</v>
      </c>
      <c r="N480" s="184"/>
      <c r="O480" s="326">
        <v>39821</v>
      </c>
      <c r="P480" s="184"/>
      <c r="Q480" s="184">
        <v>0.1875</v>
      </c>
      <c r="R480" s="184"/>
      <c r="S480" s="184" t="s">
        <v>243</v>
      </c>
      <c r="T480" s="184"/>
      <c r="U480" s="184"/>
      <c r="V480" s="323"/>
    </row>
    <row r="481" spans="1:29" ht="25.5" customHeight="1" x14ac:dyDescent="0.25">
      <c r="A481" s="324">
        <v>285</v>
      </c>
      <c r="B481" s="324"/>
      <c r="C481" s="324"/>
      <c r="D481" s="324" t="s">
        <v>309</v>
      </c>
      <c r="E481" s="578" t="s">
        <v>300</v>
      </c>
      <c r="F481" s="572">
        <v>38732</v>
      </c>
      <c r="G481" s="572">
        <v>38747</v>
      </c>
      <c r="H481" s="324" t="s">
        <v>725</v>
      </c>
      <c r="I481" s="324" t="s">
        <v>302</v>
      </c>
      <c r="J481" s="324" t="s">
        <v>488</v>
      </c>
      <c r="K481" s="324"/>
      <c r="L481" s="324"/>
      <c r="M481" s="324"/>
      <c r="N481" s="184"/>
      <c r="O481" s="184"/>
      <c r="P481" s="184"/>
      <c r="Q481" s="184"/>
      <c r="R481" s="184"/>
      <c r="S481" s="184"/>
      <c r="T481" s="184"/>
      <c r="U481" s="184"/>
      <c r="V481" s="184"/>
      <c r="W481" s="184"/>
      <c r="X481" s="184"/>
      <c r="Y481" s="184"/>
      <c r="Z481" s="184"/>
      <c r="AA481" s="184"/>
      <c r="AB481" s="184"/>
      <c r="AC481" s="184"/>
    </row>
    <row r="482" spans="1:29" ht="25.5" customHeight="1" x14ac:dyDescent="0.25">
      <c r="A482" s="184">
        <v>26</v>
      </c>
      <c r="B482" s="184"/>
      <c r="C482" s="184"/>
      <c r="D482" s="325" t="s">
        <v>309</v>
      </c>
      <c r="E482" s="579" t="s">
        <v>300</v>
      </c>
      <c r="F482" s="321">
        <v>38732</v>
      </c>
      <c r="G482" s="321">
        <v>38747</v>
      </c>
      <c r="H482" s="184" t="s">
        <v>758</v>
      </c>
      <c r="I482" s="184" t="s">
        <v>302</v>
      </c>
      <c r="J482" s="184" t="s">
        <v>488</v>
      </c>
      <c r="K482" s="184"/>
      <c r="L482" s="184">
        <v>18</v>
      </c>
      <c r="M482" s="184">
        <v>160</v>
      </c>
      <c r="N482" s="184"/>
      <c r="O482" s="326">
        <v>39278</v>
      </c>
      <c r="P482" s="184"/>
      <c r="Q482" s="184">
        <v>0.25</v>
      </c>
      <c r="R482" s="184"/>
      <c r="S482" s="184" t="s">
        <v>243</v>
      </c>
      <c r="T482" s="184"/>
      <c r="U482" s="184"/>
      <c r="V482" s="323"/>
    </row>
    <row r="483" spans="1:29" ht="25.5" customHeight="1" x14ac:dyDescent="0.25">
      <c r="A483" s="184">
        <v>24</v>
      </c>
      <c r="B483" s="184"/>
      <c r="C483" s="184"/>
      <c r="D483" s="184" t="s">
        <v>238</v>
      </c>
      <c r="E483" s="579" t="s">
        <v>300</v>
      </c>
      <c r="F483" s="321">
        <v>38732</v>
      </c>
      <c r="G483" s="321">
        <v>38747</v>
      </c>
      <c r="H483" s="184" t="s">
        <v>301</v>
      </c>
      <c r="I483" s="184" t="s">
        <v>302</v>
      </c>
      <c r="J483" s="184" t="s">
        <v>242</v>
      </c>
      <c r="K483" s="184"/>
      <c r="L483" s="184">
        <v>18</v>
      </c>
      <c r="M483" s="184">
        <v>160</v>
      </c>
      <c r="N483" s="184"/>
      <c r="O483" s="321">
        <v>39278</v>
      </c>
      <c r="P483" s="184"/>
      <c r="Q483" s="184">
        <v>0.25</v>
      </c>
      <c r="R483" s="184"/>
      <c r="S483" s="184" t="s">
        <v>243</v>
      </c>
      <c r="T483" s="184"/>
      <c r="U483" s="184"/>
      <c r="V483" s="323"/>
    </row>
    <row r="484" spans="1:29" ht="25.5" customHeight="1" x14ac:dyDescent="0.25">
      <c r="A484" s="184">
        <v>23</v>
      </c>
      <c r="B484" s="184"/>
      <c r="C484" s="184"/>
      <c r="D484" s="184" t="s">
        <v>238</v>
      </c>
      <c r="E484" s="579" t="s">
        <v>297</v>
      </c>
      <c r="F484" s="321">
        <v>38725</v>
      </c>
      <c r="G484" s="321">
        <v>38742</v>
      </c>
      <c r="H484" s="184" t="s">
        <v>298</v>
      </c>
      <c r="I484" s="184" t="s">
        <v>299</v>
      </c>
      <c r="J484" s="184" t="s">
        <v>242</v>
      </c>
      <c r="K484" s="184"/>
      <c r="L484" s="184">
        <v>36</v>
      </c>
      <c r="M484" s="184">
        <v>160</v>
      </c>
      <c r="N484" s="184"/>
      <c r="O484" s="321">
        <v>39821</v>
      </c>
      <c r="P484" s="184"/>
      <c r="Q484" s="184">
        <v>0.1875</v>
      </c>
      <c r="R484" s="184"/>
      <c r="S484" s="184" t="s">
        <v>243</v>
      </c>
      <c r="T484" s="184"/>
      <c r="U484" s="184"/>
      <c r="V484" s="323"/>
    </row>
    <row r="485" spans="1:29" ht="25.5" customHeight="1" x14ac:dyDescent="0.25">
      <c r="A485" s="324">
        <v>281</v>
      </c>
      <c r="B485" s="324"/>
      <c r="C485" s="324"/>
      <c r="D485" s="324" t="s">
        <v>309</v>
      </c>
      <c r="E485" s="578" t="s">
        <v>293</v>
      </c>
      <c r="F485" s="572">
        <v>38693</v>
      </c>
      <c r="G485" s="572">
        <v>38754</v>
      </c>
      <c r="H485" s="324" t="s">
        <v>538</v>
      </c>
      <c r="I485" s="324" t="s">
        <v>290</v>
      </c>
      <c r="J485" s="324" t="s">
        <v>717</v>
      </c>
      <c r="K485" s="324"/>
      <c r="L485" s="324"/>
      <c r="M485" s="324"/>
      <c r="N485" s="184"/>
      <c r="O485" s="184"/>
      <c r="P485" s="184"/>
      <c r="Q485" s="184"/>
      <c r="R485" s="184"/>
      <c r="S485" s="184"/>
      <c r="T485" s="184"/>
      <c r="U485" s="184"/>
      <c r="V485" s="184"/>
      <c r="W485" s="184"/>
      <c r="X485" s="184"/>
      <c r="Y485" s="184"/>
      <c r="Z485" s="184"/>
      <c r="AA485" s="184"/>
      <c r="AB485" s="184"/>
      <c r="AC485" s="184"/>
    </row>
    <row r="486" spans="1:29" ht="25.5" customHeight="1" x14ac:dyDescent="0.25">
      <c r="A486" s="184">
        <v>23</v>
      </c>
      <c r="B486" s="184"/>
      <c r="C486" s="184"/>
      <c r="D486" s="325" t="s">
        <v>309</v>
      </c>
      <c r="E486" s="579" t="s">
        <v>293</v>
      </c>
      <c r="F486" s="321">
        <v>38693</v>
      </c>
      <c r="G486" s="321">
        <v>38754</v>
      </c>
      <c r="H486" s="184" t="s">
        <v>294</v>
      </c>
      <c r="I486" s="184" t="s">
        <v>756</v>
      </c>
      <c r="J486" s="184" t="s">
        <v>717</v>
      </c>
      <c r="K486" s="184"/>
      <c r="L486" s="184">
        <v>36</v>
      </c>
      <c r="M486" s="184">
        <v>80</v>
      </c>
      <c r="N486" s="184"/>
      <c r="O486" s="326">
        <v>39789</v>
      </c>
      <c r="P486" s="184"/>
      <c r="Q486" s="184">
        <v>0.25</v>
      </c>
      <c r="R486" s="184"/>
      <c r="S486" s="184" t="s">
        <v>243</v>
      </c>
      <c r="T486" s="184"/>
      <c r="U486" s="184"/>
      <c r="V486" s="323"/>
    </row>
    <row r="487" spans="1:29" ht="25.5" customHeight="1" x14ac:dyDescent="0.25">
      <c r="A487" s="324">
        <v>276</v>
      </c>
      <c r="B487" s="324"/>
      <c r="C487" s="324"/>
      <c r="D487" s="324" t="s">
        <v>309</v>
      </c>
      <c r="E487" s="578" t="s">
        <v>289</v>
      </c>
      <c r="F487" s="572">
        <v>38657</v>
      </c>
      <c r="G487" s="572">
        <v>38754</v>
      </c>
      <c r="H487" s="324" t="s">
        <v>249</v>
      </c>
      <c r="I487" s="324" t="s">
        <v>290</v>
      </c>
      <c r="J487" s="324" t="s">
        <v>497</v>
      </c>
      <c r="K487" s="324"/>
      <c r="L487" s="324"/>
      <c r="M487" s="324"/>
      <c r="N487" s="184"/>
      <c r="O487" s="184"/>
      <c r="P487" s="184"/>
      <c r="Q487" s="184"/>
      <c r="R487" s="184"/>
      <c r="S487" s="184"/>
      <c r="T487" s="184"/>
      <c r="U487" s="184"/>
      <c r="V487" s="184"/>
      <c r="W487" s="184"/>
      <c r="X487" s="184"/>
      <c r="Y487" s="184"/>
      <c r="Z487" s="184"/>
      <c r="AA487" s="184"/>
      <c r="AB487" s="184"/>
      <c r="AC487" s="184"/>
    </row>
    <row r="488" spans="1:29" ht="25.5" customHeight="1" x14ac:dyDescent="0.25">
      <c r="A488" s="184">
        <v>21</v>
      </c>
      <c r="B488" s="184"/>
      <c r="C488" s="184"/>
      <c r="D488" s="325" t="s">
        <v>309</v>
      </c>
      <c r="E488" s="579" t="s">
        <v>289</v>
      </c>
      <c r="F488" s="321">
        <v>38657</v>
      </c>
      <c r="G488" s="321">
        <v>38754</v>
      </c>
      <c r="H488" s="184" t="s">
        <v>249</v>
      </c>
      <c r="I488" s="184" t="s">
        <v>756</v>
      </c>
      <c r="J488" s="184" t="s">
        <v>497</v>
      </c>
      <c r="K488" s="184"/>
      <c r="L488" s="184">
        <v>36</v>
      </c>
      <c r="M488" s="184">
        <v>160</v>
      </c>
      <c r="N488" s="184"/>
      <c r="O488" s="326">
        <v>39753</v>
      </c>
      <c r="P488" s="184"/>
      <c r="Q488" s="184">
        <v>0.1875</v>
      </c>
      <c r="R488" s="184"/>
      <c r="S488" s="184" t="s">
        <v>243</v>
      </c>
      <c r="T488" s="184"/>
      <c r="U488" s="184"/>
      <c r="V488" s="323"/>
    </row>
    <row r="489" spans="1:29" ht="25.5" customHeight="1" x14ac:dyDescent="0.25">
      <c r="A489" s="324">
        <v>277</v>
      </c>
      <c r="B489" s="324"/>
      <c r="C489" s="324"/>
      <c r="D489" s="324" t="s">
        <v>309</v>
      </c>
      <c r="E489" s="578" t="s">
        <v>3223</v>
      </c>
      <c r="F489" s="572">
        <v>38657</v>
      </c>
      <c r="G489" s="572">
        <v>38754</v>
      </c>
      <c r="H489" s="324" t="s">
        <v>712</v>
      </c>
      <c r="I489" s="324" t="s">
        <v>290</v>
      </c>
      <c r="J489" s="324" t="s">
        <v>497</v>
      </c>
      <c r="K489" s="324"/>
      <c r="L489" s="324"/>
      <c r="M489" s="324"/>
      <c r="N489" s="184"/>
      <c r="O489" s="184"/>
      <c r="P489" s="184"/>
      <c r="Q489" s="184"/>
      <c r="R489" s="184"/>
      <c r="S489" s="184"/>
      <c r="T489" s="184"/>
      <c r="U489" s="184"/>
      <c r="V489" s="184"/>
      <c r="W489" s="184"/>
      <c r="X489" s="184"/>
      <c r="Y489" s="184"/>
      <c r="Z489" s="184"/>
      <c r="AA489" s="184"/>
      <c r="AB489" s="184"/>
      <c r="AC489" s="184"/>
    </row>
    <row r="490" spans="1:29" ht="25.5" customHeight="1" x14ac:dyDescent="0.25">
      <c r="A490" s="325">
        <v>283</v>
      </c>
      <c r="B490" s="325"/>
      <c r="C490" s="325"/>
      <c r="D490" s="325" t="s">
        <v>309</v>
      </c>
      <c r="E490" s="577" t="s">
        <v>3223</v>
      </c>
      <c r="F490" s="573">
        <v>38657</v>
      </c>
      <c r="G490" s="573">
        <v>38754</v>
      </c>
      <c r="H490" s="325" t="s">
        <v>712</v>
      </c>
      <c r="I490" s="325" t="s">
        <v>756</v>
      </c>
      <c r="J490" s="325" t="s">
        <v>497</v>
      </c>
      <c r="K490" s="325"/>
      <c r="L490" s="325"/>
      <c r="M490" s="325"/>
      <c r="N490" s="184"/>
      <c r="O490" s="326"/>
      <c r="P490" s="184"/>
      <c r="Q490" s="184"/>
      <c r="R490" s="184"/>
      <c r="S490" s="184"/>
      <c r="T490" s="184"/>
      <c r="U490" s="184"/>
      <c r="V490" s="184"/>
    </row>
    <row r="491" spans="1:29" ht="25.5" customHeight="1" x14ac:dyDescent="0.25">
      <c r="A491" s="324">
        <v>280</v>
      </c>
      <c r="B491" s="324"/>
      <c r="C491" s="324"/>
      <c r="D491" s="324" t="s">
        <v>309</v>
      </c>
      <c r="E491" s="578" t="s">
        <v>3225</v>
      </c>
      <c r="F491" s="572">
        <v>38677</v>
      </c>
      <c r="G491" s="572">
        <v>38754</v>
      </c>
      <c r="H491" s="324" t="s">
        <v>535</v>
      </c>
      <c r="I491" s="324" t="s">
        <v>290</v>
      </c>
      <c r="J491" s="324" t="s">
        <v>717</v>
      </c>
      <c r="K491" s="324"/>
      <c r="L491" s="324"/>
      <c r="M491" s="324"/>
      <c r="N491" s="184"/>
      <c r="O491" s="184"/>
      <c r="P491" s="184"/>
      <c r="Q491" s="184"/>
      <c r="R491" s="184"/>
      <c r="S491" s="184"/>
      <c r="T491" s="184"/>
      <c r="U491" s="184"/>
      <c r="V491" s="184"/>
      <c r="W491" s="184"/>
      <c r="X491" s="184"/>
      <c r="Y491" s="184"/>
      <c r="Z491" s="184"/>
      <c r="AA491" s="184"/>
      <c r="AB491" s="184"/>
      <c r="AC491" s="184"/>
    </row>
    <row r="492" spans="1:29" ht="25.5" customHeight="1" x14ac:dyDescent="0.25">
      <c r="A492" s="325">
        <v>285</v>
      </c>
      <c r="B492" s="325"/>
      <c r="C492" s="325"/>
      <c r="D492" s="325" t="s">
        <v>309</v>
      </c>
      <c r="E492" s="577" t="s">
        <v>3225</v>
      </c>
      <c r="F492" s="573">
        <v>38677</v>
      </c>
      <c r="G492" s="573">
        <v>38754</v>
      </c>
      <c r="H492" s="325" t="s">
        <v>535</v>
      </c>
      <c r="I492" s="325" t="s">
        <v>756</v>
      </c>
      <c r="J492" s="325" t="s">
        <v>717</v>
      </c>
      <c r="K492" s="325"/>
      <c r="L492" s="325"/>
      <c r="M492" s="325"/>
      <c r="N492" s="184"/>
      <c r="O492" s="326"/>
      <c r="P492" s="184"/>
      <c r="Q492" s="184"/>
      <c r="R492" s="184"/>
      <c r="S492" s="184"/>
      <c r="T492" s="184"/>
      <c r="U492" s="184"/>
      <c r="V492" s="184"/>
    </row>
    <row r="493" spans="1:29" ht="25.5" customHeight="1" x14ac:dyDescent="0.25">
      <c r="A493" s="324">
        <v>278</v>
      </c>
      <c r="B493" s="324"/>
      <c r="C493" s="324"/>
      <c r="D493" s="324" t="s">
        <v>309</v>
      </c>
      <c r="E493" s="578" t="s">
        <v>3227</v>
      </c>
      <c r="F493" s="572">
        <v>38657</v>
      </c>
      <c r="G493" s="572">
        <v>38754</v>
      </c>
      <c r="H493" s="324" t="s">
        <v>252</v>
      </c>
      <c r="I493" s="324" t="s">
        <v>290</v>
      </c>
      <c r="J493" s="324" t="s">
        <v>497</v>
      </c>
      <c r="K493" s="324"/>
      <c r="L493" s="324"/>
      <c r="M493" s="324"/>
      <c r="N493" s="184"/>
      <c r="O493" s="184"/>
      <c r="P493" s="184"/>
      <c r="Q493" s="184"/>
      <c r="R493" s="184"/>
      <c r="S493" s="184"/>
      <c r="T493" s="184"/>
      <c r="U493" s="184"/>
      <c r="V493" s="184"/>
      <c r="W493" s="184"/>
      <c r="X493" s="184"/>
      <c r="Y493" s="184"/>
      <c r="Z493" s="184"/>
      <c r="AA493" s="184"/>
      <c r="AB493" s="184"/>
      <c r="AC493" s="184"/>
    </row>
    <row r="494" spans="1:29" ht="25.5" customHeight="1" x14ac:dyDescent="0.25">
      <c r="A494" s="325">
        <v>284</v>
      </c>
      <c r="B494" s="325"/>
      <c r="C494" s="325"/>
      <c r="D494" s="325" t="s">
        <v>309</v>
      </c>
      <c r="E494" s="577" t="s">
        <v>3227</v>
      </c>
      <c r="F494" s="573">
        <v>38657</v>
      </c>
      <c r="G494" s="573">
        <v>38754</v>
      </c>
      <c r="H494" s="325" t="s">
        <v>252</v>
      </c>
      <c r="I494" s="325" t="s">
        <v>756</v>
      </c>
      <c r="J494" s="325" t="s">
        <v>497</v>
      </c>
      <c r="K494" s="325"/>
      <c r="L494" s="325"/>
      <c r="M494" s="325"/>
      <c r="N494" s="184"/>
      <c r="O494" s="326"/>
      <c r="P494" s="184"/>
      <c r="Q494" s="184"/>
      <c r="R494" s="184"/>
      <c r="S494" s="184"/>
      <c r="T494" s="184"/>
      <c r="U494" s="184"/>
      <c r="V494" s="184"/>
    </row>
    <row r="495" spans="1:29" ht="25.5" customHeight="1" x14ac:dyDescent="0.25">
      <c r="A495" s="184">
        <v>25</v>
      </c>
      <c r="B495" s="184"/>
      <c r="C495" s="184"/>
      <c r="D495" s="184" t="s">
        <v>238</v>
      </c>
      <c r="E495" s="579" t="s">
        <v>293</v>
      </c>
      <c r="F495" s="321">
        <v>38693</v>
      </c>
      <c r="G495" s="321">
        <v>38754</v>
      </c>
      <c r="H495" s="184" t="s">
        <v>294</v>
      </c>
      <c r="I495" s="184" t="s">
        <v>290</v>
      </c>
      <c r="J495" s="184" t="s">
        <v>242</v>
      </c>
      <c r="K495" s="184"/>
      <c r="L495" s="184">
        <v>36</v>
      </c>
      <c r="M495" s="184">
        <v>80</v>
      </c>
      <c r="N495" s="184"/>
      <c r="O495" s="321">
        <v>39789</v>
      </c>
      <c r="P495" s="184"/>
      <c r="Q495" s="184">
        <v>0.25</v>
      </c>
      <c r="R495" s="184"/>
      <c r="S495" s="184" t="s">
        <v>243</v>
      </c>
      <c r="T495" s="184"/>
      <c r="U495" s="184"/>
      <c r="V495" s="323"/>
    </row>
    <row r="496" spans="1:29" ht="25.5" customHeight="1" x14ac:dyDescent="0.25">
      <c r="A496" s="184">
        <v>26</v>
      </c>
      <c r="B496" s="184"/>
      <c r="C496" s="184"/>
      <c r="D496" s="184" t="s">
        <v>238</v>
      </c>
      <c r="E496" s="579" t="s">
        <v>289</v>
      </c>
      <c r="F496" s="321">
        <v>38657</v>
      </c>
      <c r="G496" s="321">
        <v>38754</v>
      </c>
      <c r="H496" s="184" t="s">
        <v>249</v>
      </c>
      <c r="I496" s="184" t="s">
        <v>290</v>
      </c>
      <c r="J496" s="184" t="s">
        <v>242</v>
      </c>
      <c r="K496" s="184"/>
      <c r="L496" s="184">
        <v>36</v>
      </c>
      <c r="M496" s="184">
        <v>160</v>
      </c>
      <c r="N496" s="184"/>
      <c r="O496" s="321">
        <v>39753</v>
      </c>
      <c r="P496" s="184"/>
      <c r="Q496" s="184">
        <v>0.1875</v>
      </c>
      <c r="R496" s="184"/>
      <c r="S496" s="184" t="s">
        <v>243</v>
      </c>
      <c r="T496" s="184"/>
      <c r="U496" s="184"/>
      <c r="V496" s="323"/>
    </row>
    <row r="497" spans="1:29" ht="25.5" customHeight="1" x14ac:dyDescent="0.25">
      <c r="A497" s="324">
        <v>234</v>
      </c>
      <c r="B497" s="324"/>
      <c r="C497" s="324"/>
      <c r="D497" s="324" t="s">
        <v>309</v>
      </c>
      <c r="E497" s="578" t="s">
        <v>3229</v>
      </c>
      <c r="F497" s="572">
        <v>38001</v>
      </c>
      <c r="G497" s="572">
        <v>38762</v>
      </c>
      <c r="H497" s="324" t="s">
        <v>392</v>
      </c>
      <c r="I497" s="324" t="s">
        <v>266</v>
      </c>
      <c r="J497" s="324" t="s">
        <v>488</v>
      </c>
      <c r="K497" s="324"/>
      <c r="L497" s="324"/>
      <c r="M497" s="324"/>
      <c r="N497" s="184"/>
      <c r="O497" s="184"/>
      <c r="P497" s="184"/>
      <c r="Q497" s="184"/>
      <c r="R497" s="184"/>
      <c r="S497" s="184"/>
      <c r="T497" s="184"/>
      <c r="U497" s="184"/>
      <c r="V497" s="184"/>
      <c r="W497" s="184"/>
      <c r="X497" s="184"/>
      <c r="Y497" s="184"/>
      <c r="Z497" s="184"/>
      <c r="AA497" s="184"/>
      <c r="AB497" s="184"/>
      <c r="AC497" s="184"/>
    </row>
    <row r="498" spans="1:29" ht="25.5" customHeight="1" x14ac:dyDescent="0.25">
      <c r="A498" s="325">
        <v>251</v>
      </c>
      <c r="B498" s="325"/>
      <c r="C498" s="325"/>
      <c r="D498" s="325" t="s">
        <v>309</v>
      </c>
      <c r="E498" s="577" t="s">
        <v>3229</v>
      </c>
      <c r="F498" s="573">
        <v>38001</v>
      </c>
      <c r="G498" s="573">
        <v>38762</v>
      </c>
      <c r="H498" s="325" t="s">
        <v>392</v>
      </c>
      <c r="I498" s="325" t="s">
        <v>266</v>
      </c>
      <c r="J498" s="325" t="s">
        <v>488</v>
      </c>
      <c r="K498" s="325"/>
      <c r="L498" s="325"/>
      <c r="M498" s="325"/>
      <c r="N498" s="184"/>
      <c r="O498" s="326"/>
      <c r="P498" s="184"/>
      <c r="Q498" s="184"/>
      <c r="R498" s="184"/>
      <c r="S498" s="184"/>
      <c r="T498" s="184"/>
      <c r="U498" s="184"/>
      <c r="V498" s="184"/>
    </row>
    <row r="499" spans="1:29" ht="25.5" customHeight="1" x14ac:dyDescent="0.25">
      <c r="A499" s="324">
        <v>283</v>
      </c>
      <c r="B499" s="324"/>
      <c r="C499" s="324"/>
      <c r="D499" s="324" t="s">
        <v>309</v>
      </c>
      <c r="E499" s="578" t="s">
        <v>3235</v>
      </c>
      <c r="F499" s="572">
        <v>38720</v>
      </c>
      <c r="G499" s="572">
        <v>38785</v>
      </c>
      <c r="H499" s="324" t="s">
        <v>722</v>
      </c>
      <c r="I499" s="324" t="s">
        <v>290</v>
      </c>
      <c r="J499" s="324" t="s">
        <v>502</v>
      </c>
      <c r="K499" s="324"/>
      <c r="L499" s="324"/>
      <c r="M499" s="324"/>
      <c r="N499" s="184"/>
      <c r="O499" s="184"/>
      <c r="P499" s="184"/>
      <c r="Q499" s="184"/>
      <c r="R499" s="184"/>
      <c r="S499" s="184"/>
      <c r="T499" s="184"/>
      <c r="U499" s="184"/>
      <c r="V499" s="184"/>
      <c r="W499" s="184"/>
      <c r="X499" s="184"/>
      <c r="Y499" s="184"/>
      <c r="Z499" s="184"/>
      <c r="AA499" s="184"/>
      <c r="AB499" s="184"/>
      <c r="AC499" s="184"/>
    </row>
    <row r="500" spans="1:29" ht="25.5" customHeight="1" x14ac:dyDescent="0.25">
      <c r="A500" s="325">
        <v>286</v>
      </c>
      <c r="B500" s="325"/>
      <c r="C500" s="325"/>
      <c r="D500" s="325" t="s">
        <v>309</v>
      </c>
      <c r="E500" s="577" t="s">
        <v>3235</v>
      </c>
      <c r="F500" s="573">
        <v>38720</v>
      </c>
      <c r="G500" s="573">
        <v>38785</v>
      </c>
      <c r="H500" s="325" t="s">
        <v>949</v>
      </c>
      <c r="I500" s="325" t="s">
        <v>756</v>
      </c>
      <c r="J500" s="325" t="s">
        <v>502</v>
      </c>
      <c r="K500" s="325"/>
      <c r="L500" s="325"/>
      <c r="M500" s="325"/>
      <c r="N500" s="184"/>
      <c r="O500" s="326"/>
      <c r="P500" s="184"/>
      <c r="Q500" s="184"/>
      <c r="R500" s="184"/>
      <c r="S500" s="184"/>
      <c r="T500" s="184"/>
      <c r="U500" s="184"/>
      <c r="V500" s="184"/>
    </row>
    <row r="501" spans="1:29" ht="25.5" customHeight="1" x14ac:dyDescent="0.25">
      <c r="A501" s="324">
        <v>288</v>
      </c>
      <c r="B501" s="324"/>
      <c r="C501" s="324"/>
      <c r="D501" s="324" t="s">
        <v>309</v>
      </c>
      <c r="E501" s="578" t="s">
        <v>303</v>
      </c>
      <c r="F501" s="572">
        <v>38760</v>
      </c>
      <c r="G501" s="572">
        <v>38792</v>
      </c>
      <c r="H501" s="324" t="s">
        <v>304</v>
      </c>
      <c r="I501" s="324" t="s">
        <v>302</v>
      </c>
      <c r="J501" s="324" t="s">
        <v>502</v>
      </c>
      <c r="K501" s="324"/>
      <c r="L501" s="324"/>
      <c r="M501" s="324"/>
      <c r="N501" s="184"/>
      <c r="O501" s="184"/>
      <c r="P501" s="184"/>
      <c r="Q501" s="184"/>
      <c r="R501" s="184"/>
      <c r="S501" s="184"/>
      <c r="T501" s="184"/>
      <c r="U501" s="184"/>
      <c r="V501" s="184"/>
      <c r="W501" s="184"/>
      <c r="X501" s="184"/>
      <c r="Y501" s="184"/>
      <c r="Z501" s="184"/>
      <c r="AA501" s="184"/>
      <c r="AB501" s="184"/>
      <c r="AC501" s="184"/>
    </row>
    <row r="502" spans="1:29" ht="25.5" customHeight="1" x14ac:dyDescent="0.25">
      <c r="A502" s="184">
        <v>27</v>
      </c>
      <c r="B502" s="184"/>
      <c r="C502" s="184"/>
      <c r="D502" s="325" t="s">
        <v>309</v>
      </c>
      <c r="E502" s="579" t="s">
        <v>303</v>
      </c>
      <c r="F502" s="321">
        <v>38760</v>
      </c>
      <c r="G502" s="321">
        <v>38792</v>
      </c>
      <c r="H502" s="184" t="s">
        <v>304</v>
      </c>
      <c r="I502" s="184" t="s">
        <v>299</v>
      </c>
      <c r="J502" s="184" t="s">
        <v>502</v>
      </c>
      <c r="K502" s="184"/>
      <c r="L502" s="184">
        <v>36</v>
      </c>
      <c r="M502" s="184">
        <v>180</v>
      </c>
      <c r="N502" s="184"/>
      <c r="O502" s="326">
        <v>39856</v>
      </c>
      <c r="P502" s="184"/>
      <c r="Q502" s="184">
        <v>0.25</v>
      </c>
      <c r="R502" s="184"/>
      <c r="S502" s="184" t="s">
        <v>243</v>
      </c>
      <c r="T502" s="184"/>
      <c r="U502" s="184"/>
      <c r="V502" s="323"/>
    </row>
    <row r="503" spans="1:29" ht="25.5" customHeight="1" x14ac:dyDescent="0.25">
      <c r="A503" s="184">
        <v>27</v>
      </c>
      <c r="B503" s="184"/>
      <c r="C503" s="184"/>
      <c r="D503" s="184" t="s">
        <v>238</v>
      </c>
      <c r="E503" s="579" t="s">
        <v>303</v>
      </c>
      <c r="F503" s="321">
        <v>38760</v>
      </c>
      <c r="G503" s="321">
        <v>38792</v>
      </c>
      <c r="H503" s="184" t="s">
        <v>304</v>
      </c>
      <c r="I503" s="184" t="s">
        <v>299</v>
      </c>
      <c r="J503" s="184" t="s">
        <v>242</v>
      </c>
      <c r="K503" s="184"/>
      <c r="L503" s="184">
        <v>36</v>
      </c>
      <c r="M503" s="184">
        <v>180</v>
      </c>
      <c r="N503" s="184"/>
      <c r="O503" s="321">
        <v>39856</v>
      </c>
      <c r="P503" s="184"/>
      <c r="Q503" s="184">
        <v>0.25</v>
      </c>
      <c r="R503" s="184"/>
      <c r="S503" s="184" t="s">
        <v>243</v>
      </c>
      <c r="T503" s="184"/>
      <c r="U503" s="184"/>
      <c r="V503" s="323"/>
    </row>
    <row r="504" spans="1:29" ht="25.5" customHeight="1" x14ac:dyDescent="0.25">
      <c r="A504" s="324">
        <v>286</v>
      </c>
      <c r="B504" s="324"/>
      <c r="C504" s="324"/>
      <c r="D504" s="324" t="s">
        <v>726</v>
      </c>
      <c r="E504" s="578" t="s">
        <v>3256</v>
      </c>
      <c r="F504" s="572">
        <v>38748</v>
      </c>
      <c r="G504" s="572">
        <v>38810</v>
      </c>
      <c r="H504" s="324" t="s">
        <v>259</v>
      </c>
      <c r="I504" s="324" t="s">
        <v>728</v>
      </c>
      <c r="J504" s="324" t="s">
        <v>502</v>
      </c>
      <c r="K504" s="324"/>
      <c r="L504" s="324"/>
      <c r="M504" s="324"/>
      <c r="N504" s="184"/>
      <c r="O504" s="184"/>
      <c r="P504" s="184"/>
      <c r="Q504" s="184"/>
      <c r="R504" s="184"/>
      <c r="S504" s="184"/>
      <c r="T504" s="184"/>
      <c r="U504" s="184"/>
      <c r="V504" s="184"/>
      <c r="W504" s="184"/>
      <c r="X504" s="184"/>
      <c r="Y504" s="184"/>
      <c r="Z504" s="184"/>
      <c r="AA504" s="184"/>
      <c r="AB504" s="184"/>
      <c r="AC504" s="184"/>
    </row>
    <row r="505" spans="1:29" ht="25.5" customHeight="1" x14ac:dyDescent="0.25">
      <c r="A505" s="325">
        <v>287</v>
      </c>
      <c r="B505" s="325"/>
      <c r="C505" s="325"/>
      <c r="D505" s="325" t="s">
        <v>726</v>
      </c>
      <c r="E505" s="577" t="s">
        <v>3256</v>
      </c>
      <c r="F505" s="573">
        <v>38748</v>
      </c>
      <c r="G505" s="573">
        <v>38810</v>
      </c>
      <c r="H505" s="325" t="s">
        <v>611</v>
      </c>
      <c r="I505" s="325" t="s">
        <v>950</v>
      </c>
      <c r="J505" s="325" t="s">
        <v>502</v>
      </c>
      <c r="K505" s="325"/>
      <c r="L505" s="325"/>
      <c r="M505" s="325"/>
      <c r="N505" s="184"/>
      <c r="O505" s="326"/>
      <c r="P505" s="184"/>
      <c r="Q505" s="184"/>
      <c r="R505" s="184"/>
      <c r="S505" s="184"/>
      <c r="T505" s="184"/>
      <c r="U505" s="184"/>
      <c r="V505" s="184"/>
    </row>
    <row r="506" spans="1:29" ht="25.5" customHeight="1" x14ac:dyDescent="0.25">
      <c r="A506" s="324">
        <v>287</v>
      </c>
      <c r="B506" s="324"/>
      <c r="C506" s="324"/>
      <c r="D506" s="324" t="s">
        <v>309</v>
      </c>
      <c r="E506" s="578" t="s">
        <v>3261</v>
      </c>
      <c r="F506" s="572">
        <v>38748</v>
      </c>
      <c r="G506" s="572">
        <v>38824</v>
      </c>
      <c r="H506" s="324" t="s">
        <v>730</v>
      </c>
      <c r="I506" s="324" t="s">
        <v>290</v>
      </c>
      <c r="J506" s="324" t="s">
        <v>561</v>
      </c>
      <c r="K506" s="324"/>
      <c r="L506" s="324"/>
      <c r="M506" s="324"/>
      <c r="N506" s="184"/>
      <c r="O506" s="184"/>
      <c r="P506" s="184"/>
      <c r="Q506" s="184"/>
      <c r="R506" s="184"/>
      <c r="S506" s="184"/>
      <c r="T506" s="184"/>
      <c r="U506" s="184"/>
      <c r="V506" s="184"/>
      <c r="W506" s="184"/>
      <c r="X506" s="184"/>
      <c r="Y506" s="184"/>
      <c r="Z506" s="184"/>
      <c r="AA506" s="184"/>
      <c r="AB506" s="184"/>
      <c r="AC506" s="184"/>
    </row>
    <row r="507" spans="1:29" ht="25.5" customHeight="1" x14ac:dyDescent="0.25">
      <c r="A507" s="325">
        <v>288</v>
      </c>
      <c r="B507" s="325"/>
      <c r="C507" s="325"/>
      <c r="D507" s="325" t="s">
        <v>309</v>
      </c>
      <c r="E507" s="577" t="s">
        <v>3261</v>
      </c>
      <c r="F507" s="573">
        <v>38748</v>
      </c>
      <c r="G507" s="573">
        <v>38824</v>
      </c>
      <c r="H507" s="325" t="s">
        <v>730</v>
      </c>
      <c r="I507" s="325" t="s">
        <v>756</v>
      </c>
      <c r="J507" s="325" t="s">
        <v>561</v>
      </c>
      <c r="K507" s="325"/>
      <c r="L507" s="325"/>
      <c r="M507" s="325"/>
      <c r="N507" s="184"/>
      <c r="O507" s="326"/>
      <c r="P507" s="184"/>
      <c r="Q507" s="184"/>
      <c r="R507" s="184"/>
      <c r="S507" s="184"/>
      <c r="T507" s="184"/>
      <c r="U507" s="184"/>
      <c r="V507" s="184"/>
    </row>
    <row r="508" spans="1:29" ht="25.5" customHeight="1" x14ac:dyDescent="0.25">
      <c r="A508" s="324">
        <v>51</v>
      </c>
      <c r="B508" s="324"/>
      <c r="C508" s="324"/>
      <c r="D508" s="324" t="s">
        <v>309</v>
      </c>
      <c r="E508" s="578" t="s">
        <v>1579</v>
      </c>
      <c r="F508" s="458">
        <v>27862</v>
      </c>
      <c r="G508" s="572">
        <v>27862</v>
      </c>
      <c r="H508" s="324" t="s">
        <v>384</v>
      </c>
      <c r="I508" s="324" t="s">
        <v>385</v>
      </c>
      <c r="J508" s="324" t="s">
        <v>313</v>
      </c>
      <c r="K508" s="324"/>
      <c r="L508" s="324"/>
      <c r="M508" s="324"/>
      <c r="N508" s="184"/>
      <c r="O508" s="184"/>
      <c r="P508" s="184"/>
      <c r="Q508" s="184"/>
      <c r="R508" s="184"/>
      <c r="S508" s="184"/>
      <c r="T508" s="184"/>
      <c r="U508" s="184"/>
      <c r="V508" s="184"/>
      <c r="W508" s="184"/>
      <c r="X508" s="184"/>
      <c r="Y508" s="184"/>
      <c r="Z508" s="184"/>
      <c r="AA508" s="184"/>
      <c r="AB508" s="184"/>
      <c r="AC508" s="184"/>
    </row>
    <row r="509" spans="1:29" ht="25.5" customHeight="1" x14ac:dyDescent="0.25">
      <c r="A509" s="324">
        <v>52</v>
      </c>
      <c r="B509" s="324"/>
      <c r="C509" s="324"/>
      <c r="D509" s="324" t="s">
        <v>309</v>
      </c>
      <c r="E509" s="578" t="s">
        <v>1590</v>
      </c>
      <c r="F509" s="458">
        <v>28167</v>
      </c>
      <c r="G509" s="572">
        <v>28167</v>
      </c>
      <c r="H509" s="324" t="s">
        <v>386</v>
      </c>
      <c r="I509" s="324" t="s">
        <v>387</v>
      </c>
      <c r="J509" s="324" t="s">
        <v>308</v>
      </c>
      <c r="K509" s="324"/>
      <c r="L509" s="324"/>
      <c r="M509" s="324"/>
      <c r="N509" s="184"/>
      <c r="O509" s="184"/>
      <c r="P509" s="184"/>
      <c r="Q509" s="184"/>
      <c r="R509" s="184"/>
      <c r="S509" s="184"/>
      <c r="T509" s="184"/>
      <c r="U509" s="184"/>
      <c r="V509" s="184"/>
      <c r="W509" s="184"/>
      <c r="X509" s="184"/>
      <c r="Y509" s="184"/>
      <c r="Z509" s="184"/>
      <c r="AA509" s="184"/>
      <c r="AB509" s="184"/>
      <c r="AC509" s="184"/>
    </row>
    <row r="510" spans="1:29" ht="25.5" customHeight="1" x14ac:dyDescent="0.25">
      <c r="A510" s="324">
        <v>53</v>
      </c>
      <c r="B510" s="324"/>
      <c r="C510" s="324"/>
      <c r="D510" s="324" t="s">
        <v>309</v>
      </c>
      <c r="E510" s="578" t="s">
        <v>1596</v>
      </c>
      <c r="F510" s="458">
        <v>28447</v>
      </c>
      <c r="G510" s="572">
        <v>28447</v>
      </c>
      <c r="H510" s="324" t="s">
        <v>388</v>
      </c>
      <c r="I510" s="324" t="s">
        <v>389</v>
      </c>
      <c r="J510" s="324" t="s">
        <v>308</v>
      </c>
      <c r="K510" s="324"/>
      <c r="L510" s="324"/>
      <c r="M510" s="324"/>
      <c r="N510" s="184"/>
      <c r="O510" s="184"/>
      <c r="P510" s="184"/>
      <c r="Q510" s="184"/>
      <c r="R510" s="184"/>
      <c r="S510" s="184"/>
      <c r="T510" s="184"/>
      <c r="U510" s="184"/>
      <c r="V510" s="184"/>
      <c r="W510" s="184"/>
      <c r="X510" s="184"/>
      <c r="Y510" s="184"/>
      <c r="Z510" s="184"/>
      <c r="AA510" s="184"/>
      <c r="AB510" s="184"/>
      <c r="AC510" s="184"/>
    </row>
    <row r="511" spans="1:29" ht="25.5" customHeight="1" x14ac:dyDescent="0.25">
      <c r="A511" s="324">
        <v>54</v>
      </c>
      <c r="B511" s="324"/>
      <c r="C511" s="324"/>
      <c r="D511" s="324" t="s">
        <v>309</v>
      </c>
      <c r="E511" s="578" t="s">
        <v>1599</v>
      </c>
      <c r="F511" s="458">
        <v>28583</v>
      </c>
      <c r="G511" s="572">
        <v>28583</v>
      </c>
      <c r="H511" s="324" t="s">
        <v>390</v>
      </c>
      <c r="I511" s="324" t="s">
        <v>391</v>
      </c>
      <c r="J511" s="324" t="s">
        <v>313</v>
      </c>
      <c r="K511" s="324"/>
      <c r="L511" s="324"/>
      <c r="M511" s="324"/>
      <c r="N511" s="184"/>
      <c r="O511" s="184"/>
      <c r="P511" s="184"/>
      <c r="Q511" s="184"/>
      <c r="R511" s="184"/>
      <c r="S511" s="184"/>
      <c r="T511" s="184"/>
      <c r="U511" s="184"/>
      <c r="V511" s="184"/>
      <c r="W511" s="184"/>
      <c r="X511" s="184"/>
      <c r="Y511" s="184"/>
      <c r="Z511" s="184"/>
      <c r="AA511" s="184"/>
      <c r="AB511" s="184"/>
      <c r="AC511" s="184"/>
    </row>
    <row r="512" spans="1:29" ht="25.5" customHeight="1" x14ac:dyDescent="0.25">
      <c r="A512" s="324">
        <v>55</v>
      </c>
      <c r="B512" s="324"/>
      <c r="C512" s="324"/>
      <c r="D512" s="324" t="s">
        <v>309</v>
      </c>
      <c r="E512" s="578" t="s">
        <v>1631</v>
      </c>
      <c r="F512" s="458">
        <v>28599</v>
      </c>
      <c r="G512" s="572">
        <v>28599</v>
      </c>
      <c r="H512" s="324" t="s">
        <v>392</v>
      </c>
      <c r="I512" s="324" t="s">
        <v>393</v>
      </c>
      <c r="J512" s="324" t="s">
        <v>313</v>
      </c>
      <c r="K512" s="324"/>
      <c r="L512" s="324"/>
      <c r="M512" s="324"/>
      <c r="N512" s="184"/>
      <c r="O512" s="184"/>
      <c r="P512" s="184"/>
      <c r="Q512" s="184"/>
      <c r="R512" s="184"/>
      <c r="S512" s="184"/>
      <c r="T512" s="184"/>
      <c r="U512" s="184"/>
      <c r="V512" s="184"/>
      <c r="W512" s="184"/>
      <c r="X512" s="184"/>
      <c r="Y512" s="184"/>
      <c r="Z512" s="184"/>
      <c r="AA512" s="184"/>
      <c r="AB512" s="184"/>
      <c r="AC512" s="184"/>
    </row>
    <row r="513" spans="1:29" ht="25.5" customHeight="1" x14ac:dyDescent="0.25">
      <c r="A513" s="324">
        <v>56</v>
      </c>
      <c r="B513" s="324"/>
      <c r="C513" s="324"/>
      <c r="D513" s="324" t="s">
        <v>309</v>
      </c>
      <c r="E513" s="578" t="s">
        <v>1633</v>
      </c>
      <c r="F513" s="458">
        <v>28599</v>
      </c>
      <c r="G513" s="572">
        <v>28599</v>
      </c>
      <c r="H513" s="324" t="s">
        <v>394</v>
      </c>
      <c r="I513" s="324" t="s">
        <v>393</v>
      </c>
      <c r="J513" s="324" t="s">
        <v>313</v>
      </c>
      <c r="K513" s="324"/>
      <c r="L513" s="324"/>
      <c r="M513" s="324"/>
      <c r="N513" s="184"/>
      <c r="O513" s="184"/>
      <c r="P513" s="184"/>
      <c r="Q513" s="184"/>
      <c r="R513" s="184"/>
      <c r="S513" s="184"/>
      <c r="T513" s="184"/>
      <c r="U513" s="184"/>
      <c r="V513" s="184"/>
      <c r="W513" s="184"/>
      <c r="X513" s="184"/>
      <c r="Y513" s="184"/>
      <c r="Z513" s="184"/>
      <c r="AA513" s="184"/>
      <c r="AB513" s="184"/>
      <c r="AC513" s="184"/>
    </row>
    <row r="514" spans="1:29" ht="25.5" customHeight="1" x14ac:dyDescent="0.25">
      <c r="A514" s="324">
        <v>57</v>
      </c>
      <c r="B514" s="324"/>
      <c r="C514" s="324"/>
      <c r="D514" s="324" t="s">
        <v>309</v>
      </c>
      <c r="E514" s="578" t="s">
        <v>1635</v>
      </c>
      <c r="F514" s="458">
        <v>28599</v>
      </c>
      <c r="G514" s="572">
        <v>28599</v>
      </c>
      <c r="H514" s="324" t="s">
        <v>395</v>
      </c>
      <c r="I514" s="324" t="s">
        <v>393</v>
      </c>
      <c r="J514" s="324" t="s">
        <v>313</v>
      </c>
      <c r="K514" s="324"/>
      <c r="L514" s="324"/>
      <c r="M514" s="324"/>
      <c r="N514" s="184"/>
      <c r="O514" s="184"/>
      <c r="P514" s="184"/>
      <c r="Q514" s="184"/>
      <c r="R514" s="184"/>
      <c r="S514" s="184"/>
      <c r="T514" s="184"/>
      <c r="U514" s="184"/>
      <c r="V514" s="184"/>
      <c r="W514" s="184"/>
      <c r="X514" s="184"/>
      <c r="Y514" s="184"/>
      <c r="Z514" s="184"/>
      <c r="AA514" s="184"/>
      <c r="AB514" s="184"/>
      <c r="AC514" s="184"/>
    </row>
    <row r="515" spans="1:29" ht="25.5" customHeight="1" x14ac:dyDescent="0.25">
      <c r="A515" s="324">
        <v>58</v>
      </c>
      <c r="B515" s="324"/>
      <c r="C515" s="324"/>
      <c r="D515" s="324" t="s">
        <v>309</v>
      </c>
      <c r="E515" s="578" t="s">
        <v>1637</v>
      </c>
      <c r="F515" s="458">
        <v>28607</v>
      </c>
      <c r="G515" s="572">
        <v>28607</v>
      </c>
      <c r="H515" s="324" t="s">
        <v>396</v>
      </c>
      <c r="I515" s="324" t="s">
        <v>393</v>
      </c>
      <c r="J515" s="324" t="s">
        <v>313</v>
      </c>
      <c r="K515" s="324"/>
      <c r="L515" s="324"/>
      <c r="M515" s="324"/>
      <c r="N515" s="184"/>
      <c r="O515" s="184"/>
      <c r="P515" s="184"/>
      <c r="Q515" s="184"/>
      <c r="R515" s="184"/>
      <c r="S515" s="184"/>
      <c r="T515" s="184"/>
      <c r="U515" s="184"/>
      <c r="V515" s="184"/>
      <c r="W515" s="184"/>
      <c r="X515" s="184"/>
      <c r="Y515" s="184"/>
      <c r="Z515" s="184"/>
      <c r="AA515" s="184"/>
      <c r="AB515" s="184"/>
      <c r="AC515" s="184"/>
    </row>
    <row r="516" spans="1:29" ht="25.5" customHeight="1" x14ac:dyDescent="0.25">
      <c r="A516" s="324">
        <v>59</v>
      </c>
      <c r="B516" s="324"/>
      <c r="C516" s="324"/>
      <c r="D516" s="324" t="s">
        <v>309</v>
      </c>
      <c r="E516" s="578" t="s">
        <v>1639</v>
      </c>
      <c r="F516" s="458">
        <v>28607</v>
      </c>
      <c r="G516" s="572">
        <v>28607</v>
      </c>
      <c r="H516" s="324" t="s">
        <v>397</v>
      </c>
      <c r="I516" s="324" t="s">
        <v>393</v>
      </c>
      <c r="J516" s="324" t="s">
        <v>313</v>
      </c>
      <c r="K516" s="324"/>
      <c r="L516" s="324"/>
      <c r="M516" s="324"/>
      <c r="N516" s="184"/>
      <c r="O516" s="184"/>
      <c r="P516" s="184"/>
      <c r="Q516" s="184"/>
      <c r="R516" s="184"/>
      <c r="S516" s="184"/>
      <c r="T516" s="184"/>
      <c r="U516" s="184"/>
      <c r="V516" s="184"/>
      <c r="W516" s="184"/>
      <c r="X516" s="184"/>
      <c r="Y516" s="184"/>
      <c r="Z516" s="184"/>
      <c r="AA516" s="184"/>
      <c r="AB516" s="184"/>
      <c r="AC516" s="184"/>
    </row>
    <row r="517" spans="1:29" ht="25.5" customHeight="1" x14ac:dyDescent="0.25">
      <c r="A517" s="324">
        <v>60</v>
      </c>
      <c r="B517" s="324"/>
      <c r="C517" s="324"/>
      <c r="D517" s="324" t="s">
        <v>309</v>
      </c>
      <c r="E517" s="578" t="s">
        <v>1641</v>
      </c>
      <c r="F517" s="458">
        <v>28607</v>
      </c>
      <c r="G517" s="572">
        <v>28607</v>
      </c>
      <c r="H517" s="324" t="s">
        <v>398</v>
      </c>
      <c r="I517" s="324" t="s">
        <v>399</v>
      </c>
      <c r="J517" s="324" t="s">
        <v>308</v>
      </c>
      <c r="K517" s="324"/>
      <c r="L517" s="324"/>
      <c r="M517" s="324"/>
      <c r="N517" s="184"/>
      <c r="O517" s="184"/>
      <c r="P517" s="184"/>
      <c r="Q517" s="184"/>
      <c r="R517" s="184"/>
      <c r="S517" s="184"/>
      <c r="T517" s="184"/>
      <c r="U517" s="184"/>
      <c r="V517" s="184"/>
      <c r="W517" s="184"/>
      <c r="X517" s="184"/>
      <c r="Y517" s="184"/>
      <c r="Z517" s="184"/>
      <c r="AA517" s="184"/>
      <c r="AB517" s="184"/>
      <c r="AC517" s="184"/>
    </row>
    <row r="518" spans="1:29" ht="25.5" customHeight="1" x14ac:dyDescent="0.25">
      <c r="A518" s="324">
        <v>61</v>
      </c>
      <c r="B518" s="324"/>
      <c r="C518" s="324"/>
      <c r="D518" s="324" t="s">
        <v>309</v>
      </c>
      <c r="E518" s="578" t="s">
        <v>1647</v>
      </c>
      <c r="F518" s="458">
        <v>28618</v>
      </c>
      <c r="G518" s="572">
        <v>28618</v>
      </c>
      <c r="H518" s="324" t="s">
        <v>400</v>
      </c>
      <c r="I518" s="324" t="s">
        <v>393</v>
      </c>
      <c r="J518" s="324" t="s">
        <v>313</v>
      </c>
      <c r="K518" s="324"/>
      <c r="L518" s="324"/>
      <c r="M518" s="324"/>
      <c r="N518" s="184"/>
      <c r="O518" s="184"/>
      <c r="P518" s="184"/>
      <c r="Q518" s="184"/>
      <c r="R518" s="184"/>
      <c r="S518" s="184"/>
      <c r="T518" s="184"/>
      <c r="U518" s="184"/>
      <c r="V518" s="184"/>
      <c r="W518" s="184"/>
      <c r="X518" s="184"/>
      <c r="Y518" s="184"/>
      <c r="Z518" s="184"/>
      <c r="AA518" s="184"/>
      <c r="AB518" s="184"/>
      <c r="AC518" s="184"/>
    </row>
    <row r="519" spans="1:29" ht="25.5" customHeight="1" x14ac:dyDescent="0.25">
      <c r="A519" s="324">
        <v>62</v>
      </c>
      <c r="B519" s="324"/>
      <c r="C519" s="324"/>
      <c r="D519" s="324" t="s">
        <v>309</v>
      </c>
      <c r="E519" s="578" t="s">
        <v>1649</v>
      </c>
      <c r="F519" s="458">
        <v>28618</v>
      </c>
      <c r="G519" s="572">
        <v>28618</v>
      </c>
      <c r="H519" s="324" t="s">
        <v>401</v>
      </c>
      <c r="I519" s="324" t="s">
        <v>393</v>
      </c>
      <c r="J519" s="324" t="s">
        <v>313</v>
      </c>
      <c r="K519" s="324"/>
      <c r="L519" s="324"/>
      <c r="M519" s="324"/>
      <c r="N519" s="184"/>
      <c r="O519" s="184"/>
      <c r="P519" s="184"/>
      <c r="Q519" s="184"/>
      <c r="R519" s="184"/>
      <c r="S519" s="184"/>
      <c r="T519" s="184"/>
      <c r="U519" s="184"/>
      <c r="V519" s="184"/>
      <c r="W519" s="184"/>
      <c r="X519" s="184"/>
      <c r="Y519" s="184"/>
      <c r="Z519" s="184"/>
      <c r="AA519" s="184"/>
      <c r="AB519" s="184"/>
      <c r="AC519" s="184"/>
    </row>
    <row r="520" spans="1:29" ht="25.5" customHeight="1" x14ac:dyDescent="0.25">
      <c r="A520" s="324">
        <v>63</v>
      </c>
      <c r="B520" s="324"/>
      <c r="C520" s="324"/>
      <c r="D520" s="324" t="s">
        <v>309</v>
      </c>
      <c r="E520" s="578" t="s">
        <v>1651</v>
      </c>
      <c r="F520" s="458">
        <v>28618</v>
      </c>
      <c r="G520" s="572">
        <v>28618</v>
      </c>
      <c r="H520" s="324" t="s">
        <v>373</v>
      </c>
      <c r="I520" s="324" t="s">
        <v>393</v>
      </c>
      <c r="J520" s="324" t="s">
        <v>313</v>
      </c>
      <c r="K520" s="324"/>
      <c r="L520" s="324"/>
      <c r="M520" s="324"/>
      <c r="N520" s="184"/>
      <c r="O520" s="184"/>
      <c r="P520" s="184"/>
      <c r="Q520" s="184"/>
      <c r="R520" s="184"/>
      <c r="S520" s="184"/>
      <c r="T520" s="184"/>
      <c r="U520" s="184"/>
      <c r="V520" s="184"/>
      <c r="W520" s="184"/>
      <c r="X520" s="184"/>
      <c r="Y520" s="184"/>
      <c r="Z520" s="184"/>
      <c r="AA520" s="184"/>
      <c r="AB520" s="184"/>
      <c r="AC520" s="184"/>
    </row>
    <row r="521" spans="1:29" ht="25.5" customHeight="1" x14ac:dyDescent="0.25">
      <c r="A521" s="324">
        <v>64</v>
      </c>
      <c r="B521" s="324"/>
      <c r="C521" s="324"/>
      <c r="D521" s="324" t="s">
        <v>309</v>
      </c>
      <c r="E521" s="578" t="s">
        <v>1653</v>
      </c>
      <c r="F521" s="458">
        <v>28620</v>
      </c>
      <c r="G521" s="572">
        <v>28620</v>
      </c>
      <c r="H521" s="324" t="s">
        <v>402</v>
      </c>
      <c r="I521" s="324" t="s">
        <v>393</v>
      </c>
      <c r="J521" s="324" t="s">
        <v>308</v>
      </c>
      <c r="K521" s="324"/>
      <c r="L521" s="324"/>
      <c r="M521" s="324"/>
      <c r="N521" s="184"/>
      <c r="O521" s="184"/>
      <c r="P521" s="184"/>
      <c r="Q521" s="184"/>
      <c r="R521" s="184"/>
      <c r="S521" s="184"/>
      <c r="T521" s="184"/>
      <c r="U521" s="184"/>
      <c r="V521" s="184"/>
      <c r="W521" s="184"/>
      <c r="X521" s="184"/>
      <c r="Y521" s="184"/>
      <c r="Z521" s="184"/>
      <c r="AA521" s="184"/>
      <c r="AB521" s="184"/>
      <c r="AC521" s="184"/>
    </row>
    <row r="522" spans="1:29" ht="25.5" customHeight="1" x14ac:dyDescent="0.25">
      <c r="A522" s="324">
        <v>65</v>
      </c>
      <c r="B522" s="324"/>
      <c r="C522" s="324"/>
      <c r="D522" s="324" t="s">
        <v>309</v>
      </c>
      <c r="E522" s="578" t="s">
        <v>1655</v>
      </c>
      <c r="F522" s="458">
        <v>28640</v>
      </c>
      <c r="G522" s="572">
        <v>28640</v>
      </c>
      <c r="H522" s="324" t="s">
        <v>403</v>
      </c>
      <c r="I522" s="324" t="s">
        <v>379</v>
      </c>
      <c r="J522" s="324" t="s">
        <v>313</v>
      </c>
      <c r="K522" s="324"/>
      <c r="L522" s="324"/>
      <c r="M522" s="324"/>
      <c r="N522" s="184"/>
      <c r="O522" s="184"/>
      <c r="P522" s="184"/>
      <c r="Q522" s="184"/>
      <c r="R522" s="184"/>
      <c r="S522" s="184"/>
      <c r="T522" s="184"/>
      <c r="U522" s="184"/>
      <c r="V522" s="184"/>
      <c r="W522" s="184"/>
      <c r="X522" s="184"/>
      <c r="Y522" s="184"/>
      <c r="Z522" s="184"/>
      <c r="AA522" s="184"/>
      <c r="AB522" s="184"/>
      <c r="AC522" s="184"/>
    </row>
    <row r="523" spans="1:29" ht="25.5" customHeight="1" x14ac:dyDescent="0.25">
      <c r="A523" s="324">
        <v>66</v>
      </c>
      <c r="B523" s="324"/>
      <c r="C523" s="324"/>
      <c r="D523" s="324" t="s">
        <v>309</v>
      </c>
      <c r="E523" s="578" t="s">
        <v>1658</v>
      </c>
      <c r="F523" s="458">
        <v>28640</v>
      </c>
      <c r="G523" s="572">
        <v>28640</v>
      </c>
      <c r="H523" s="324" t="s">
        <v>404</v>
      </c>
      <c r="I523" s="324" t="s">
        <v>379</v>
      </c>
      <c r="J523" s="324" t="s">
        <v>313</v>
      </c>
      <c r="K523" s="324"/>
      <c r="L523" s="324"/>
      <c r="M523" s="324"/>
      <c r="N523" s="184"/>
      <c r="O523" s="184"/>
      <c r="P523" s="184"/>
      <c r="Q523" s="184"/>
      <c r="R523" s="184"/>
      <c r="S523" s="184"/>
      <c r="T523" s="184"/>
      <c r="U523" s="184"/>
      <c r="V523" s="184"/>
      <c r="W523" s="184"/>
      <c r="X523" s="184"/>
      <c r="Y523" s="184"/>
      <c r="Z523" s="184"/>
      <c r="AA523" s="184"/>
      <c r="AB523" s="184"/>
      <c r="AC523" s="184"/>
    </row>
    <row r="524" spans="1:29" ht="25.5" customHeight="1" x14ac:dyDescent="0.25">
      <c r="A524" s="324">
        <v>67</v>
      </c>
      <c r="B524" s="324"/>
      <c r="C524" s="324"/>
      <c r="D524" s="324" t="s">
        <v>309</v>
      </c>
      <c r="E524" s="578" t="s">
        <v>1685</v>
      </c>
      <c r="F524" s="458">
        <v>28689</v>
      </c>
      <c r="G524" s="572">
        <v>28689</v>
      </c>
      <c r="H524" s="324" t="s">
        <v>405</v>
      </c>
      <c r="I524" s="324" t="s">
        <v>406</v>
      </c>
      <c r="J524" s="324" t="s">
        <v>313</v>
      </c>
      <c r="K524" s="324"/>
      <c r="L524" s="324"/>
      <c r="M524" s="324"/>
      <c r="N524" s="184"/>
      <c r="O524" s="184"/>
      <c r="P524" s="184"/>
      <c r="Q524" s="184"/>
      <c r="R524" s="184"/>
      <c r="S524" s="184"/>
      <c r="T524" s="184"/>
      <c r="U524" s="184"/>
      <c r="V524" s="184"/>
      <c r="W524" s="184"/>
      <c r="X524" s="184"/>
      <c r="Y524" s="184"/>
      <c r="Z524" s="184"/>
      <c r="AA524" s="184"/>
      <c r="AB524" s="184"/>
      <c r="AC524" s="184"/>
    </row>
    <row r="525" spans="1:29" ht="25.5" customHeight="1" x14ac:dyDescent="0.25">
      <c r="A525" s="324">
        <v>292</v>
      </c>
      <c r="B525" s="324"/>
      <c r="C525" s="324"/>
      <c r="D525" s="324" t="s">
        <v>309</v>
      </c>
      <c r="E525" s="578" t="s">
        <v>3983</v>
      </c>
      <c r="F525" s="572">
        <v>46076</v>
      </c>
      <c r="G525" s="572">
        <v>46122</v>
      </c>
      <c r="H525" s="324" t="s">
        <v>742</v>
      </c>
      <c r="I525" s="324" t="s">
        <v>740</v>
      </c>
      <c r="J525" s="324" t="s">
        <v>743</v>
      </c>
      <c r="K525" s="324"/>
      <c r="L525" s="324">
        <v>36</v>
      </c>
      <c r="M525" s="324"/>
      <c r="N525" s="184"/>
      <c r="O525" s="327">
        <v>47172</v>
      </c>
      <c r="P525" s="184"/>
      <c r="Q525" s="184">
        <v>0.1875</v>
      </c>
      <c r="R525" s="184"/>
      <c r="S525" s="184"/>
      <c r="T525" s="184"/>
      <c r="U525" s="184" t="s">
        <v>735</v>
      </c>
      <c r="V525" s="184" t="s">
        <v>744</v>
      </c>
      <c r="W525" s="184"/>
      <c r="X525" s="184"/>
      <c r="Y525" s="184"/>
      <c r="Z525" s="184"/>
      <c r="AA525" s="184"/>
      <c r="AB525" s="184"/>
      <c r="AC525" s="184"/>
    </row>
    <row r="526" spans="1:29" ht="25.5" customHeight="1" x14ac:dyDescent="0.25">
      <c r="A526" s="325">
        <v>292</v>
      </c>
      <c r="B526" s="325"/>
      <c r="C526" s="325"/>
      <c r="D526" s="325" t="s">
        <v>309</v>
      </c>
      <c r="E526" s="577" t="s">
        <v>3983</v>
      </c>
      <c r="F526" s="573">
        <v>46076</v>
      </c>
      <c r="G526" s="573">
        <v>46122</v>
      </c>
      <c r="H526" s="325" t="s">
        <v>954</v>
      </c>
      <c r="I526" s="325" t="s">
        <v>740</v>
      </c>
      <c r="J526" s="325" t="s">
        <v>743</v>
      </c>
      <c r="K526" s="325"/>
      <c r="L526" s="325">
        <v>36</v>
      </c>
      <c r="M526" s="325"/>
      <c r="N526" s="184"/>
      <c r="O526" s="327">
        <v>47172</v>
      </c>
      <c r="P526" s="184"/>
      <c r="Q526" s="184">
        <v>0.1875</v>
      </c>
      <c r="R526" s="184"/>
      <c r="S526" s="184"/>
      <c r="T526" s="184"/>
      <c r="U526" s="184" t="s">
        <v>735</v>
      </c>
      <c r="V526" s="184" t="s">
        <v>744</v>
      </c>
    </row>
    <row r="527" spans="1:29" ht="25.5" customHeight="1" x14ac:dyDescent="0.25">
      <c r="A527" s="324">
        <v>293</v>
      </c>
      <c r="B527" s="324"/>
      <c r="C527" s="324"/>
      <c r="D527" s="324" t="s">
        <v>309</v>
      </c>
      <c r="E527" s="578" t="s">
        <v>3986</v>
      </c>
      <c r="F527" s="572">
        <v>46080</v>
      </c>
      <c r="G527" s="572">
        <v>46122</v>
      </c>
      <c r="H527" s="324" t="s">
        <v>745</v>
      </c>
      <c r="I527" s="324" t="s">
        <v>740</v>
      </c>
      <c r="J527" s="324" t="s">
        <v>502</v>
      </c>
      <c r="K527" s="324"/>
      <c r="L527" s="324">
        <v>60</v>
      </c>
      <c r="M527" s="324"/>
      <c r="N527" s="184"/>
      <c r="O527" s="327">
        <v>47906</v>
      </c>
      <c r="P527" s="184"/>
      <c r="Q527" s="184">
        <v>0.1875</v>
      </c>
      <c r="R527" s="184"/>
      <c r="S527" s="184"/>
      <c r="T527" s="184"/>
      <c r="U527" s="184" t="s">
        <v>735</v>
      </c>
      <c r="V527" s="184" t="s">
        <v>746</v>
      </c>
      <c r="W527" s="184"/>
      <c r="X527" s="184"/>
      <c r="Y527" s="184"/>
      <c r="Z527" s="184"/>
      <c r="AA527" s="184"/>
      <c r="AB527" s="184"/>
      <c r="AC527" s="184"/>
    </row>
    <row r="528" spans="1:29" ht="25.5" customHeight="1" x14ac:dyDescent="0.25">
      <c r="A528" s="325">
        <v>293</v>
      </c>
      <c r="B528" s="325"/>
      <c r="C528" s="325"/>
      <c r="D528" s="325" t="s">
        <v>309</v>
      </c>
      <c r="E528" s="577" t="s">
        <v>3986</v>
      </c>
      <c r="F528" s="573">
        <v>46080</v>
      </c>
      <c r="G528" s="573">
        <v>46122</v>
      </c>
      <c r="H528" s="325" t="s">
        <v>955</v>
      </c>
      <c r="I528" s="325" t="s">
        <v>740</v>
      </c>
      <c r="J528" s="325" t="s">
        <v>502</v>
      </c>
      <c r="K528" s="325"/>
      <c r="L528" s="325">
        <v>60</v>
      </c>
      <c r="M528" s="325"/>
      <c r="N528" s="184"/>
      <c r="O528" s="327">
        <v>47906</v>
      </c>
      <c r="P528" s="184"/>
      <c r="Q528" s="184">
        <v>0.1875</v>
      </c>
      <c r="R528" s="184"/>
      <c r="S528" s="184"/>
      <c r="T528" s="184"/>
      <c r="U528" s="184" t="s">
        <v>735</v>
      </c>
      <c r="V528" s="184" t="s">
        <v>746</v>
      </c>
    </row>
    <row r="529" spans="1:29" ht="25.5" customHeight="1" x14ac:dyDescent="0.25">
      <c r="A529" s="324">
        <v>291</v>
      </c>
      <c r="B529" s="324"/>
      <c r="C529" s="324"/>
      <c r="D529" s="324" t="s">
        <v>309</v>
      </c>
      <c r="E529" s="578" t="s">
        <v>3989</v>
      </c>
      <c r="F529" s="572">
        <v>46076</v>
      </c>
      <c r="G529" s="572">
        <v>46122</v>
      </c>
      <c r="H529" s="324" t="s">
        <v>739</v>
      </c>
      <c r="I529" s="324" t="s">
        <v>740</v>
      </c>
      <c r="J529" s="324" t="s">
        <v>502</v>
      </c>
      <c r="K529" s="324"/>
      <c r="L529" s="324">
        <v>60</v>
      </c>
      <c r="M529" s="324"/>
      <c r="N529" s="184"/>
      <c r="O529" s="327">
        <v>47902</v>
      </c>
      <c r="P529" s="184"/>
      <c r="Q529" s="184">
        <v>0.1875</v>
      </c>
      <c r="R529" s="184"/>
      <c r="S529" s="184"/>
      <c r="T529" s="184"/>
      <c r="U529" s="184" t="s">
        <v>735</v>
      </c>
      <c r="V529" s="184" t="s">
        <v>741</v>
      </c>
      <c r="W529" s="184"/>
      <c r="X529" s="184"/>
      <c r="Y529" s="184"/>
      <c r="Z529" s="184"/>
      <c r="AA529" s="184"/>
      <c r="AB529" s="184"/>
      <c r="AC529" s="184"/>
    </row>
    <row r="530" spans="1:29" ht="25.5" customHeight="1" x14ac:dyDescent="0.25">
      <c r="A530" s="325">
        <v>291</v>
      </c>
      <c r="B530" s="325"/>
      <c r="C530" s="325"/>
      <c r="D530" s="325" t="s">
        <v>309</v>
      </c>
      <c r="E530" s="577" t="s">
        <v>3989</v>
      </c>
      <c r="F530" s="573">
        <v>46076</v>
      </c>
      <c r="G530" s="573">
        <v>46122</v>
      </c>
      <c r="H530" s="325" t="s">
        <v>953</v>
      </c>
      <c r="I530" s="325" t="s">
        <v>740</v>
      </c>
      <c r="J530" s="325" t="s">
        <v>502</v>
      </c>
      <c r="K530" s="325"/>
      <c r="L530" s="325">
        <v>60</v>
      </c>
      <c r="M530" s="325"/>
      <c r="N530" s="184"/>
      <c r="O530" s="327">
        <v>47902</v>
      </c>
      <c r="P530" s="184"/>
      <c r="Q530" s="184">
        <v>0.1875</v>
      </c>
      <c r="R530" s="184"/>
      <c r="S530" s="184"/>
      <c r="T530" s="184"/>
      <c r="U530" s="184" t="s">
        <v>735</v>
      </c>
      <c r="V530" s="184" t="s">
        <v>741</v>
      </c>
    </row>
    <row r="531" spans="1:29" ht="25.5" customHeight="1" x14ac:dyDescent="0.25">
      <c r="A531" s="324">
        <v>290</v>
      </c>
      <c r="B531" s="324"/>
      <c r="C531" s="324"/>
      <c r="D531" s="324" t="s">
        <v>309</v>
      </c>
      <c r="E531" s="578" t="s">
        <v>4002</v>
      </c>
      <c r="F531" s="572">
        <v>46070</v>
      </c>
      <c r="G531" s="572">
        <v>46143</v>
      </c>
      <c r="H531" s="324" t="s">
        <v>737</v>
      </c>
      <c r="I531" s="324" t="s">
        <v>733</v>
      </c>
      <c r="J531" s="324" t="s">
        <v>502</v>
      </c>
      <c r="K531" s="324"/>
      <c r="L531" s="324">
        <v>60</v>
      </c>
      <c r="M531" s="324"/>
      <c r="N531" s="184"/>
      <c r="O531" s="327">
        <v>47896</v>
      </c>
      <c r="P531" s="184"/>
      <c r="Q531" s="184">
        <v>0.1875</v>
      </c>
      <c r="R531" s="184"/>
      <c r="S531" s="184"/>
      <c r="T531" s="184"/>
      <c r="U531" s="184" t="s">
        <v>735</v>
      </c>
      <c r="V531" s="184" t="s">
        <v>738</v>
      </c>
      <c r="W531" s="184"/>
      <c r="X531" s="184"/>
      <c r="Y531" s="184"/>
      <c r="Z531" s="184"/>
      <c r="AA531" s="184"/>
      <c r="AB531" s="184"/>
      <c r="AC531" s="184"/>
    </row>
    <row r="532" spans="1:29" ht="25.5" customHeight="1" x14ac:dyDescent="0.25">
      <c r="A532" s="325">
        <v>290</v>
      </c>
      <c r="B532" s="325"/>
      <c r="C532" s="325"/>
      <c r="D532" s="325" t="s">
        <v>309</v>
      </c>
      <c r="E532" s="577" t="s">
        <v>4002</v>
      </c>
      <c r="F532" s="573">
        <v>46070</v>
      </c>
      <c r="G532" s="573">
        <v>46143</v>
      </c>
      <c r="H532" s="325" t="s">
        <v>952</v>
      </c>
      <c r="I532" s="325" t="s">
        <v>733</v>
      </c>
      <c r="J532" s="325" t="s">
        <v>502</v>
      </c>
      <c r="K532" s="325"/>
      <c r="L532" s="325">
        <v>60</v>
      </c>
      <c r="M532" s="325"/>
      <c r="N532" s="184"/>
      <c r="O532" s="327">
        <v>47896</v>
      </c>
      <c r="P532" s="184"/>
      <c r="Q532" s="184">
        <v>0.1875</v>
      </c>
      <c r="R532" s="184"/>
      <c r="S532" s="184"/>
      <c r="T532" s="184"/>
      <c r="U532" s="184" t="s">
        <v>735</v>
      </c>
      <c r="V532" s="184" t="s">
        <v>738</v>
      </c>
    </row>
    <row r="533" spans="1:29" ht="25.5" customHeight="1" x14ac:dyDescent="0.25">
      <c r="A533" s="324">
        <v>294</v>
      </c>
      <c r="B533" s="324"/>
      <c r="C533" s="324"/>
      <c r="D533" s="324" t="s">
        <v>309</v>
      </c>
      <c r="E533" s="578" t="s">
        <v>4004</v>
      </c>
      <c r="F533" s="572">
        <v>46112</v>
      </c>
      <c r="G533" s="572">
        <v>46143</v>
      </c>
      <c r="H533" s="324" t="s">
        <v>23</v>
      </c>
      <c r="I533" s="324" t="s">
        <v>733</v>
      </c>
      <c r="J533" s="324" t="s">
        <v>747</v>
      </c>
      <c r="K533" s="324"/>
      <c r="L533" s="324">
        <v>36</v>
      </c>
      <c r="M533" s="324"/>
      <c r="N533" s="184"/>
      <c r="O533" s="327">
        <v>47208</v>
      </c>
      <c r="P533" s="184"/>
      <c r="Q533" s="184">
        <v>0.1875</v>
      </c>
      <c r="R533" s="184"/>
      <c r="S533" s="184"/>
      <c r="T533" s="184"/>
      <c r="U533" s="184" t="s">
        <v>735</v>
      </c>
      <c r="V533" s="184" t="s">
        <v>748</v>
      </c>
      <c r="W533" s="184"/>
      <c r="X533" s="184"/>
      <c r="Y533" s="184"/>
      <c r="Z533" s="184"/>
      <c r="AA533" s="184"/>
      <c r="AB533" s="184"/>
      <c r="AC533" s="184"/>
    </row>
    <row r="534" spans="1:29" ht="25.5" customHeight="1" x14ac:dyDescent="0.25">
      <c r="A534" s="325">
        <v>294</v>
      </c>
      <c r="B534" s="325"/>
      <c r="C534" s="325"/>
      <c r="D534" s="325" t="s">
        <v>309</v>
      </c>
      <c r="E534" s="577" t="s">
        <v>4004</v>
      </c>
      <c r="F534" s="573">
        <v>46112</v>
      </c>
      <c r="G534" s="573">
        <v>46143</v>
      </c>
      <c r="H534" s="325" t="s">
        <v>23</v>
      </c>
      <c r="I534" s="325" t="s">
        <v>733</v>
      </c>
      <c r="J534" s="325" t="s">
        <v>747</v>
      </c>
      <c r="K534" s="325"/>
      <c r="L534" s="325">
        <v>36</v>
      </c>
      <c r="M534" s="325"/>
      <c r="N534" s="184"/>
      <c r="O534" s="327">
        <v>47208</v>
      </c>
      <c r="P534" s="184"/>
      <c r="Q534" s="184">
        <v>0.1875</v>
      </c>
      <c r="R534" s="184"/>
      <c r="S534" s="184"/>
      <c r="T534" s="184"/>
      <c r="U534" s="184" t="s">
        <v>735</v>
      </c>
      <c r="V534" s="184" t="s">
        <v>748</v>
      </c>
    </row>
    <row r="535" spans="1:29" ht="25.5" customHeight="1" x14ac:dyDescent="0.25">
      <c r="A535" s="324">
        <v>289</v>
      </c>
      <c r="B535" s="324"/>
      <c r="C535" s="324"/>
      <c r="D535" s="324" t="s">
        <v>309</v>
      </c>
      <c r="E535" s="578" t="s">
        <v>4031</v>
      </c>
      <c r="F535" s="572">
        <v>46064</v>
      </c>
      <c r="G535" s="572">
        <v>46170</v>
      </c>
      <c r="H535" s="324" t="s">
        <v>732</v>
      </c>
      <c r="I535" s="324" t="s">
        <v>733</v>
      </c>
      <c r="J535" s="324" t="s">
        <v>734</v>
      </c>
      <c r="K535" s="324"/>
      <c r="L535" s="324">
        <v>60</v>
      </c>
      <c r="M535" s="324"/>
      <c r="N535" s="184"/>
      <c r="O535" s="327">
        <v>47890</v>
      </c>
      <c r="P535" s="184"/>
      <c r="Q535" s="184">
        <v>0.1875</v>
      </c>
      <c r="R535" s="184"/>
      <c r="S535" s="184"/>
      <c r="T535" s="184"/>
      <c r="U535" s="184" t="s">
        <v>735</v>
      </c>
      <c r="V535" s="184" t="s">
        <v>736</v>
      </c>
      <c r="W535" s="184"/>
      <c r="X535" s="184"/>
      <c r="Y535" s="184"/>
      <c r="Z535" s="184"/>
      <c r="AA535" s="184"/>
      <c r="AB535" s="184"/>
      <c r="AC535" s="184"/>
    </row>
    <row r="536" spans="1:29" ht="25.5" customHeight="1" x14ac:dyDescent="0.25">
      <c r="A536" s="325">
        <v>289</v>
      </c>
      <c r="B536" s="325"/>
      <c r="C536" s="325"/>
      <c r="D536" s="325" t="s">
        <v>309</v>
      </c>
      <c r="E536" s="577" t="s">
        <v>4031</v>
      </c>
      <c r="F536" s="573">
        <v>46064</v>
      </c>
      <c r="G536" s="573">
        <v>46170</v>
      </c>
      <c r="H536" s="325" t="s">
        <v>951</v>
      </c>
      <c r="I536" s="325" t="s">
        <v>733</v>
      </c>
      <c r="J536" s="325" t="s">
        <v>734</v>
      </c>
      <c r="K536" s="325"/>
      <c r="L536" s="325">
        <v>60</v>
      </c>
      <c r="M536" s="325"/>
      <c r="N536" s="184"/>
      <c r="O536" s="327">
        <v>47890</v>
      </c>
      <c r="P536" s="184"/>
      <c r="Q536" s="184">
        <v>0.1875</v>
      </c>
      <c r="R536" s="184"/>
      <c r="S536" s="184"/>
      <c r="T536" s="184"/>
      <c r="U536" s="184" t="s">
        <v>735</v>
      </c>
      <c r="V536" s="184" t="s">
        <v>736</v>
      </c>
    </row>
    <row r="537" spans="1:29" ht="25.5" customHeight="1" x14ac:dyDescent="0.25">
      <c r="A537" s="324">
        <v>68</v>
      </c>
      <c r="B537" s="324"/>
      <c r="C537" s="324"/>
      <c r="D537" s="324" t="s">
        <v>309</v>
      </c>
      <c r="E537" s="578" t="s">
        <v>1741</v>
      </c>
      <c r="F537" s="458">
        <v>29299</v>
      </c>
      <c r="G537" s="572">
        <v>29299</v>
      </c>
      <c r="H537" s="324" t="s">
        <v>407</v>
      </c>
      <c r="I537" s="324" t="s">
        <v>408</v>
      </c>
      <c r="J537" s="324" t="s">
        <v>313</v>
      </c>
      <c r="K537" s="324"/>
      <c r="L537" s="324"/>
      <c r="M537" s="324"/>
      <c r="N537" s="184"/>
      <c r="O537" s="184"/>
      <c r="P537" s="184"/>
      <c r="Q537" s="184"/>
      <c r="R537" s="184"/>
      <c r="S537" s="184"/>
      <c r="T537" s="184"/>
      <c r="U537" s="184"/>
      <c r="V537" s="184"/>
      <c r="W537" s="184"/>
      <c r="X537" s="184"/>
      <c r="Y537" s="184"/>
      <c r="Z537" s="184"/>
      <c r="AA537" s="184"/>
      <c r="AB537" s="184"/>
      <c r="AC537" s="184"/>
    </row>
    <row r="538" spans="1:29" ht="25.5" customHeight="1" x14ac:dyDescent="0.25">
      <c r="A538" s="324">
        <v>69</v>
      </c>
      <c r="B538" s="324"/>
      <c r="C538" s="324"/>
      <c r="D538" s="324" t="s">
        <v>309</v>
      </c>
      <c r="E538" s="578" t="s">
        <v>1759</v>
      </c>
      <c r="F538" s="458">
        <v>29669</v>
      </c>
      <c r="G538" s="572">
        <v>29669</v>
      </c>
      <c r="H538" s="324" t="s">
        <v>409</v>
      </c>
      <c r="I538" s="324" t="s">
        <v>410</v>
      </c>
      <c r="J538" s="324" t="s">
        <v>308</v>
      </c>
      <c r="K538" s="324"/>
      <c r="L538" s="324"/>
      <c r="M538" s="324"/>
      <c r="N538" s="184"/>
      <c r="O538" s="184"/>
      <c r="P538" s="184"/>
      <c r="Q538" s="184"/>
      <c r="R538" s="184"/>
      <c r="S538" s="184"/>
      <c r="T538" s="184"/>
      <c r="U538" s="184"/>
      <c r="V538" s="184"/>
      <c r="W538" s="184"/>
      <c r="X538" s="184"/>
      <c r="Y538" s="184"/>
      <c r="Z538" s="184"/>
      <c r="AA538" s="184"/>
      <c r="AB538" s="184"/>
      <c r="AC538" s="184"/>
    </row>
    <row r="539" spans="1:29" ht="25.5" customHeight="1" x14ac:dyDescent="0.25">
      <c r="A539" s="324">
        <v>70</v>
      </c>
      <c r="B539" s="324"/>
      <c r="C539" s="324"/>
      <c r="D539" s="324" t="s">
        <v>309</v>
      </c>
      <c r="E539" s="578" t="s">
        <v>1781</v>
      </c>
      <c r="F539" s="458">
        <v>29861</v>
      </c>
      <c r="G539" s="572">
        <v>29861</v>
      </c>
      <c r="H539" s="324" t="s">
        <v>404</v>
      </c>
      <c r="I539" s="324" t="s">
        <v>383</v>
      </c>
      <c r="J539" s="324" t="s">
        <v>313</v>
      </c>
      <c r="K539" s="324"/>
      <c r="L539" s="324"/>
      <c r="M539" s="324"/>
      <c r="N539" s="184"/>
      <c r="O539" s="184"/>
      <c r="P539" s="184"/>
      <c r="Q539" s="184"/>
      <c r="R539" s="184"/>
      <c r="S539" s="184"/>
      <c r="T539" s="184"/>
      <c r="U539" s="184"/>
      <c r="V539" s="184"/>
      <c r="W539" s="184"/>
      <c r="X539" s="184"/>
      <c r="Y539" s="184"/>
      <c r="Z539" s="184"/>
      <c r="AA539" s="184"/>
      <c r="AB539" s="184"/>
      <c r="AC539" s="184"/>
    </row>
    <row r="540" spans="1:29" ht="25.5" customHeight="1" x14ac:dyDescent="0.25">
      <c r="A540" s="324">
        <v>71</v>
      </c>
      <c r="B540" s="324"/>
      <c r="C540" s="324"/>
      <c r="D540" s="324" t="s">
        <v>309</v>
      </c>
      <c r="E540" s="578" t="s">
        <v>1786</v>
      </c>
      <c r="F540" s="458">
        <v>29915</v>
      </c>
      <c r="G540" s="572">
        <v>29915</v>
      </c>
      <c r="H540" s="324" t="s">
        <v>411</v>
      </c>
      <c r="I540" s="324" t="s">
        <v>412</v>
      </c>
      <c r="J540" s="324" t="s">
        <v>313</v>
      </c>
      <c r="K540" s="324"/>
      <c r="L540" s="324"/>
      <c r="M540" s="324"/>
      <c r="N540" s="184"/>
      <c r="O540" s="184"/>
      <c r="P540" s="184"/>
      <c r="Q540" s="184"/>
      <c r="R540" s="184"/>
      <c r="S540" s="184"/>
      <c r="T540" s="184"/>
      <c r="U540" s="184"/>
      <c r="V540" s="184"/>
      <c r="W540" s="184"/>
      <c r="X540" s="184"/>
      <c r="Y540" s="184"/>
      <c r="Z540" s="184"/>
      <c r="AA540" s="184"/>
      <c r="AB540" s="184"/>
      <c r="AC540" s="184"/>
    </row>
    <row r="541" spans="1:29" ht="25.5" customHeight="1" x14ac:dyDescent="0.25">
      <c r="A541" s="324">
        <v>72</v>
      </c>
      <c r="B541" s="324"/>
      <c r="C541" s="324"/>
      <c r="D541" s="324" t="s">
        <v>309</v>
      </c>
      <c r="E541" s="578" t="s">
        <v>1788</v>
      </c>
      <c r="F541" s="458">
        <v>29969</v>
      </c>
      <c r="G541" s="572">
        <v>29969</v>
      </c>
      <c r="H541" s="324" t="s">
        <v>413</v>
      </c>
      <c r="I541" s="324" t="s">
        <v>414</v>
      </c>
      <c r="J541" s="324" t="s">
        <v>313</v>
      </c>
      <c r="K541" s="324"/>
      <c r="L541" s="324"/>
      <c r="M541" s="324"/>
      <c r="N541" s="184"/>
      <c r="O541" s="184"/>
      <c r="P541" s="184"/>
      <c r="Q541" s="184"/>
      <c r="R541" s="184"/>
      <c r="S541" s="184"/>
      <c r="T541" s="184"/>
      <c r="U541" s="184"/>
      <c r="V541" s="184"/>
      <c r="W541" s="184"/>
      <c r="X541" s="184"/>
      <c r="Y541" s="184"/>
      <c r="Z541" s="184"/>
      <c r="AA541" s="184"/>
      <c r="AB541" s="184"/>
      <c r="AC541" s="184"/>
    </row>
    <row r="542" spans="1:29" ht="25.5" customHeight="1" x14ac:dyDescent="0.25">
      <c r="A542" s="324">
        <v>73</v>
      </c>
      <c r="B542" s="324"/>
      <c r="C542" s="324"/>
      <c r="D542" s="324" t="s">
        <v>309</v>
      </c>
      <c r="E542" s="578" t="s">
        <v>1792</v>
      </c>
      <c r="F542" s="458">
        <v>29992</v>
      </c>
      <c r="G542" s="572">
        <v>29992</v>
      </c>
      <c r="H542" s="324" t="s">
        <v>372</v>
      </c>
      <c r="I542" s="324" t="s">
        <v>415</v>
      </c>
      <c r="J542" s="324" t="s">
        <v>313</v>
      </c>
      <c r="K542" s="324"/>
      <c r="L542" s="324"/>
      <c r="M542" s="324"/>
      <c r="N542" s="184"/>
      <c r="O542" s="184"/>
      <c r="P542" s="184"/>
      <c r="Q542" s="184"/>
      <c r="R542" s="184"/>
      <c r="S542" s="184"/>
      <c r="T542" s="184"/>
      <c r="U542" s="184"/>
      <c r="V542" s="184"/>
      <c r="W542" s="184"/>
      <c r="X542" s="184"/>
      <c r="Y542" s="184"/>
      <c r="Z542" s="184"/>
      <c r="AA542" s="184"/>
      <c r="AB542" s="184"/>
      <c r="AC542" s="184"/>
    </row>
    <row r="543" spans="1:29" ht="25.5" customHeight="1" x14ac:dyDescent="0.25">
      <c r="A543" s="324">
        <v>74</v>
      </c>
      <c r="B543" s="324"/>
      <c r="C543" s="324"/>
      <c r="D543" s="324" t="s">
        <v>309</v>
      </c>
      <c r="E543" s="578" t="s">
        <v>1796</v>
      </c>
      <c r="F543" s="458">
        <v>30028</v>
      </c>
      <c r="G543" s="572">
        <v>30028</v>
      </c>
      <c r="H543" s="324" t="s">
        <v>416</v>
      </c>
      <c r="I543" s="324" t="s">
        <v>415</v>
      </c>
      <c r="J543" s="324" t="s">
        <v>313</v>
      </c>
      <c r="K543" s="324"/>
      <c r="L543" s="324"/>
      <c r="M543" s="324"/>
      <c r="N543" s="184"/>
      <c r="O543" s="184"/>
      <c r="P543" s="184"/>
      <c r="Q543" s="184"/>
      <c r="R543" s="184"/>
      <c r="S543" s="184"/>
      <c r="T543" s="184"/>
      <c r="U543" s="184"/>
      <c r="V543" s="184"/>
      <c r="W543" s="184"/>
      <c r="X543" s="184"/>
      <c r="Y543" s="184"/>
      <c r="Z543" s="184"/>
      <c r="AA543" s="184"/>
      <c r="AB543" s="184"/>
      <c r="AC543" s="184"/>
    </row>
    <row r="544" spans="1:29" ht="25.5" customHeight="1" x14ac:dyDescent="0.25">
      <c r="A544" s="324">
        <v>75</v>
      </c>
      <c r="B544" s="324"/>
      <c r="C544" s="324"/>
      <c r="D544" s="324" t="s">
        <v>309</v>
      </c>
      <c r="E544" s="578" t="s">
        <v>1798</v>
      </c>
      <c r="F544" s="458">
        <v>30039</v>
      </c>
      <c r="G544" s="572">
        <v>30039</v>
      </c>
      <c r="H544" s="324" t="s">
        <v>417</v>
      </c>
      <c r="I544" s="324" t="s">
        <v>415</v>
      </c>
      <c r="J544" s="324" t="s">
        <v>313</v>
      </c>
      <c r="K544" s="324"/>
      <c r="L544" s="324"/>
      <c r="M544" s="324"/>
      <c r="N544" s="184"/>
      <c r="O544" s="184"/>
      <c r="P544" s="184"/>
      <c r="Q544" s="184"/>
      <c r="R544" s="184"/>
      <c r="S544" s="184"/>
      <c r="T544" s="184"/>
      <c r="U544" s="184"/>
      <c r="V544" s="184"/>
      <c r="W544" s="184"/>
      <c r="X544" s="184"/>
      <c r="Y544" s="184"/>
      <c r="Z544" s="184"/>
      <c r="AA544" s="184"/>
      <c r="AB544" s="184"/>
      <c r="AC544" s="184"/>
    </row>
    <row r="545" spans="1:29" ht="25.5" customHeight="1" x14ac:dyDescent="0.25">
      <c r="A545" s="324">
        <v>76</v>
      </c>
      <c r="B545" s="324"/>
      <c r="C545" s="324"/>
      <c r="D545" s="324" t="s">
        <v>309</v>
      </c>
      <c r="E545" s="578" t="s">
        <v>1816</v>
      </c>
      <c r="F545" s="458">
        <v>30095</v>
      </c>
      <c r="G545" s="572">
        <v>30095</v>
      </c>
      <c r="H545" s="324" t="s">
        <v>418</v>
      </c>
      <c r="I545" s="324" t="s">
        <v>415</v>
      </c>
      <c r="J545" s="324" t="s">
        <v>313</v>
      </c>
      <c r="K545" s="324"/>
      <c r="L545" s="324"/>
      <c r="M545" s="324"/>
      <c r="N545" s="184"/>
      <c r="O545" s="184"/>
      <c r="P545" s="184"/>
      <c r="Q545" s="184"/>
      <c r="R545" s="184"/>
      <c r="S545" s="184"/>
      <c r="T545" s="184"/>
      <c r="U545" s="184"/>
      <c r="V545" s="184"/>
      <c r="W545" s="184"/>
      <c r="X545" s="184"/>
      <c r="Y545" s="184"/>
      <c r="Z545" s="184"/>
      <c r="AA545" s="184"/>
      <c r="AB545" s="184"/>
      <c r="AC545" s="184"/>
    </row>
    <row r="546" spans="1:29" ht="25.5" customHeight="1" x14ac:dyDescent="0.25">
      <c r="A546" s="324">
        <v>77</v>
      </c>
      <c r="B546" s="324"/>
      <c r="C546" s="324"/>
      <c r="D546" s="324" t="s">
        <v>309</v>
      </c>
      <c r="E546" s="578" t="s">
        <v>1874</v>
      </c>
      <c r="F546" s="458">
        <v>30391</v>
      </c>
      <c r="G546" s="572">
        <v>30391</v>
      </c>
      <c r="H546" s="324" t="s">
        <v>407</v>
      </c>
      <c r="I546" s="324" t="s">
        <v>383</v>
      </c>
      <c r="J546" s="324" t="s">
        <v>313</v>
      </c>
      <c r="K546" s="324"/>
      <c r="L546" s="324"/>
      <c r="M546" s="324"/>
      <c r="N546" s="184"/>
      <c r="O546" s="184"/>
      <c r="P546" s="184"/>
      <c r="Q546" s="184"/>
      <c r="R546" s="184"/>
      <c r="S546" s="184"/>
      <c r="T546" s="184"/>
      <c r="U546" s="184"/>
      <c r="V546" s="184"/>
      <c r="W546" s="184"/>
      <c r="X546" s="184"/>
      <c r="Y546" s="184"/>
      <c r="Z546" s="184"/>
      <c r="AA546" s="184"/>
      <c r="AB546" s="184"/>
      <c r="AC546" s="184"/>
    </row>
    <row r="547" spans="1:29" ht="25.5" customHeight="1" x14ac:dyDescent="0.25">
      <c r="A547" s="324">
        <v>78</v>
      </c>
      <c r="B547" s="324"/>
      <c r="C547" s="324"/>
      <c r="D547" s="324" t="s">
        <v>309</v>
      </c>
      <c r="E547" s="578" t="s">
        <v>1876</v>
      </c>
      <c r="F547" s="458">
        <v>30396</v>
      </c>
      <c r="G547" s="572">
        <v>30396</v>
      </c>
      <c r="H547" s="324" t="s">
        <v>407</v>
      </c>
      <c r="I547" s="324" t="s">
        <v>383</v>
      </c>
      <c r="J547" s="324" t="s">
        <v>313</v>
      </c>
      <c r="K547" s="324"/>
      <c r="L547" s="324"/>
      <c r="M547" s="324"/>
      <c r="N547" s="184"/>
      <c r="O547" s="184"/>
      <c r="P547" s="184"/>
      <c r="Q547" s="184"/>
      <c r="R547" s="184"/>
      <c r="S547" s="184"/>
      <c r="T547" s="184"/>
      <c r="U547" s="184"/>
      <c r="V547" s="184"/>
      <c r="W547" s="184"/>
      <c r="X547" s="184"/>
      <c r="Y547" s="184"/>
      <c r="Z547" s="184"/>
      <c r="AA547" s="184"/>
      <c r="AB547" s="184"/>
      <c r="AC547" s="184"/>
    </row>
    <row r="548" spans="1:29" ht="25.5" customHeight="1" x14ac:dyDescent="0.25">
      <c r="A548" s="324">
        <v>79</v>
      </c>
      <c r="B548" s="324"/>
      <c r="C548" s="324"/>
      <c r="D548" s="324" t="s">
        <v>309</v>
      </c>
      <c r="E548" s="578" t="s">
        <v>1886</v>
      </c>
      <c r="F548" s="458">
        <v>30438</v>
      </c>
      <c r="G548" s="572">
        <v>30438</v>
      </c>
      <c r="H548" s="324" t="s">
        <v>348</v>
      </c>
      <c r="I548" s="324" t="s">
        <v>419</v>
      </c>
      <c r="J548" s="324" t="s">
        <v>308</v>
      </c>
      <c r="K548" s="324"/>
      <c r="L548" s="324"/>
      <c r="M548" s="324"/>
      <c r="N548" s="184"/>
      <c r="O548" s="184"/>
      <c r="P548" s="184"/>
      <c r="Q548" s="184"/>
      <c r="R548" s="184"/>
      <c r="S548" s="184"/>
      <c r="T548" s="184"/>
      <c r="U548" s="184"/>
      <c r="V548" s="184"/>
      <c r="W548" s="184"/>
      <c r="X548" s="184"/>
      <c r="Y548" s="184"/>
      <c r="Z548" s="184"/>
      <c r="AA548" s="184"/>
      <c r="AB548" s="184"/>
      <c r="AC548" s="184"/>
    </row>
    <row r="549" spans="1:29" ht="25.5" customHeight="1" x14ac:dyDescent="0.25">
      <c r="A549" s="324">
        <v>80</v>
      </c>
      <c r="B549" s="324"/>
      <c r="C549" s="324"/>
      <c r="D549" s="324" t="s">
        <v>309</v>
      </c>
      <c r="E549" s="578" t="s">
        <v>1888</v>
      </c>
      <c r="F549" s="458">
        <v>30438</v>
      </c>
      <c r="G549" s="572">
        <v>30438</v>
      </c>
      <c r="H549" s="324" t="s">
        <v>340</v>
      </c>
      <c r="I549" s="324" t="s">
        <v>419</v>
      </c>
      <c r="J549" s="324" t="s">
        <v>313</v>
      </c>
      <c r="K549" s="324"/>
      <c r="L549" s="324"/>
      <c r="M549" s="324"/>
      <c r="N549" s="184"/>
      <c r="O549" s="184"/>
      <c r="P549" s="184"/>
      <c r="Q549" s="184"/>
      <c r="R549" s="184"/>
      <c r="S549" s="184"/>
      <c r="T549" s="184"/>
      <c r="U549" s="184"/>
      <c r="V549" s="184"/>
      <c r="W549" s="184"/>
      <c r="X549" s="184"/>
      <c r="Y549" s="184"/>
      <c r="Z549" s="184"/>
      <c r="AA549" s="184"/>
      <c r="AB549" s="184"/>
      <c r="AC549" s="184"/>
    </row>
    <row r="550" spans="1:29" ht="25.5" customHeight="1" x14ac:dyDescent="0.25">
      <c r="A550" s="324">
        <v>81</v>
      </c>
      <c r="B550" s="324"/>
      <c r="C550" s="324"/>
      <c r="D550" s="324" t="s">
        <v>309</v>
      </c>
      <c r="E550" s="578" t="s">
        <v>1890</v>
      </c>
      <c r="F550" s="458">
        <v>30445</v>
      </c>
      <c r="G550" s="572">
        <v>30445</v>
      </c>
      <c r="H550" s="324" t="s">
        <v>345</v>
      </c>
      <c r="I550" s="324" t="s">
        <v>419</v>
      </c>
      <c r="J550" s="324" t="s">
        <v>313</v>
      </c>
      <c r="K550" s="324"/>
      <c r="L550" s="324"/>
      <c r="M550" s="324"/>
      <c r="N550" s="184"/>
      <c r="O550" s="184"/>
      <c r="P550" s="184"/>
      <c r="Q550" s="184"/>
      <c r="R550" s="184"/>
      <c r="S550" s="184"/>
      <c r="T550" s="184"/>
      <c r="U550" s="184"/>
      <c r="V550" s="184"/>
      <c r="W550" s="184"/>
      <c r="X550" s="184"/>
      <c r="Y550" s="184"/>
      <c r="Z550" s="184"/>
      <c r="AA550" s="184"/>
      <c r="AB550" s="184"/>
      <c r="AC550" s="184"/>
    </row>
    <row r="551" spans="1:29" ht="25.5" customHeight="1" x14ac:dyDescent="0.25">
      <c r="A551" s="324">
        <v>82</v>
      </c>
      <c r="B551" s="324"/>
      <c r="C551" s="324"/>
      <c r="D551" s="324" t="s">
        <v>309</v>
      </c>
      <c r="E551" s="578" t="s">
        <v>1892</v>
      </c>
      <c r="F551" s="458">
        <v>30445</v>
      </c>
      <c r="G551" s="572">
        <v>30445</v>
      </c>
      <c r="H551" s="324" t="s">
        <v>420</v>
      </c>
      <c r="I551" s="324" t="s">
        <v>419</v>
      </c>
      <c r="J551" s="324" t="s">
        <v>313</v>
      </c>
      <c r="K551" s="324"/>
      <c r="L551" s="324"/>
      <c r="M551" s="324"/>
      <c r="N551" s="184"/>
      <c r="O551" s="184"/>
      <c r="P551" s="184"/>
      <c r="Q551" s="184"/>
      <c r="R551" s="184"/>
      <c r="S551" s="184"/>
      <c r="T551" s="184"/>
      <c r="U551" s="184"/>
      <c r="V551" s="184"/>
      <c r="W551" s="184"/>
      <c r="X551" s="184"/>
      <c r="Y551" s="184"/>
      <c r="Z551" s="184"/>
      <c r="AA551" s="184"/>
      <c r="AB551" s="184"/>
      <c r="AC551" s="184"/>
    </row>
    <row r="552" spans="1:29" ht="25.5" customHeight="1" x14ac:dyDescent="0.25">
      <c r="A552" s="324">
        <v>83</v>
      </c>
      <c r="B552" s="324"/>
      <c r="C552" s="324"/>
      <c r="D552" s="324" t="s">
        <v>309</v>
      </c>
      <c r="E552" s="578" t="s">
        <v>1898</v>
      </c>
      <c r="F552" s="458">
        <v>30536</v>
      </c>
      <c r="G552" s="572">
        <v>30536</v>
      </c>
      <c r="H552" s="324" t="s">
        <v>421</v>
      </c>
      <c r="I552" s="324" t="s">
        <v>422</v>
      </c>
      <c r="J552" s="324" t="s">
        <v>313</v>
      </c>
      <c r="K552" s="324"/>
      <c r="L552" s="324"/>
      <c r="M552" s="324"/>
      <c r="N552" s="184"/>
      <c r="O552" s="184"/>
      <c r="P552" s="184"/>
      <c r="Q552" s="184"/>
      <c r="R552" s="184"/>
      <c r="S552" s="184"/>
      <c r="T552" s="184"/>
      <c r="U552" s="184"/>
      <c r="V552" s="184"/>
      <c r="W552" s="184"/>
      <c r="X552" s="184"/>
      <c r="Y552" s="184"/>
      <c r="Z552" s="184"/>
      <c r="AA552" s="184"/>
      <c r="AB552" s="184"/>
      <c r="AC552" s="184"/>
    </row>
    <row r="553" spans="1:29" ht="25.5" customHeight="1" x14ac:dyDescent="0.25">
      <c r="A553" s="324">
        <v>84</v>
      </c>
      <c r="B553" s="324"/>
      <c r="C553" s="324"/>
      <c r="D553" s="324" t="s">
        <v>309</v>
      </c>
      <c r="E553" s="578" t="s">
        <v>1904</v>
      </c>
      <c r="F553" s="458">
        <v>30536</v>
      </c>
      <c r="G553" s="572">
        <v>30536</v>
      </c>
      <c r="H553" s="324" t="s">
        <v>423</v>
      </c>
      <c r="I553" s="324" t="s">
        <v>422</v>
      </c>
      <c r="J553" s="324" t="s">
        <v>313</v>
      </c>
      <c r="K553" s="324"/>
      <c r="L553" s="324"/>
      <c r="M553" s="324"/>
      <c r="N553" s="184"/>
      <c r="O553" s="184"/>
      <c r="P553" s="184"/>
      <c r="Q553" s="184"/>
      <c r="R553" s="184"/>
      <c r="S553" s="184"/>
      <c r="T553" s="184"/>
      <c r="U553" s="184"/>
      <c r="V553" s="184"/>
      <c r="W553" s="184"/>
      <c r="X553" s="184"/>
      <c r="Y553" s="184"/>
      <c r="Z553" s="184"/>
      <c r="AA553" s="184"/>
      <c r="AB553" s="184"/>
      <c r="AC553" s="184"/>
    </row>
    <row r="554" spans="1:29" ht="25.5" customHeight="1" x14ac:dyDescent="0.25">
      <c r="A554" s="324">
        <v>85</v>
      </c>
      <c r="B554" s="324"/>
      <c r="C554" s="324"/>
      <c r="D554" s="324" t="s">
        <v>309</v>
      </c>
      <c r="E554" s="578" t="s">
        <v>1912</v>
      </c>
      <c r="F554" s="458">
        <v>30656</v>
      </c>
      <c r="G554" s="572">
        <v>30656</v>
      </c>
      <c r="H554" s="324" t="s">
        <v>286</v>
      </c>
      <c r="I554" s="324" t="s">
        <v>383</v>
      </c>
      <c r="J554" s="324" t="s">
        <v>313</v>
      </c>
      <c r="K554" s="324"/>
      <c r="L554" s="324"/>
      <c r="M554" s="324"/>
      <c r="N554" s="184"/>
      <c r="O554" s="184"/>
      <c r="P554" s="184"/>
      <c r="Q554" s="184"/>
      <c r="R554" s="184"/>
      <c r="S554" s="184"/>
      <c r="T554" s="184"/>
      <c r="U554" s="184"/>
      <c r="V554" s="184"/>
      <c r="W554" s="184"/>
      <c r="X554" s="184"/>
      <c r="Y554" s="184"/>
      <c r="Z554" s="184"/>
      <c r="AA554" s="184"/>
      <c r="AB554" s="184"/>
      <c r="AC554" s="184"/>
    </row>
    <row r="555" spans="1:29" ht="25.5" customHeight="1" x14ac:dyDescent="0.25">
      <c r="A555" s="324">
        <v>86</v>
      </c>
      <c r="B555" s="324"/>
      <c r="C555" s="324"/>
      <c r="D555" s="324" t="s">
        <v>309</v>
      </c>
      <c r="E555" s="578" t="s">
        <v>1914</v>
      </c>
      <c r="F555" s="458">
        <v>30656</v>
      </c>
      <c r="G555" s="572">
        <v>30656</v>
      </c>
      <c r="H555" s="324" t="s">
        <v>404</v>
      </c>
      <c r="I555" s="324" t="s">
        <v>383</v>
      </c>
      <c r="J555" s="324" t="s">
        <v>313</v>
      </c>
      <c r="K555" s="324"/>
      <c r="L555" s="324"/>
      <c r="M555" s="324"/>
      <c r="N555" s="184"/>
      <c r="O555" s="184"/>
      <c r="P555" s="184"/>
      <c r="Q555" s="184"/>
      <c r="R555" s="184"/>
      <c r="S555" s="184"/>
      <c r="T555" s="184"/>
      <c r="U555" s="184"/>
      <c r="V555" s="184"/>
      <c r="W555" s="184"/>
      <c r="X555" s="184"/>
      <c r="Y555" s="184"/>
      <c r="Z555" s="184"/>
      <c r="AA555" s="184"/>
      <c r="AB555" s="184"/>
      <c r="AC555" s="184"/>
    </row>
    <row r="556" spans="1:29" ht="25.5" customHeight="1" x14ac:dyDescent="0.25">
      <c r="A556" s="324">
        <v>87</v>
      </c>
      <c r="B556" s="324"/>
      <c r="C556" s="324"/>
      <c r="D556" s="324" t="s">
        <v>309</v>
      </c>
      <c r="E556" s="578" t="s">
        <v>1919</v>
      </c>
      <c r="F556" s="458">
        <v>30726</v>
      </c>
      <c r="G556" s="572">
        <v>30726</v>
      </c>
      <c r="H556" s="324" t="s">
        <v>424</v>
      </c>
      <c r="I556" s="324" t="s">
        <v>383</v>
      </c>
      <c r="J556" s="324" t="s">
        <v>313</v>
      </c>
      <c r="K556" s="324"/>
      <c r="L556" s="324"/>
      <c r="M556" s="324"/>
      <c r="N556" s="184"/>
      <c r="O556" s="184"/>
      <c r="P556" s="184"/>
      <c r="Q556" s="184"/>
      <c r="R556" s="184"/>
      <c r="S556" s="184"/>
      <c r="T556" s="184"/>
      <c r="U556" s="184"/>
      <c r="V556" s="184"/>
      <c r="W556" s="184"/>
      <c r="X556" s="184"/>
      <c r="Y556" s="184"/>
      <c r="Z556" s="184"/>
      <c r="AA556" s="184"/>
      <c r="AB556" s="184"/>
      <c r="AC556" s="184"/>
    </row>
    <row r="557" spans="1:29" ht="25.5" customHeight="1" x14ac:dyDescent="0.25">
      <c r="A557" s="324">
        <v>88</v>
      </c>
      <c r="B557" s="324"/>
      <c r="C557" s="324"/>
      <c r="D557" s="324" t="s">
        <v>309</v>
      </c>
      <c r="E557" s="578" t="s">
        <v>1922</v>
      </c>
      <c r="F557" s="458">
        <v>30728</v>
      </c>
      <c r="G557" s="572">
        <v>30728</v>
      </c>
      <c r="H557" s="324" t="s">
        <v>425</v>
      </c>
      <c r="I557" s="324" t="s">
        <v>426</v>
      </c>
      <c r="J557" s="324" t="s">
        <v>308</v>
      </c>
      <c r="K557" s="324"/>
      <c r="L557" s="324"/>
      <c r="M557" s="324"/>
      <c r="N557" s="184"/>
      <c r="O557" s="184"/>
      <c r="P557" s="184"/>
      <c r="Q557" s="184"/>
      <c r="R557" s="184"/>
      <c r="S557" s="184"/>
      <c r="T557" s="184"/>
      <c r="U557" s="184"/>
      <c r="V557" s="184"/>
      <c r="W557" s="184"/>
      <c r="X557" s="184"/>
      <c r="Y557" s="184"/>
      <c r="Z557" s="184"/>
      <c r="AA557" s="184"/>
      <c r="AB557" s="184"/>
      <c r="AC557" s="184"/>
    </row>
    <row r="558" spans="1:29" ht="25.5" customHeight="1" x14ac:dyDescent="0.25">
      <c r="A558" s="324">
        <v>89</v>
      </c>
      <c r="B558" s="324"/>
      <c r="C558" s="324"/>
      <c r="D558" s="324" t="s">
        <v>309</v>
      </c>
      <c r="E558" s="578" t="s">
        <v>1924</v>
      </c>
      <c r="F558" s="458">
        <v>30736</v>
      </c>
      <c r="G558" s="572">
        <v>30736</v>
      </c>
      <c r="H558" s="324" t="s">
        <v>427</v>
      </c>
      <c r="I558" s="324" t="s">
        <v>383</v>
      </c>
      <c r="J558" s="324" t="s">
        <v>313</v>
      </c>
      <c r="K558" s="324"/>
      <c r="L558" s="324"/>
      <c r="M558" s="324"/>
      <c r="N558" s="184"/>
      <c r="O558" s="184"/>
      <c r="P558" s="184"/>
      <c r="Q558" s="184"/>
      <c r="R558" s="184"/>
      <c r="S558" s="184"/>
      <c r="T558" s="184"/>
      <c r="U558" s="184"/>
      <c r="V558" s="184"/>
      <c r="W558" s="184"/>
      <c r="X558" s="184"/>
      <c r="Y558" s="184"/>
      <c r="Z558" s="184"/>
      <c r="AA558" s="184"/>
      <c r="AB558" s="184"/>
      <c r="AC558" s="184"/>
    </row>
    <row r="559" spans="1:29" ht="25.5" customHeight="1" x14ac:dyDescent="0.25">
      <c r="A559" s="324">
        <v>90</v>
      </c>
      <c r="B559" s="324"/>
      <c r="C559" s="324"/>
      <c r="D559" s="324" t="s">
        <v>309</v>
      </c>
      <c r="E559" s="578" t="s">
        <v>1926</v>
      </c>
      <c r="F559" s="458">
        <v>30736</v>
      </c>
      <c r="G559" s="572">
        <v>30736</v>
      </c>
      <c r="H559" s="324" t="s">
        <v>428</v>
      </c>
      <c r="I559" s="324" t="s">
        <v>383</v>
      </c>
      <c r="J559" s="324" t="s">
        <v>313</v>
      </c>
      <c r="K559" s="324"/>
      <c r="L559" s="324"/>
      <c r="M559" s="324"/>
      <c r="N559" s="184"/>
      <c r="O559" s="184"/>
      <c r="P559" s="184"/>
      <c r="Q559" s="184"/>
      <c r="R559" s="184"/>
      <c r="S559" s="184"/>
      <c r="T559" s="184"/>
      <c r="U559" s="184"/>
      <c r="V559" s="184"/>
      <c r="W559" s="184"/>
      <c r="X559" s="184"/>
      <c r="Y559" s="184"/>
      <c r="Z559" s="184"/>
      <c r="AA559" s="184"/>
      <c r="AB559" s="184"/>
      <c r="AC559" s="184"/>
    </row>
    <row r="560" spans="1:29" ht="25.5" customHeight="1" x14ac:dyDescent="0.25">
      <c r="A560" s="324">
        <v>92</v>
      </c>
      <c r="B560" s="324"/>
      <c r="C560" s="324"/>
      <c r="D560" s="324" t="s">
        <v>309</v>
      </c>
      <c r="E560" s="578" t="s">
        <v>1928</v>
      </c>
      <c r="F560" s="458">
        <v>30736</v>
      </c>
      <c r="G560" s="572">
        <v>30736</v>
      </c>
      <c r="H560" s="324" t="s">
        <v>430</v>
      </c>
      <c r="I560" s="324" t="s">
        <v>383</v>
      </c>
      <c r="J560" s="324" t="s">
        <v>313</v>
      </c>
      <c r="K560" s="324"/>
      <c r="L560" s="324"/>
      <c r="M560" s="324"/>
      <c r="N560" s="184"/>
      <c r="O560" s="184"/>
      <c r="P560" s="184"/>
      <c r="Q560" s="184"/>
      <c r="R560" s="184"/>
      <c r="S560" s="184"/>
      <c r="T560" s="184"/>
      <c r="U560" s="184"/>
      <c r="V560" s="184"/>
      <c r="W560" s="184"/>
      <c r="X560" s="184"/>
      <c r="Y560" s="184"/>
      <c r="Z560" s="184"/>
      <c r="AA560" s="184"/>
      <c r="AB560" s="184"/>
      <c r="AC560" s="184"/>
    </row>
    <row r="561" spans="1:29" ht="25.5" customHeight="1" x14ac:dyDescent="0.25">
      <c r="A561" s="324">
        <v>93</v>
      </c>
      <c r="B561" s="324"/>
      <c r="C561" s="324"/>
      <c r="D561" s="324" t="s">
        <v>309</v>
      </c>
      <c r="E561" s="578" t="s">
        <v>1930</v>
      </c>
      <c r="F561" s="458">
        <v>30736</v>
      </c>
      <c r="G561" s="572">
        <v>30736</v>
      </c>
      <c r="H561" s="324" t="s">
        <v>252</v>
      </c>
      <c r="I561" s="324" t="s">
        <v>383</v>
      </c>
      <c r="J561" s="324" t="s">
        <v>313</v>
      </c>
      <c r="K561" s="324"/>
      <c r="L561" s="324"/>
      <c r="M561" s="324"/>
      <c r="N561" s="184"/>
      <c r="O561" s="184"/>
      <c r="P561" s="184"/>
      <c r="Q561" s="184"/>
      <c r="R561" s="184"/>
      <c r="S561" s="184"/>
      <c r="T561" s="184"/>
      <c r="U561" s="184"/>
      <c r="V561" s="184"/>
      <c r="W561" s="184"/>
      <c r="X561" s="184"/>
      <c r="Y561" s="184"/>
      <c r="Z561" s="184"/>
      <c r="AA561" s="184"/>
      <c r="AB561" s="184"/>
      <c r="AC561" s="184"/>
    </row>
    <row r="562" spans="1:29" ht="25.5" customHeight="1" x14ac:dyDescent="0.25">
      <c r="A562" s="324">
        <v>94</v>
      </c>
      <c r="B562" s="324"/>
      <c r="C562" s="324"/>
      <c r="D562" s="324" t="s">
        <v>309</v>
      </c>
      <c r="E562" s="578" t="s">
        <v>1932</v>
      </c>
      <c r="F562" s="458">
        <v>30736</v>
      </c>
      <c r="G562" s="572">
        <v>30736</v>
      </c>
      <c r="H562" s="324" t="s">
        <v>263</v>
      </c>
      <c r="I562" s="324" t="s">
        <v>383</v>
      </c>
      <c r="J562" s="324" t="s">
        <v>313</v>
      </c>
      <c r="K562" s="324"/>
      <c r="L562" s="324"/>
      <c r="M562" s="324"/>
      <c r="N562" s="184"/>
      <c r="O562" s="184"/>
      <c r="P562" s="184"/>
      <c r="Q562" s="184"/>
      <c r="R562" s="184"/>
      <c r="S562" s="184"/>
      <c r="T562" s="184"/>
      <c r="U562" s="184"/>
      <c r="V562" s="184"/>
      <c r="W562" s="184"/>
      <c r="X562" s="184"/>
      <c r="Y562" s="184"/>
      <c r="Z562" s="184"/>
      <c r="AA562" s="184"/>
      <c r="AB562" s="184"/>
      <c r="AC562" s="184"/>
    </row>
    <row r="563" spans="1:29" ht="25.5" customHeight="1" x14ac:dyDescent="0.25">
      <c r="A563" s="324">
        <v>95</v>
      </c>
      <c r="B563" s="324"/>
      <c r="C563" s="324"/>
      <c r="D563" s="324" t="s">
        <v>309</v>
      </c>
      <c r="E563" s="578" t="s">
        <v>1934</v>
      </c>
      <c r="F563" s="458">
        <v>30736</v>
      </c>
      <c r="G563" s="572">
        <v>30736</v>
      </c>
      <c r="H563" s="324" t="s">
        <v>394</v>
      </c>
      <c r="I563" s="324" t="s">
        <v>383</v>
      </c>
      <c r="J563" s="324" t="s">
        <v>313</v>
      </c>
      <c r="K563" s="324"/>
      <c r="L563" s="324"/>
      <c r="M563" s="324"/>
      <c r="N563" s="184"/>
      <c r="O563" s="184"/>
      <c r="P563" s="184"/>
      <c r="Q563" s="184"/>
      <c r="R563" s="184"/>
      <c r="S563" s="184"/>
      <c r="T563" s="184"/>
      <c r="U563" s="184"/>
      <c r="V563" s="184"/>
      <c r="W563" s="184"/>
      <c r="X563" s="184"/>
      <c r="Y563" s="184"/>
      <c r="Z563" s="184"/>
      <c r="AA563" s="184"/>
      <c r="AB563" s="184"/>
      <c r="AC563" s="184"/>
    </row>
    <row r="564" spans="1:29" ht="25.5" customHeight="1" x14ac:dyDescent="0.25">
      <c r="A564" s="324">
        <v>96</v>
      </c>
      <c r="B564" s="324"/>
      <c r="C564" s="324"/>
      <c r="D564" s="324" t="s">
        <v>309</v>
      </c>
      <c r="E564" s="578" t="s">
        <v>1936</v>
      </c>
      <c r="F564" s="458">
        <v>30736</v>
      </c>
      <c r="G564" s="572">
        <v>30736</v>
      </c>
      <c r="H564" s="324" t="s">
        <v>396</v>
      </c>
      <c r="I564" s="324" t="s">
        <v>383</v>
      </c>
      <c r="J564" s="324" t="s">
        <v>313</v>
      </c>
      <c r="K564" s="324"/>
      <c r="L564" s="324"/>
      <c r="M564" s="324"/>
      <c r="N564" s="184"/>
      <c r="O564" s="184"/>
      <c r="P564" s="184"/>
      <c r="Q564" s="184"/>
      <c r="R564" s="184"/>
      <c r="S564" s="184"/>
      <c r="T564" s="184"/>
      <c r="U564" s="184"/>
      <c r="V564" s="184"/>
      <c r="W564" s="184"/>
      <c r="X564" s="184"/>
      <c r="Y564" s="184"/>
      <c r="Z564" s="184"/>
      <c r="AA564" s="184"/>
      <c r="AB564" s="184"/>
      <c r="AC564" s="184"/>
    </row>
    <row r="565" spans="1:29" ht="25.5" customHeight="1" x14ac:dyDescent="0.25">
      <c r="A565" s="324">
        <v>97</v>
      </c>
      <c r="B565" s="324"/>
      <c r="C565" s="324"/>
      <c r="D565" s="324" t="s">
        <v>309</v>
      </c>
      <c r="E565" s="578" t="s">
        <v>1938</v>
      </c>
      <c r="F565" s="458">
        <v>30736</v>
      </c>
      <c r="G565" s="572">
        <v>30736</v>
      </c>
      <c r="H565" s="324" t="s">
        <v>397</v>
      </c>
      <c r="I565" s="324" t="s">
        <v>383</v>
      </c>
      <c r="J565" s="324" t="s">
        <v>313</v>
      </c>
      <c r="K565" s="324"/>
      <c r="L565" s="324"/>
      <c r="M565" s="324"/>
      <c r="N565" s="184"/>
      <c r="O565" s="184"/>
      <c r="P565" s="184"/>
      <c r="Q565" s="184"/>
      <c r="R565" s="184"/>
      <c r="S565" s="184"/>
      <c r="T565" s="184"/>
      <c r="U565" s="184"/>
      <c r="V565" s="184"/>
      <c r="W565" s="184"/>
      <c r="X565" s="184"/>
      <c r="Y565" s="184"/>
      <c r="Z565" s="184"/>
      <c r="AA565" s="184"/>
      <c r="AB565" s="184"/>
      <c r="AC565" s="184"/>
    </row>
    <row r="566" spans="1:29" ht="25.5" customHeight="1" x14ac:dyDescent="0.25">
      <c r="A566" s="324">
        <v>98</v>
      </c>
      <c r="B566" s="324"/>
      <c r="C566" s="324"/>
      <c r="D566" s="324" t="s">
        <v>309</v>
      </c>
      <c r="E566" s="578" t="s">
        <v>1940</v>
      </c>
      <c r="F566" s="458">
        <v>30736</v>
      </c>
      <c r="G566" s="572">
        <v>30736</v>
      </c>
      <c r="H566" s="324" t="s">
        <v>431</v>
      </c>
      <c r="I566" s="324" t="s">
        <v>383</v>
      </c>
      <c r="J566" s="324" t="s">
        <v>313</v>
      </c>
      <c r="K566" s="324"/>
      <c r="L566" s="324"/>
      <c r="M566" s="324"/>
      <c r="N566" s="184"/>
      <c r="O566" s="184"/>
      <c r="P566" s="184"/>
      <c r="Q566" s="184"/>
      <c r="R566" s="184"/>
      <c r="S566" s="184"/>
      <c r="T566" s="184"/>
      <c r="U566" s="184"/>
      <c r="V566" s="184"/>
      <c r="W566" s="184"/>
      <c r="X566" s="184"/>
      <c r="Y566" s="184"/>
      <c r="Z566" s="184"/>
      <c r="AA566" s="184"/>
      <c r="AB566" s="184"/>
      <c r="AC566" s="184"/>
    </row>
    <row r="567" spans="1:29" ht="25.5" customHeight="1" x14ac:dyDescent="0.25">
      <c r="A567" s="324">
        <v>91</v>
      </c>
      <c r="B567" s="324"/>
      <c r="C567" s="324"/>
      <c r="D567" s="324" t="s">
        <v>309</v>
      </c>
      <c r="E567" s="578" t="s">
        <v>1943</v>
      </c>
      <c r="F567" s="458">
        <v>30736</v>
      </c>
      <c r="G567" s="572">
        <v>30736</v>
      </c>
      <c r="H567" s="324" t="s">
        <v>429</v>
      </c>
      <c r="I567" s="324" t="s">
        <v>383</v>
      </c>
      <c r="J567" s="324" t="s">
        <v>313</v>
      </c>
      <c r="K567" s="324"/>
      <c r="L567" s="324"/>
      <c r="M567" s="324"/>
      <c r="N567" s="184"/>
      <c r="O567" s="184"/>
      <c r="P567" s="184"/>
      <c r="Q567" s="184"/>
      <c r="R567" s="184"/>
      <c r="S567" s="184"/>
      <c r="T567" s="184"/>
      <c r="U567" s="184"/>
      <c r="V567" s="184"/>
      <c r="W567" s="184"/>
      <c r="X567" s="184"/>
      <c r="Y567" s="184"/>
      <c r="Z567" s="184"/>
      <c r="AA567" s="184"/>
      <c r="AB567" s="184"/>
      <c r="AC567" s="184"/>
    </row>
    <row r="568" spans="1:29" ht="25.5" customHeight="1" x14ac:dyDescent="0.25">
      <c r="A568" s="324">
        <v>102</v>
      </c>
      <c r="B568" s="324"/>
      <c r="C568" s="324"/>
      <c r="D568" s="324" t="s">
        <v>309</v>
      </c>
      <c r="E568" s="578" t="s">
        <v>1946</v>
      </c>
      <c r="F568" s="458">
        <v>30739</v>
      </c>
      <c r="G568" s="572">
        <v>30739</v>
      </c>
      <c r="H568" s="324" t="s">
        <v>431</v>
      </c>
      <c r="I568" s="324" t="s">
        <v>383</v>
      </c>
      <c r="J568" s="324" t="s">
        <v>313</v>
      </c>
      <c r="K568" s="324"/>
      <c r="L568" s="324"/>
      <c r="M568" s="324"/>
      <c r="N568" s="184"/>
      <c r="O568" s="184"/>
      <c r="P568" s="184"/>
      <c r="Q568" s="184"/>
      <c r="R568" s="184"/>
      <c r="S568" s="184"/>
      <c r="T568" s="184"/>
      <c r="U568" s="184"/>
      <c r="V568" s="184"/>
      <c r="W568" s="184"/>
      <c r="X568" s="184"/>
      <c r="Y568" s="184"/>
      <c r="Z568" s="184"/>
      <c r="AA568" s="184"/>
      <c r="AB568" s="184"/>
      <c r="AC568" s="184"/>
    </row>
    <row r="569" spans="1:29" ht="25.5" customHeight="1" x14ac:dyDescent="0.25">
      <c r="A569" s="324">
        <v>99</v>
      </c>
      <c r="B569" s="324"/>
      <c r="C569" s="324"/>
      <c r="D569" s="324" t="s">
        <v>309</v>
      </c>
      <c r="E569" s="578" t="s">
        <v>1949</v>
      </c>
      <c r="F569" s="458">
        <v>30739</v>
      </c>
      <c r="G569" s="572">
        <v>30739</v>
      </c>
      <c r="H569" s="324" t="s">
        <v>392</v>
      </c>
      <c r="I569" s="324" t="s">
        <v>383</v>
      </c>
      <c r="J569" s="324" t="s">
        <v>313</v>
      </c>
      <c r="K569" s="324"/>
      <c r="L569" s="324"/>
      <c r="M569" s="324"/>
      <c r="N569" s="184"/>
      <c r="O569" s="184"/>
      <c r="P569" s="184"/>
      <c r="Q569" s="184"/>
      <c r="R569" s="184"/>
      <c r="S569" s="184"/>
      <c r="T569" s="184"/>
      <c r="U569" s="184"/>
      <c r="V569" s="184"/>
      <c r="W569" s="184"/>
      <c r="X569" s="184"/>
      <c r="Y569" s="184"/>
      <c r="Z569" s="184"/>
      <c r="AA569" s="184"/>
      <c r="AB569" s="184"/>
      <c r="AC569" s="184"/>
    </row>
    <row r="570" spans="1:29" ht="25.5" customHeight="1" x14ac:dyDescent="0.25">
      <c r="A570" s="324">
        <v>100</v>
      </c>
      <c r="B570" s="324"/>
      <c r="C570" s="324"/>
      <c r="D570" s="324" t="s">
        <v>309</v>
      </c>
      <c r="E570" s="578" t="s">
        <v>1951</v>
      </c>
      <c r="F570" s="458">
        <v>30739</v>
      </c>
      <c r="G570" s="572">
        <v>30739</v>
      </c>
      <c r="H570" s="324" t="s">
        <v>432</v>
      </c>
      <c r="I570" s="324" t="s">
        <v>383</v>
      </c>
      <c r="J570" s="324" t="s">
        <v>313</v>
      </c>
      <c r="K570" s="324"/>
      <c r="L570" s="324"/>
      <c r="M570" s="324"/>
      <c r="N570" s="184"/>
      <c r="O570" s="184"/>
      <c r="P570" s="184"/>
      <c r="Q570" s="184"/>
      <c r="R570" s="184"/>
      <c r="S570" s="184"/>
      <c r="T570" s="184"/>
      <c r="U570" s="184"/>
      <c r="V570" s="184"/>
      <c r="W570" s="184"/>
      <c r="X570" s="184"/>
      <c r="Y570" s="184"/>
      <c r="Z570" s="184"/>
      <c r="AA570" s="184"/>
      <c r="AB570" s="184"/>
      <c r="AC570" s="184"/>
    </row>
    <row r="571" spans="1:29" ht="25.5" customHeight="1" x14ac:dyDescent="0.25">
      <c r="A571" s="324">
        <v>101</v>
      </c>
      <c r="B571" s="324"/>
      <c r="C571" s="324"/>
      <c r="D571" s="324" t="s">
        <v>309</v>
      </c>
      <c r="E571" s="578" t="s">
        <v>1953</v>
      </c>
      <c r="F571" s="458">
        <v>30739</v>
      </c>
      <c r="G571" s="572">
        <v>30739</v>
      </c>
      <c r="H571" s="324" t="s">
        <v>433</v>
      </c>
      <c r="I571" s="324" t="s">
        <v>383</v>
      </c>
      <c r="J571" s="324" t="s">
        <v>313</v>
      </c>
      <c r="K571" s="324"/>
      <c r="L571" s="324"/>
      <c r="M571" s="324"/>
      <c r="N571" s="184"/>
      <c r="O571" s="184"/>
      <c r="P571" s="184"/>
      <c r="Q571" s="184"/>
      <c r="R571" s="184"/>
      <c r="S571" s="184"/>
      <c r="T571" s="184"/>
      <c r="U571" s="184"/>
      <c r="V571" s="184"/>
      <c r="W571" s="184"/>
      <c r="X571" s="184"/>
      <c r="Y571" s="184"/>
      <c r="Z571" s="184"/>
      <c r="AA571" s="184"/>
      <c r="AB571" s="184"/>
      <c r="AC571" s="184"/>
    </row>
    <row r="572" spans="1:29" ht="25.5" customHeight="1" x14ac:dyDescent="0.25">
      <c r="A572" s="324">
        <v>103</v>
      </c>
      <c r="B572" s="324"/>
      <c r="C572" s="324"/>
      <c r="D572" s="324" t="s">
        <v>309</v>
      </c>
      <c r="E572" s="578" t="s">
        <v>1955</v>
      </c>
      <c r="F572" s="458">
        <v>30741</v>
      </c>
      <c r="G572" s="572">
        <v>30741</v>
      </c>
      <c r="H572" s="324" t="s">
        <v>400</v>
      </c>
      <c r="I572" s="324" t="s">
        <v>383</v>
      </c>
      <c r="J572" s="324" t="s">
        <v>313</v>
      </c>
      <c r="K572" s="324"/>
      <c r="L572" s="324"/>
      <c r="M572" s="324"/>
      <c r="N572" s="184"/>
      <c r="O572" s="184"/>
      <c r="P572" s="184"/>
      <c r="Q572" s="184"/>
      <c r="R572" s="184"/>
      <c r="S572" s="184"/>
      <c r="T572" s="184"/>
      <c r="U572" s="184"/>
      <c r="V572" s="184"/>
      <c r="W572" s="184"/>
      <c r="X572" s="184"/>
      <c r="Y572" s="184"/>
      <c r="Z572" s="184"/>
      <c r="AA572" s="184"/>
      <c r="AB572" s="184"/>
      <c r="AC572" s="184"/>
    </row>
    <row r="573" spans="1:29" ht="25.5" customHeight="1" x14ac:dyDescent="0.25">
      <c r="A573" s="324">
        <v>104</v>
      </c>
      <c r="B573" s="324"/>
      <c r="C573" s="324"/>
      <c r="D573" s="324" t="s">
        <v>309</v>
      </c>
      <c r="E573" s="578" t="s">
        <v>1957</v>
      </c>
      <c r="F573" s="458">
        <v>30742</v>
      </c>
      <c r="G573" s="572">
        <v>30742</v>
      </c>
      <c r="H573" s="324" t="s">
        <v>434</v>
      </c>
      <c r="I573" s="324" t="s">
        <v>383</v>
      </c>
      <c r="J573" s="324" t="s">
        <v>313</v>
      </c>
      <c r="K573" s="324"/>
      <c r="L573" s="324"/>
      <c r="M573" s="324"/>
      <c r="N573" s="184"/>
      <c r="O573" s="184"/>
      <c r="P573" s="184"/>
      <c r="Q573" s="184"/>
      <c r="R573" s="184"/>
      <c r="S573" s="184"/>
      <c r="T573" s="184"/>
      <c r="U573" s="184"/>
      <c r="V573" s="184"/>
      <c r="W573" s="184"/>
      <c r="X573" s="184"/>
      <c r="Y573" s="184"/>
      <c r="Z573" s="184"/>
      <c r="AA573" s="184"/>
      <c r="AB573" s="184"/>
      <c r="AC573" s="184"/>
    </row>
    <row r="574" spans="1:29" ht="25.5" customHeight="1" x14ac:dyDescent="0.25">
      <c r="A574" s="324">
        <v>105</v>
      </c>
      <c r="B574" s="324"/>
      <c r="C574" s="324"/>
      <c r="D574" s="324" t="s">
        <v>309</v>
      </c>
      <c r="E574" s="578" t="s">
        <v>1960</v>
      </c>
      <c r="F574" s="458">
        <v>30748</v>
      </c>
      <c r="G574" s="572">
        <v>30748</v>
      </c>
      <c r="H574" s="324" t="s">
        <v>435</v>
      </c>
      <c r="I574" s="324" t="s">
        <v>383</v>
      </c>
      <c r="J574" s="324" t="s">
        <v>313</v>
      </c>
      <c r="K574" s="324"/>
      <c r="L574" s="324"/>
      <c r="M574" s="324"/>
      <c r="N574" s="184"/>
      <c r="O574" s="184"/>
      <c r="P574" s="184"/>
      <c r="Q574" s="184"/>
      <c r="R574" s="184"/>
      <c r="S574" s="184"/>
      <c r="T574" s="184"/>
      <c r="U574" s="184"/>
      <c r="V574" s="184"/>
      <c r="W574" s="184"/>
      <c r="X574" s="184"/>
      <c r="Y574" s="184"/>
      <c r="Z574" s="184"/>
      <c r="AA574" s="184"/>
      <c r="AB574" s="184"/>
      <c r="AC574" s="184"/>
    </row>
    <row r="575" spans="1:29" ht="25.5" customHeight="1" x14ac:dyDescent="0.25">
      <c r="A575" s="324">
        <v>106</v>
      </c>
      <c r="B575" s="324"/>
      <c r="C575" s="324"/>
      <c r="D575" s="324" t="s">
        <v>309</v>
      </c>
      <c r="E575" s="578" t="s">
        <v>1962</v>
      </c>
      <c r="F575" s="458">
        <v>30749</v>
      </c>
      <c r="G575" s="572">
        <v>30749</v>
      </c>
      <c r="H575" s="324" t="s">
        <v>436</v>
      </c>
      <c r="I575" s="324" t="s">
        <v>383</v>
      </c>
      <c r="J575" s="324" t="s">
        <v>313</v>
      </c>
      <c r="K575" s="324"/>
      <c r="L575" s="324"/>
      <c r="M575" s="324"/>
      <c r="N575" s="184"/>
      <c r="O575" s="184"/>
      <c r="P575" s="184"/>
      <c r="Q575" s="184"/>
      <c r="R575" s="184"/>
      <c r="S575" s="184"/>
      <c r="T575" s="184"/>
      <c r="U575" s="184"/>
      <c r="V575" s="184"/>
      <c r="W575" s="184"/>
      <c r="X575" s="184"/>
      <c r="Y575" s="184"/>
      <c r="Z575" s="184"/>
      <c r="AA575" s="184"/>
      <c r="AB575" s="184"/>
      <c r="AC575" s="184"/>
    </row>
    <row r="576" spans="1:29" ht="25.5" customHeight="1" x14ac:dyDescent="0.25">
      <c r="A576" s="324">
        <v>107</v>
      </c>
      <c r="B576" s="324"/>
      <c r="C576" s="324"/>
      <c r="D576" s="324" t="s">
        <v>309</v>
      </c>
      <c r="E576" s="578" t="s">
        <v>1964</v>
      </c>
      <c r="F576" s="458">
        <v>30756</v>
      </c>
      <c r="G576" s="572">
        <v>30756</v>
      </c>
      <c r="H576" s="324" t="s">
        <v>437</v>
      </c>
      <c r="I576" s="324" t="s">
        <v>383</v>
      </c>
      <c r="J576" s="324" t="s">
        <v>313</v>
      </c>
      <c r="K576" s="324"/>
      <c r="L576" s="324"/>
      <c r="M576" s="324"/>
      <c r="N576" s="184"/>
      <c r="O576" s="184"/>
      <c r="P576" s="184"/>
      <c r="Q576" s="184"/>
      <c r="R576" s="184"/>
      <c r="S576" s="184"/>
      <c r="T576" s="184"/>
      <c r="U576" s="184"/>
      <c r="V576" s="184"/>
      <c r="W576" s="184"/>
      <c r="X576" s="184"/>
      <c r="Y576" s="184"/>
      <c r="Z576" s="184"/>
      <c r="AA576" s="184"/>
      <c r="AB576" s="184"/>
      <c r="AC576" s="184"/>
    </row>
    <row r="577" spans="1:29" ht="25.5" customHeight="1" x14ac:dyDescent="0.25">
      <c r="A577" s="324">
        <v>108</v>
      </c>
      <c r="B577" s="324"/>
      <c r="C577" s="324"/>
      <c r="D577" s="324" t="s">
        <v>309</v>
      </c>
      <c r="E577" s="578" t="s">
        <v>1966</v>
      </c>
      <c r="F577" s="458">
        <v>30756</v>
      </c>
      <c r="G577" s="572">
        <v>30756</v>
      </c>
      <c r="H577" s="324" t="s">
        <v>438</v>
      </c>
      <c r="I577" s="324" t="s">
        <v>383</v>
      </c>
      <c r="J577" s="324" t="s">
        <v>313</v>
      </c>
      <c r="K577" s="324"/>
      <c r="L577" s="324"/>
      <c r="M577" s="324"/>
      <c r="N577" s="184"/>
      <c r="O577" s="184"/>
      <c r="P577" s="184"/>
      <c r="Q577" s="184"/>
      <c r="R577" s="184"/>
      <c r="S577" s="184"/>
      <c r="T577" s="184"/>
      <c r="U577" s="184"/>
      <c r="V577" s="184"/>
      <c r="W577" s="184"/>
      <c r="X577" s="184"/>
      <c r="Y577" s="184"/>
      <c r="Z577" s="184"/>
      <c r="AA577" s="184"/>
      <c r="AB577" s="184"/>
      <c r="AC577" s="184"/>
    </row>
    <row r="578" spans="1:29" ht="25.5" customHeight="1" x14ac:dyDescent="0.25">
      <c r="A578" s="324">
        <v>109</v>
      </c>
      <c r="B578" s="324"/>
      <c r="C578" s="324"/>
      <c r="D578" s="324" t="s">
        <v>309</v>
      </c>
      <c r="E578" s="578" t="s">
        <v>1968</v>
      </c>
      <c r="F578" s="458">
        <v>30756</v>
      </c>
      <c r="G578" s="572">
        <v>30756</v>
      </c>
      <c r="H578" s="324" t="s">
        <v>240</v>
      </c>
      <c r="I578" s="324" t="s">
        <v>383</v>
      </c>
      <c r="J578" s="324" t="s">
        <v>313</v>
      </c>
      <c r="K578" s="324"/>
      <c r="L578" s="324"/>
      <c r="M578" s="324"/>
      <c r="N578" s="184"/>
      <c r="O578" s="184"/>
      <c r="P578" s="184"/>
      <c r="Q578" s="184"/>
      <c r="R578" s="184"/>
      <c r="S578" s="184"/>
      <c r="T578" s="184"/>
      <c r="U578" s="184"/>
      <c r="V578" s="184"/>
      <c r="W578" s="184"/>
      <c r="X578" s="184"/>
      <c r="Y578" s="184"/>
      <c r="Z578" s="184"/>
      <c r="AA578" s="184"/>
      <c r="AB578" s="184"/>
      <c r="AC578" s="184"/>
    </row>
    <row r="579" spans="1:29" ht="25.5" customHeight="1" x14ac:dyDescent="0.25">
      <c r="A579" s="324">
        <v>110</v>
      </c>
      <c r="B579" s="324"/>
      <c r="C579" s="324"/>
      <c r="D579" s="324" t="s">
        <v>309</v>
      </c>
      <c r="E579" s="578" t="s">
        <v>1997</v>
      </c>
      <c r="F579" s="458">
        <v>31051</v>
      </c>
      <c r="G579" s="572">
        <v>31051</v>
      </c>
      <c r="H579" s="324" t="s">
        <v>439</v>
      </c>
      <c r="I579" s="324" t="s">
        <v>440</v>
      </c>
      <c r="J579" s="324" t="s">
        <v>313</v>
      </c>
      <c r="K579" s="324"/>
      <c r="L579" s="324"/>
      <c r="M579" s="324"/>
      <c r="N579" s="184"/>
      <c r="O579" s="184"/>
      <c r="P579" s="184"/>
      <c r="Q579" s="184"/>
      <c r="R579" s="184"/>
      <c r="S579" s="184"/>
      <c r="T579" s="184"/>
      <c r="U579" s="184"/>
      <c r="V579" s="184"/>
      <c r="W579" s="184"/>
      <c r="X579" s="184"/>
      <c r="Y579" s="184"/>
      <c r="Z579" s="184"/>
      <c r="AA579" s="184"/>
      <c r="AB579" s="184"/>
      <c r="AC579" s="184"/>
    </row>
    <row r="580" spans="1:29" ht="25.5" customHeight="1" x14ac:dyDescent="0.25">
      <c r="A580" s="324">
        <v>111</v>
      </c>
      <c r="B580" s="324"/>
      <c r="C580" s="324"/>
      <c r="D580" s="324" t="s">
        <v>309</v>
      </c>
      <c r="E580" s="578" t="s">
        <v>2007</v>
      </c>
      <c r="F580" s="458">
        <v>31147</v>
      </c>
      <c r="G580" s="572">
        <v>31147</v>
      </c>
      <c r="H580" s="324" t="s">
        <v>392</v>
      </c>
      <c r="I580" s="324" t="s">
        <v>383</v>
      </c>
      <c r="J580" s="324" t="s">
        <v>313</v>
      </c>
      <c r="K580" s="324"/>
      <c r="L580" s="324"/>
      <c r="M580" s="324"/>
      <c r="N580" s="184"/>
      <c r="O580" s="184"/>
      <c r="P580" s="184"/>
      <c r="Q580" s="184"/>
      <c r="R580" s="184"/>
      <c r="S580" s="184"/>
      <c r="T580" s="184"/>
      <c r="U580" s="184"/>
      <c r="V580" s="184"/>
      <c r="W580" s="184"/>
      <c r="X580" s="184"/>
      <c r="Y580" s="184"/>
      <c r="Z580" s="184"/>
      <c r="AA580" s="184"/>
      <c r="AB580" s="184"/>
      <c r="AC580" s="184"/>
    </row>
    <row r="581" spans="1:29" ht="25.5" customHeight="1" x14ac:dyDescent="0.25">
      <c r="A581" s="324">
        <v>112</v>
      </c>
      <c r="B581" s="324"/>
      <c r="C581" s="324"/>
      <c r="D581" s="324" t="s">
        <v>309</v>
      </c>
      <c r="E581" s="578" t="s">
        <v>2009</v>
      </c>
      <c r="F581" s="458">
        <v>31147</v>
      </c>
      <c r="G581" s="572">
        <v>31147</v>
      </c>
      <c r="H581" s="324" t="s">
        <v>394</v>
      </c>
      <c r="I581" s="324" t="s">
        <v>383</v>
      </c>
      <c r="J581" s="324" t="s">
        <v>313</v>
      </c>
      <c r="K581" s="324"/>
      <c r="L581" s="324"/>
      <c r="M581" s="324"/>
      <c r="N581" s="184"/>
      <c r="O581" s="184"/>
      <c r="P581" s="184"/>
      <c r="Q581" s="184"/>
      <c r="R581" s="184"/>
      <c r="S581" s="184"/>
      <c r="T581" s="184"/>
      <c r="U581" s="184"/>
      <c r="V581" s="184"/>
      <c r="W581" s="184"/>
      <c r="X581" s="184"/>
      <c r="Y581" s="184"/>
      <c r="Z581" s="184"/>
      <c r="AA581" s="184"/>
      <c r="AB581" s="184"/>
      <c r="AC581" s="184"/>
    </row>
    <row r="582" spans="1:29" ht="25.5" customHeight="1" x14ac:dyDescent="0.25">
      <c r="A582" s="324">
        <v>113</v>
      </c>
      <c r="B582" s="324"/>
      <c r="C582" s="324"/>
      <c r="D582" s="324" t="s">
        <v>309</v>
      </c>
      <c r="E582" s="578" t="s">
        <v>2011</v>
      </c>
      <c r="F582" s="458">
        <v>31147</v>
      </c>
      <c r="G582" s="572">
        <v>31147</v>
      </c>
      <c r="H582" s="324" t="s">
        <v>396</v>
      </c>
      <c r="I582" s="324" t="s">
        <v>383</v>
      </c>
      <c r="J582" s="324" t="s">
        <v>313</v>
      </c>
      <c r="K582" s="324"/>
      <c r="L582" s="324"/>
      <c r="M582" s="324"/>
      <c r="N582" s="184"/>
      <c r="O582" s="184"/>
      <c r="P582" s="184"/>
      <c r="Q582" s="184"/>
      <c r="R582" s="184"/>
      <c r="S582" s="184"/>
      <c r="T582" s="184"/>
      <c r="U582" s="184"/>
      <c r="V582" s="184"/>
      <c r="W582" s="184"/>
      <c r="X582" s="184"/>
      <c r="Y582" s="184"/>
      <c r="Z582" s="184"/>
      <c r="AA582" s="184"/>
      <c r="AB582" s="184"/>
      <c r="AC582" s="184"/>
    </row>
    <row r="583" spans="1:29" ht="25.5" customHeight="1" x14ac:dyDescent="0.25">
      <c r="A583" s="324">
        <v>116</v>
      </c>
      <c r="B583" s="324"/>
      <c r="C583" s="324"/>
      <c r="D583" s="324" t="s">
        <v>309</v>
      </c>
      <c r="E583" s="578" t="s">
        <v>2013</v>
      </c>
      <c r="F583" s="458">
        <v>31147</v>
      </c>
      <c r="G583" s="572">
        <v>31147</v>
      </c>
      <c r="H583" s="324" t="s">
        <v>441</v>
      </c>
      <c r="I583" s="324" t="s">
        <v>383</v>
      </c>
      <c r="J583" s="324" t="s">
        <v>313</v>
      </c>
      <c r="K583" s="324"/>
      <c r="L583" s="324"/>
      <c r="M583" s="324"/>
      <c r="N583" s="184"/>
      <c r="O583" s="184"/>
      <c r="P583" s="184"/>
      <c r="Q583" s="184"/>
      <c r="R583" s="184"/>
      <c r="S583" s="184"/>
      <c r="T583" s="184"/>
      <c r="U583" s="184"/>
      <c r="V583" s="184"/>
      <c r="W583" s="184"/>
      <c r="X583" s="184"/>
      <c r="Y583" s="184"/>
      <c r="Z583" s="184"/>
      <c r="AA583" s="184"/>
      <c r="AB583" s="184"/>
      <c r="AC583" s="184"/>
    </row>
    <row r="584" spans="1:29" ht="25.5" customHeight="1" x14ac:dyDescent="0.25">
      <c r="A584" s="324">
        <v>117</v>
      </c>
      <c r="B584" s="324"/>
      <c r="C584" s="324"/>
      <c r="D584" s="324" t="s">
        <v>309</v>
      </c>
      <c r="E584" s="578" t="s">
        <v>2016</v>
      </c>
      <c r="F584" s="458">
        <v>31147</v>
      </c>
      <c r="G584" s="572">
        <v>31147</v>
      </c>
      <c r="H584" s="324" t="s">
        <v>433</v>
      </c>
      <c r="I584" s="324" t="s">
        <v>383</v>
      </c>
      <c r="J584" s="324" t="s">
        <v>313</v>
      </c>
      <c r="K584" s="324"/>
      <c r="L584" s="324"/>
      <c r="M584" s="324"/>
      <c r="N584" s="184"/>
      <c r="O584" s="184"/>
      <c r="P584" s="184"/>
      <c r="Q584" s="184"/>
      <c r="R584" s="184"/>
      <c r="S584" s="184"/>
      <c r="T584" s="184"/>
      <c r="U584" s="184"/>
      <c r="V584" s="184"/>
      <c r="W584" s="184"/>
      <c r="X584" s="184"/>
      <c r="Y584" s="184"/>
      <c r="Z584" s="184"/>
      <c r="AA584" s="184"/>
      <c r="AB584" s="184"/>
      <c r="AC584" s="184"/>
    </row>
    <row r="585" spans="1:29" ht="25.5" customHeight="1" x14ac:dyDescent="0.25">
      <c r="A585" s="324">
        <v>114</v>
      </c>
      <c r="B585" s="324"/>
      <c r="C585" s="324"/>
      <c r="D585" s="324" t="s">
        <v>309</v>
      </c>
      <c r="E585" s="578" t="s">
        <v>2018</v>
      </c>
      <c r="F585" s="458">
        <v>31147</v>
      </c>
      <c r="G585" s="572">
        <v>31147</v>
      </c>
      <c r="H585" s="324" t="s">
        <v>397</v>
      </c>
      <c r="I585" s="324" t="s">
        <v>383</v>
      </c>
      <c r="J585" s="324" t="s">
        <v>313</v>
      </c>
      <c r="K585" s="324"/>
      <c r="L585" s="324"/>
      <c r="M585" s="324"/>
      <c r="N585" s="184"/>
      <c r="O585" s="184"/>
      <c r="P585" s="184"/>
      <c r="Q585" s="184"/>
      <c r="R585" s="184"/>
      <c r="S585" s="184"/>
      <c r="T585" s="184"/>
      <c r="U585" s="184"/>
      <c r="V585" s="184"/>
      <c r="W585" s="184"/>
      <c r="X585" s="184"/>
      <c r="Y585" s="184"/>
      <c r="Z585" s="184"/>
      <c r="AA585" s="184"/>
      <c r="AB585" s="184"/>
      <c r="AC585" s="184"/>
    </row>
    <row r="586" spans="1:29" ht="25.5" customHeight="1" x14ac:dyDescent="0.25">
      <c r="A586" s="324">
        <v>115</v>
      </c>
      <c r="B586" s="324"/>
      <c r="C586" s="324"/>
      <c r="D586" s="324" t="s">
        <v>309</v>
      </c>
      <c r="E586" s="578" t="s">
        <v>2020</v>
      </c>
      <c r="F586" s="458">
        <v>31147</v>
      </c>
      <c r="G586" s="572">
        <v>31147</v>
      </c>
      <c r="H586" s="324" t="s">
        <v>395</v>
      </c>
      <c r="I586" s="324" t="s">
        <v>383</v>
      </c>
      <c r="J586" s="324" t="s">
        <v>313</v>
      </c>
      <c r="K586" s="324"/>
      <c r="L586" s="324"/>
      <c r="M586" s="324"/>
      <c r="N586" s="184"/>
      <c r="O586" s="184"/>
      <c r="P586" s="184"/>
      <c r="Q586" s="184"/>
      <c r="R586" s="184"/>
      <c r="S586" s="184"/>
      <c r="T586" s="184"/>
      <c r="U586" s="184"/>
      <c r="V586" s="184"/>
      <c r="W586" s="184"/>
      <c r="X586" s="184"/>
      <c r="Y586" s="184"/>
      <c r="Z586" s="184"/>
      <c r="AA586" s="184"/>
      <c r="AB586" s="184"/>
      <c r="AC586" s="184"/>
    </row>
    <row r="587" spans="1:29" ht="25.5" customHeight="1" x14ac:dyDescent="0.25">
      <c r="A587" s="324">
        <v>118</v>
      </c>
      <c r="B587" s="324"/>
      <c r="C587" s="324"/>
      <c r="D587" s="324" t="s">
        <v>309</v>
      </c>
      <c r="E587" s="578" t="s">
        <v>2022</v>
      </c>
      <c r="F587" s="458">
        <v>31147</v>
      </c>
      <c r="G587" s="572">
        <v>31147</v>
      </c>
      <c r="H587" s="324" t="s">
        <v>431</v>
      </c>
      <c r="I587" s="324" t="s">
        <v>383</v>
      </c>
      <c r="J587" s="324" t="s">
        <v>313</v>
      </c>
      <c r="K587" s="324"/>
      <c r="L587" s="324"/>
      <c r="M587" s="324"/>
      <c r="N587" s="184"/>
      <c r="O587" s="184"/>
      <c r="P587" s="184"/>
      <c r="Q587" s="184"/>
      <c r="R587" s="184"/>
      <c r="S587" s="184"/>
      <c r="T587" s="184"/>
      <c r="U587" s="184"/>
      <c r="V587" s="184"/>
      <c r="W587" s="184"/>
      <c r="X587" s="184"/>
      <c r="Y587" s="184"/>
      <c r="Z587" s="184"/>
      <c r="AA587" s="184"/>
      <c r="AB587" s="184"/>
      <c r="AC587" s="184"/>
    </row>
    <row r="588" spans="1:29" ht="25.5" customHeight="1" x14ac:dyDescent="0.25">
      <c r="A588" s="324">
        <v>119</v>
      </c>
      <c r="B588" s="324"/>
      <c r="C588" s="324"/>
      <c r="D588" s="324" t="s">
        <v>309</v>
      </c>
      <c r="E588" s="578" t="s">
        <v>2024</v>
      </c>
      <c r="F588" s="458">
        <v>31147</v>
      </c>
      <c r="G588" s="572">
        <v>31147</v>
      </c>
      <c r="H588" s="324" t="s">
        <v>442</v>
      </c>
      <c r="I588" s="324" t="s">
        <v>383</v>
      </c>
      <c r="J588" s="324" t="s">
        <v>313</v>
      </c>
      <c r="K588" s="324"/>
      <c r="L588" s="324"/>
      <c r="M588" s="324"/>
      <c r="N588" s="184"/>
      <c r="O588" s="184"/>
      <c r="P588" s="184"/>
      <c r="Q588" s="184"/>
      <c r="R588" s="184"/>
      <c r="S588" s="184"/>
      <c r="T588" s="184"/>
      <c r="U588" s="184"/>
      <c r="V588" s="184"/>
      <c r="W588" s="184"/>
      <c r="X588" s="184"/>
      <c r="Y588" s="184"/>
      <c r="Z588" s="184"/>
      <c r="AA588" s="184"/>
      <c r="AB588" s="184"/>
      <c r="AC588" s="184"/>
    </row>
    <row r="589" spans="1:29" ht="25.5" customHeight="1" x14ac:dyDescent="0.25">
      <c r="A589" s="324">
        <v>120</v>
      </c>
      <c r="B589" s="324"/>
      <c r="C589" s="324"/>
      <c r="D589" s="324" t="s">
        <v>309</v>
      </c>
      <c r="E589" s="578" t="s">
        <v>2027</v>
      </c>
      <c r="F589" s="458">
        <v>31147</v>
      </c>
      <c r="G589" s="572">
        <v>31147</v>
      </c>
      <c r="H589" s="324" t="s">
        <v>443</v>
      </c>
      <c r="I589" s="324" t="s">
        <v>383</v>
      </c>
      <c r="J589" s="324" t="s">
        <v>313</v>
      </c>
      <c r="K589" s="324"/>
      <c r="L589" s="324"/>
      <c r="M589" s="324"/>
      <c r="N589" s="184"/>
      <c r="O589" s="184"/>
      <c r="P589" s="184"/>
      <c r="Q589" s="184"/>
      <c r="R589" s="184"/>
      <c r="S589" s="184"/>
      <c r="T589" s="184"/>
      <c r="U589" s="184"/>
      <c r="V589" s="184"/>
      <c r="W589" s="184"/>
      <c r="X589" s="184"/>
      <c r="Y589" s="184"/>
      <c r="Z589" s="184"/>
      <c r="AA589" s="184"/>
      <c r="AB589" s="184"/>
      <c r="AC589" s="184"/>
    </row>
    <row r="590" spans="1:29" ht="25.5" customHeight="1" x14ac:dyDescent="0.25">
      <c r="A590" s="324">
        <v>121</v>
      </c>
      <c r="B590" s="324"/>
      <c r="C590" s="324"/>
      <c r="D590" s="324" t="s">
        <v>309</v>
      </c>
      <c r="E590" s="578" t="s">
        <v>2033</v>
      </c>
      <c r="F590" s="458">
        <v>31158</v>
      </c>
      <c r="G590" s="572">
        <v>31158</v>
      </c>
      <c r="H590" s="324" t="s">
        <v>434</v>
      </c>
      <c r="I590" s="324" t="s">
        <v>383</v>
      </c>
      <c r="J590" s="324" t="s">
        <v>313</v>
      </c>
      <c r="K590" s="324"/>
      <c r="L590" s="324"/>
      <c r="M590" s="324"/>
      <c r="N590" s="184"/>
      <c r="O590" s="184"/>
      <c r="P590" s="184"/>
      <c r="Q590" s="184"/>
      <c r="R590" s="184"/>
      <c r="S590" s="184"/>
      <c r="T590" s="184"/>
      <c r="U590" s="184"/>
      <c r="V590" s="184"/>
      <c r="W590" s="184"/>
      <c r="X590" s="184"/>
      <c r="Y590" s="184"/>
      <c r="Z590" s="184"/>
      <c r="AA590" s="184"/>
      <c r="AB590" s="184"/>
      <c r="AC590" s="184"/>
    </row>
    <row r="591" spans="1:29" ht="25.5" customHeight="1" x14ac:dyDescent="0.25">
      <c r="A591" s="324">
        <v>122</v>
      </c>
      <c r="B591" s="324"/>
      <c r="C591" s="324"/>
      <c r="D591" s="324" t="s">
        <v>309</v>
      </c>
      <c r="E591" s="578" t="s">
        <v>2035</v>
      </c>
      <c r="F591" s="458">
        <v>31158</v>
      </c>
      <c r="G591" s="572">
        <v>31158</v>
      </c>
      <c r="H591" s="324" t="s">
        <v>400</v>
      </c>
      <c r="I591" s="324" t="s">
        <v>383</v>
      </c>
      <c r="J591" s="324" t="s">
        <v>308</v>
      </c>
      <c r="K591" s="324"/>
      <c r="L591" s="324"/>
      <c r="M591" s="324"/>
      <c r="N591" s="184"/>
      <c r="O591" s="184"/>
      <c r="P591" s="184"/>
      <c r="Q591" s="184"/>
      <c r="R591" s="184"/>
      <c r="S591" s="184"/>
      <c r="T591" s="184"/>
      <c r="U591" s="184"/>
      <c r="V591" s="184"/>
      <c r="W591" s="184"/>
      <c r="X591" s="184"/>
      <c r="Y591" s="184"/>
      <c r="Z591" s="184"/>
      <c r="AA591" s="184"/>
      <c r="AB591" s="184"/>
      <c r="AC591" s="184"/>
    </row>
    <row r="592" spans="1:29" ht="25.5" customHeight="1" x14ac:dyDescent="0.25">
      <c r="A592" s="324">
        <v>123</v>
      </c>
      <c r="B592" s="324"/>
      <c r="C592" s="324"/>
      <c r="D592" s="324" t="s">
        <v>309</v>
      </c>
      <c r="E592" s="578" t="s">
        <v>2037</v>
      </c>
      <c r="F592" s="458">
        <v>31166</v>
      </c>
      <c r="G592" s="572">
        <v>31166</v>
      </c>
      <c r="H592" s="324" t="s">
        <v>249</v>
      </c>
      <c r="I592" s="324" t="s">
        <v>383</v>
      </c>
      <c r="J592" s="324" t="s">
        <v>313</v>
      </c>
      <c r="K592" s="324"/>
      <c r="L592" s="324"/>
      <c r="M592" s="324"/>
      <c r="N592" s="184"/>
      <c r="O592" s="184"/>
      <c r="P592" s="184"/>
      <c r="Q592" s="184"/>
      <c r="R592" s="184"/>
      <c r="S592" s="184"/>
      <c r="T592" s="184"/>
      <c r="U592" s="184"/>
      <c r="V592" s="184"/>
      <c r="W592" s="184"/>
      <c r="X592" s="184"/>
      <c r="Y592" s="184"/>
      <c r="Z592" s="184"/>
      <c r="AA592" s="184"/>
      <c r="AB592" s="184"/>
      <c r="AC592" s="184"/>
    </row>
    <row r="593" spans="1:29" ht="25.5" customHeight="1" x14ac:dyDescent="0.25">
      <c r="A593" s="324">
        <v>124</v>
      </c>
      <c r="B593" s="324"/>
      <c r="C593" s="324"/>
      <c r="D593" s="324" t="s">
        <v>309</v>
      </c>
      <c r="E593" s="578" t="s">
        <v>2042</v>
      </c>
      <c r="F593" s="458">
        <v>31226</v>
      </c>
      <c r="G593" s="572">
        <v>31226</v>
      </c>
      <c r="H593" s="324" t="s">
        <v>435</v>
      </c>
      <c r="I593" s="324" t="s">
        <v>383</v>
      </c>
      <c r="J593" s="324" t="s">
        <v>313</v>
      </c>
      <c r="K593" s="324"/>
      <c r="L593" s="324"/>
      <c r="M593" s="324"/>
      <c r="N593" s="184"/>
      <c r="O593" s="184"/>
      <c r="P593" s="184"/>
      <c r="Q593" s="184"/>
      <c r="R593" s="184"/>
      <c r="S593" s="184"/>
      <c r="T593" s="184"/>
      <c r="U593" s="184"/>
      <c r="V593" s="184"/>
      <c r="W593" s="184"/>
      <c r="X593" s="184"/>
      <c r="Y593" s="184"/>
      <c r="Z593" s="184"/>
      <c r="AA593" s="184"/>
      <c r="AB593" s="184"/>
      <c r="AC593" s="184"/>
    </row>
    <row r="594" spans="1:29" ht="25.5" customHeight="1" x14ac:dyDescent="0.25">
      <c r="A594" s="324">
        <v>125</v>
      </c>
      <c r="B594" s="324"/>
      <c r="C594" s="324"/>
      <c r="D594" s="324" t="s">
        <v>309</v>
      </c>
      <c r="E594" s="578" t="s">
        <v>2058</v>
      </c>
      <c r="F594" s="458">
        <v>31347</v>
      </c>
      <c r="G594" s="572">
        <v>31347</v>
      </c>
      <c r="H594" s="324" t="s">
        <v>407</v>
      </c>
      <c r="I594" s="324" t="s">
        <v>383</v>
      </c>
      <c r="J594" s="324" t="s">
        <v>313</v>
      </c>
      <c r="K594" s="324"/>
      <c r="L594" s="324"/>
      <c r="M594" s="324"/>
      <c r="N594" s="184"/>
      <c r="O594" s="184"/>
      <c r="P594" s="184"/>
      <c r="Q594" s="184"/>
      <c r="R594" s="184"/>
      <c r="S594" s="184"/>
      <c r="T594" s="184"/>
      <c r="U594" s="184"/>
      <c r="V594" s="184"/>
      <c r="W594" s="184"/>
      <c r="X594" s="184"/>
      <c r="Y594" s="184"/>
      <c r="Z594" s="184"/>
      <c r="AA594" s="184"/>
      <c r="AB594" s="184"/>
      <c r="AC594" s="184"/>
    </row>
    <row r="595" spans="1:29" ht="25.5" customHeight="1" x14ac:dyDescent="0.25">
      <c r="A595" s="324">
        <v>126</v>
      </c>
      <c r="B595" s="324"/>
      <c r="C595" s="324"/>
      <c r="D595" s="324" t="s">
        <v>309</v>
      </c>
      <c r="E595" s="578" t="s">
        <v>2084</v>
      </c>
      <c r="F595" s="458">
        <v>31755</v>
      </c>
      <c r="G595" s="572">
        <v>31755</v>
      </c>
      <c r="H595" s="324" t="s">
        <v>411</v>
      </c>
      <c r="I595" s="324" t="s">
        <v>444</v>
      </c>
      <c r="J595" s="324" t="s">
        <v>313</v>
      </c>
      <c r="K595" s="324"/>
      <c r="L595" s="324"/>
      <c r="M595" s="324"/>
      <c r="N595" s="184"/>
      <c r="O595" s="184"/>
      <c r="P595" s="184"/>
      <c r="Q595" s="184"/>
      <c r="R595" s="184"/>
      <c r="S595" s="184"/>
      <c r="T595" s="184"/>
      <c r="U595" s="184"/>
      <c r="V595" s="184"/>
      <c r="W595" s="184"/>
      <c r="X595" s="184"/>
      <c r="Y595" s="184"/>
      <c r="Z595" s="184"/>
      <c r="AA595" s="184"/>
      <c r="AB595" s="184"/>
      <c r="AC595" s="184"/>
    </row>
    <row r="596" spans="1:29" ht="25.5" customHeight="1" x14ac:dyDescent="0.25">
      <c r="A596" s="324">
        <v>127</v>
      </c>
      <c r="B596" s="324"/>
      <c r="C596" s="324"/>
      <c r="D596" s="324" t="s">
        <v>309</v>
      </c>
      <c r="E596" s="578" t="s">
        <v>2094</v>
      </c>
      <c r="F596" s="458">
        <v>31971</v>
      </c>
      <c r="G596" s="572">
        <v>31971</v>
      </c>
      <c r="H596" s="324" t="s">
        <v>436</v>
      </c>
      <c r="I596" s="324" t="s">
        <v>445</v>
      </c>
      <c r="J596" s="324" t="s">
        <v>313</v>
      </c>
      <c r="K596" s="324"/>
      <c r="L596" s="324"/>
      <c r="M596" s="324"/>
      <c r="N596" s="184"/>
      <c r="O596" s="184"/>
      <c r="P596" s="184"/>
      <c r="Q596" s="184"/>
      <c r="R596" s="184"/>
      <c r="S596" s="184"/>
      <c r="T596" s="184"/>
      <c r="U596" s="184"/>
      <c r="V596" s="184"/>
      <c r="W596" s="184"/>
      <c r="X596" s="184"/>
      <c r="Y596" s="184"/>
      <c r="Z596" s="184"/>
      <c r="AA596" s="184"/>
      <c r="AB596" s="184"/>
      <c r="AC596" s="184"/>
    </row>
    <row r="597" spans="1:29" ht="25.5" customHeight="1" x14ac:dyDescent="0.25">
      <c r="A597" s="324">
        <v>128</v>
      </c>
      <c r="B597" s="324"/>
      <c r="C597" s="324"/>
      <c r="D597" s="324" t="s">
        <v>309</v>
      </c>
      <c r="E597" s="578" t="s">
        <v>2096</v>
      </c>
      <c r="F597" s="458">
        <v>31971</v>
      </c>
      <c r="G597" s="572">
        <v>31971</v>
      </c>
      <c r="H597" s="324" t="s">
        <v>446</v>
      </c>
      <c r="I597" s="324" t="s">
        <v>445</v>
      </c>
      <c r="J597" s="324" t="s">
        <v>313</v>
      </c>
      <c r="K597" s="324"/>
      <c r="L597" s="324"/>
      <c r="M597" s="324"/>
      <c r="N597" s="184"/>
      <c r="O597" s="184"/>
      <c r="P597" s="184"/>
      <c r="Q597" s="184"/>
      <c r="R597" s="184"/>
      <c r="S597" s="184"/>
      <c r="T597" s="184"/>
      <c r="U597" s="184"/>
      <c r="V597" s="184"/>
      <c r="W597" s="184"/>
      <c r="X597" s="184"/>
      <c r="Y597" s="184"/>
      <c r="Z597" s="184"/>
      <c r="AA597" s="184"/>
      <c r="AB597" s="184"/>
      <c r="AC597" s="184"/>
    </row>
    <row r="598" spans="1:29" ht="25.5" customHeight="1" x14ac:dyDescent="0.25">
      <c r="A598" s="324">
        <v>129</v>
      </c>
      <c r="B598" s="324"/>
      <c r="C598" s="324"/>
      <c r="D598" s="324" t="s">
        <v>309</v>
      </c>
      <c r="E598" s="578" t="s">
        <v>2098</v>
      </c>
      <c r="F598" s="458">
        <v>32002</v>
      </c>
      <c r="G598" s="572">
        <v>32002</v>
      </c>
      <c r="H598" s="324" t="s">
        <v>407</v>
      </c>
      <c r="I598" s="324" t="s">
        <v>447</v>
      </c>
      <c r="J598" s="324" t="s">
        <v>313</v>
      </c>
      <c r="K598" s="324"/>
      <c r="L598" s="324"/>
      <c r="M598" s="324"/>
      <c r="N598" s="184"/>
      <c r="O598" s="184"/>
      <c r="P598" s="184"/>
      <c r="Q598" s="184"/>
      <c r="R598" s="184"/>
      <c r="S598" s="184"/>
      <c r="T598" s="184"/>
      <c r="U598" s="184"/>
      <c r="V598" s="184"/>
      <c r="W598" s="184"/>
      <c r="X598" s="184"/>
      <c r="Y598" s="184"/>
      <c r="Z598" s="184"/>
      <c r="AA598" s="184"/>
      <c r="AB598" s="184"/>
      <c r="AC598" s="184"/>
    </row>
    <row r="599" spans="1:29" ht="25.5" customHeight="1" x14ac:dyDescent="0.25">
      <c r="A599" s="324">
        <v>130</v>
      </c>
      <c r="B599" s="324"/>
      <c r="C599" s="324"/>
      <c r="D599" s="324" t="s">
        <v>309</v>
      </c>
      <c r="E599" s="578" t="s">
        <v>2105</v>
      </c>
      <c r="F599" s="458">
        <v>32010</v>
      </c>
      <c r="G599" s="572">
        <v>32010</v>
      </c>
      <c r="H599" s="324" t="s">
        <v>446</v>
      </c>
      <c r="I599" s="324" t="s">
        <v>447</v>
      </c>
      <c r="J599" s="324" t="s">
        <v>313</v>
      </c>
      <c r="K599" s="324"/>
      <c r="L599" s="324"/>
      <c r="M599" s="324"/>
      <c r="N599" s="184"/>
      <c r="O599" s="184"/>
      <c r="P599" s="184"/>
      <c r="Q599" s="184"/>
      <c r="R599" s="184"/>
      <c r="S599" s="184"/>
      <c r="T599" s="184"/>
      <c r="U599" s="184"/>
      <c r="V599" s="184"/>
      <c r="W599" s="184"/>
      <c r="X599" s="184"/>
      <c r="Y599" s="184"/>
      <c r="Z599" s="184"/>
      <c r="AA599" s="184"/>
      <c r="AB599" s="184"/>
      <c r="AC599" s="184"/>
    </row>
    <row r="600" spans="1:29" ht="25.5" customHeight="1" x14ac:dyDescent="0.25">
      <c r="A600" s="324">
        <v>131</v>
      </c>
      <c r="B600" s="324"/>
      <c r="C600" s="324"/>
      <c r="D600" s="324" t="s">
        <v>309</v>
      </c>
      <c r="E600" s="578" t="s">
        <v>2129</v>
      </c>
      <c r="F600" s="458">
        <v>32129</v>
      </c>
      <c r="G600" s="572">
        <v>32129</v>
      </c>
      <c r="H600" s="324" t="s">
        <v>446</v>
      </c>
      <c r="I600" s="324" t="s">
        <v>445</v>
      </c>
      <c r="J600" s="324" t="s">
        <v>313</v>
      </c>
      <c r="K600" s="324"/>
      <c r="L600" s="324"/>
      <c r="M600" s="324"/>
      <c r="N600" s="184"/>
      <c r="O600" s="184"/>
      <c r="P600" s="184"/>
      <c r="Q600" s="184"/>
      <c r="R600" s="184"/>
      <c r="S600" s="184"/>
      <c r="T600" s="184"/>
      <c r="U600" s="184"/>
      <c r="V600" s="184"/>
      <c r="W600" s="184"/>
      <c r="X600" s="184"/>
      <c r="Y600" s="184"/>
      <c r="Z600" s="184"/>
      <c r="AA600" s="184"/>
      <c r="AB600" s="184"/>
      <c r="AC600" s="184"/>
    </row>
    <row r="601" spans="1:29" ht="25.5" customHeight="1" x14ac:dyDescent="0.25">
      <c r="A601" s="324">
        <v>132</v>
      </c>
      <c r="B601" s="324"/>
      <c r="C601" s="324"/>
      <c r="D601" s="324" t="s">
        <v>309</v>
      </c>
      <c r="E601" s="578" t="s">
        <v>2131</v>
      </c>
      <c r="F601" s="458">
        <v>32155</v>
      </c>
      <c r="G601" s="572">
        <v>32155</v>
      </c>
      <c r="H601" s="324" t="s">
        <v>413</v>
      </c>
      <c r="I601" s="324" t="s">
        <v>448</v>
      </c>
      <c r="J601" s="324" t="s">
        <v>313</v>
      </c>
      <c r="K601" s="324"/>
      <c r="L601" s="324"/>
      <c r="M601" s="324"/>
      <c r="N601" s="184"/>
      <c r="O601" s="184"/>
      <c r="P601" s="184"/>
      <c r="Q601" s="184"/>
      <c r="R601" s="184"/>
      <c r="S601" s="184"/>
      <c r="T601" s="184"/>
      <c r="U601" s="184"/>
      <c r="V601" s="184"/>
      <c r="W601" s="184"/>
      <c r="X601" s="184"/>
      <c r="Y601" s="184"/>
      <c r="Z601" s="184"/>
      <c r="AA601" s="184"/>
      <c r="AB601" s="184"/>
      <c r="AC601" s="184"/>
    </row>
    <row r="602" spans="1:29" ht="25.5" customHeight="1" x14ac:dyDescent="0.25">
      <c r="A602" s="324">
        <v>134</v>
      </c>
      <c r="B602" s="324"/>
      <c r="C602" s="324"/>
      <c r="D602" s="324" t="s">
        <v>309</v>
      </c>
      <c r="E602" s="578" t="s">
        <v>2142</v>
      </c>
      <c r="F602" s="458">
        <v>32335</v>
      </c>
      <c r="G602" s="572">
        <v>32335</v>
      </c>
      <c r="H602" s="324" t="s">
        <v>420</v>
      </c>
      <c r="I602" s="324" t="s">
        <v>451</v>
      </c>
      <c r="J602" s="324" t="s">
        <v>313</v>
      </c>
      <c r="K602" s="324"/>
      <c r="L602" s="324"/>
      <c r="M602" s="324"/>
      <c r="N602" s="184"/>
      <c r="O602" s="184"/>
      <c r="P602" s="184"/>
      <c r="Q602" s="184"/>
      <c r="R602" s="184"/>
      <c r="S602" s="184"/>
      <c r="T602" s="184"/>
      <c r="U602" s="184"/>
      <c r="V602" s="184"/>
      <c r="W602" s="184"/>
      <c r="X602" s="184"/>
      <c r="Y602" s="184"/>
      <c r="Z602" s="184"/>
      <c r="AA602" s="184"/>
      <c r="AB602" s="184"/>
      <c r="AC602" s="184"/>
    </row>
    <row r="603" spans="1:29" ht="25.5" customHeight="1" x14ac:dyDescent="0.25">
      <c r="A603" s="324">
        <v>133</v>
      </c>
      <c r="B603" s="324"/>
      <c r="C603" s="324"/>
      <c r="D603" s="324" t="s">
        <v>309</v>
      </c>
      <c r="E603" s="578" t="s">
        <v>2144</v>
      </c>
      <c r="F603" s="458">
        <v>32335</v>
      </c>
      <c r="G603" s="572">
        <v>32335</v>
      </c>
      <c r="H603" s="324" t="s">
        <v>449</v>
      </c>
      <c r="I603" s="324" t="s">
        <v>450</v>
      </c>
      <c r="J603" s="324" t="s">
        <v>313</v>
      </c>
      <c r="K603" s="324"/>
      <c r="L603" s="324"/>
      <c r="M603" s="324"/>
      <c r="N603" s="184"/>
      <c r="O603" s="184"/>
      <c r="P603" s="184"/>
      <c r="Q603" s="184"/>
      <c r="R603" s="184"/>
      <c r="S603" s="184"/>
      <c r="T603" s="184"/>
      <c r="U603" s="184"/>
      <c r="V603" s="184"/>
      <c r="W603" s="184"/>
      <c r="X603" s="184"/>
      <c r="Y603" s="184"/>
      <c r="Z603" s="184"/>
      <c r="AA603" s="184"/>
      <c r="AB603" s="184"/>
      <c r="AC603" s="184"/>
    </row>
    <row r="604" spans="1:29" ht="25.5" customHeight="1" x14ac:dyDescent="0.25">
      <c r="A604" s="324">
        <v>135</v>
      </c>
      <c r="B604" s="324"/>
      <c r="C604" s="324"/>
      <c r="D604" s="324" t="s">
        <v>309</v>
      </c>
      <c r="E604" s="578" t="s">
        <v>2146</v>
      </c>
      <c r="F604" s="458">
        <v>32342</v>
      </c>
      <c r="G604" s="572">
        <v>32342</v>
      </c>
      <c r="H604" s="324" t="s">
        <v>452</v>
      </c>
      <c r="I604" s="324" t="s">
        <v>450</v>
      </c>
      <c r="J604" s="324" t="s">
        <v>313</v>
      </c>
      <c r="K604" s="324"/>
      <c r="L604" s="324"/>
      <c r="M604" s="324"/>
      <c r="N604" s="184"/>
      <c r="O604" s="184"/>
      <c r="P604" s="184"/>
      <c r="Q604" s="184"/>
      <c r="R604" s="184"/>
      <c r="S604" s="184"/>
      <c r="T604" s="184"/>
      <c r="U604" s="184"/>
      <c r="V604" s="184"/>
      <c r="W604" s="184"/>
      <c r="X604" s="184"/>
      <c r="Y604" s="184"/>
      <c r="Z604" s="184"/>
      <c r="AA604" s="184"/>
      <c r="AB604" s="184"/>
      <c r="AC604" s="184"/>
    </row>
    <row r="605" spans="1:29" ht="25.5" customHeight="1" x14ac:dyDescent="0.25">
      <c r="A605" s="324">
        <v>1</v>
      </c>
      <c r="B605" s="324"/>
      <c r="C605" s="324"/>
      <c r="D605" s="324" t="s">
        <v>238</v>
      </c>
      <c r="E605" s="578" t="s">
        <v>1058</v>
      </c>
      <c r="F605" s="458">
        <v>5913</v>
      </c>
      <c r="G605" s="572">
        <v>5913</v>
      </c>
      <c r="H605" s="324" t="s">
        <v>306</v>
      </c>
      <c r="I605" s="324" t="s">
        <v>307</v>
      </c>
      <c r="J605" s="324" t="s">
        <v>308</v>
      </c>
      <c r="K605" s="324"/>
      <c r="L605" s="324"/>
      <c r="M605" s="324"/>
      <c r="N605" s="184"/>
      <c r="O605" s="184"/>
      <c r="P605" s="184"/>
      <c r="Q605" s="184"/>
      <c r="R605" s="184"/>
      <c r="S605" s="184"/>
      <c r="T605" s="184"/>
      <c r="U605" s="184"/>
      <c r="V605" s="184"/>
      <c r="W605" s="184"/>
      <c r="X605" s="184"/>
      <c r="Y605" s="184"/>
      <c r="Z605" s="184"/>
      <c r="AA605" s="184"/>
      <c r="AB605" s="184"/>
      <c r="AC605" s="184"/>
    </row>
    <row r="606" spans="1:29" ht="25.5" customHeight="1" x14ac:dyDescent="0.25">
      <c r="A606" s="324">
        <v>26</v>
      </c>
      <c r="B606" s="324"/>
      <c r="C606" s="324"/>
      <c r="D606" s="324" t="s">
        <v>309</v>
      </c>
      <c r="E606" s="578" t="s">
        <v>1414</v>
      </c>
      <c r="F606" s="458">
        <v>22761</v>
      </c>
      <c r="G606" s="572">
        <v>22761</v>
      </c>
      <c r="H606" s="324" t="s">
        <v>345</v>
      </c>
      <c r="I606" s="324" t="s">
        <v>346</v>
      </c>
      <c r="J606" s="324" t="s">
        <v>308</v>
      </c>
      <c r="K606" s="324"/>
      <c r="L606" s="324"/>
      <c r="M606" s="324"/>
      <c r="N606" s="184"/>
      <c r="O606" s="184"/>
      <c r="P606" s="184"/>
      <c r="Q606" s="184"/>
      <c r="R606" s="184"/>
      <c r="S606" s="184"/>
      <c r="T606" s="184"/>
      <c r="U606" s="184"/>
      <c r="V606" s="184"/>
      <c r="W606" s="184"/>
      <c r="X606" s="184"/>
      <c r="Y606" s="184"/>
      <c r="Z606" s="184"/>
      <c r="AA606" s="184"/>
      <c r="AB606" s="184"/>
      <c r="AC606" s="184"/>
    </row>
    <row r="607" spans="1:29" ht="25.5" customHeight="1" x14ac:dyDescent="0.25">
      <c r="A607" s="324">
        <v>27</v>
      </c>
      <c r="B607" s="324"/>
      <c r="C607" s="324"/>
      <c r="D607" s="324" t="s">
        <v>309</v>
      </c>
      <c r="E607" s="578" t="s">
        <v>1417</v>
      </c>
      <c r="F607" s="458">
        <v>22761</v>
      </c>
      <c r="G607" s="572">
        <v>22761</v>
      </c>
      <c r="H607" s="324" t="s">
        <v>348</v>
      </c>
      <c r="I607" s="324" t="s">
        <v>346</v>
      </c>
      <c r="J607" s="324" t="s">
        <v>308</v>
      </c>
      <c r="K607" s="324"/>
      <c r="L607" s="324"/>
      <c r="M607" s="324"/>
      <c r="N607" s="184"/>
      <c r="O607" s="184"/>
      <c r="P607" s="184"/>
      <c r="Q607" s="184"/>
      <c r="R607" s="184"/>
      <c r="S607" s="184"/>
      <c r="T607" s="184"/>
      <c r="U607" s="184"/>
      <c r="V607" s="184"/>
      <c r="W607" s="184"/>
      <c r="X607" s="184"/>
      <c r="Y607" s="184"/>
      <c r="Z607" s="184"/>
      <c r="AA607" s="184"/>
      <c r="AB607" s="184"/>
      <c r="AC607" s="184"/>
    </row>
    <row r="608" spans="1:29" ht="25.5" customHeight="1" x14ac:dyDescent="0.25">
      <c r="A608" s="324">
        <v>28</v>
      </c>
      <c r="B608" s="324"/>
      <c r="C608" s="324"/>
      <c r="D608" s="324" t="s">
        <v>309</v>
      </c>
      <c r="E608" s="578" t="s">
        <v>1419</v>
      </c>
      <c r="F608" s="458">
        <v>22761</v>
      </c>
      <c r="G608" s="572">
        <v>22761</v>
      </c>
      <c r="H608" s="324" t="s">
        <v>340</v>
      </c>
      <c r="I608" s="324" t="s">
        <v>346</v>
      </c>
      <c r="J608" s="324" t="s">
        <v>308</v>
      </c>
      <c r="K608" s="324"/>
      <c r="L608" s="324"/>
      <c r="M608" s="324"/>
      <c r="N608" s="184"/>
      <c r="O608" s="184"/>
      <c r="P608" s="184"/>
      <c r="Q608" s="184"/>
      <c r="R608" s="184"/>
      <c r="S608" s="184"/>
      <c r="T608" s="184"/>
      <c r="U608" s="184"/>
      <c r="V608" s="184"/>
      <c r="W608" s="184"/>
      <c r="X608" s="184"/>
      <c r="Y608" s="184"/>
      <c r="Z608" s="184"/>
      <c r="AA608" s="184"/>
      <c r="AB608" s="184"/>
      <c r="AC608" s="184"/>
    </row>
    <row r="609" spans="1:29" ht="25.5" customHeight="1" x14ac:dyDescent="0.25">
      <c r="A609" s="324">
        <v>29</v>
      </c>
      <c r="B609" s="324"/>
      <c r="C609" s="324"/>
      <c r="D609" s="324" t="s">
        <v>309</v>
      </c>
      <c r="E609" s="578" t="s">
        <v>1421</v>
      </c>
      <c r="F609" s="458">
        <v>22761</v>
      </c>
      <c r="G609" s="572">
        <v>22761</v>
      </c>
      <c r="H609" s="324" t="s">
        <v>351</v>
      </c>
      <c r="I609" s="324" t="s">
        <v>346</v>
      </c>
      <c r="J609" s="324" t="s">
        <v>308</v>
      </c>
      <c r="K609" s="324"/>
      <c r="L609" s="324"/>
      <c r="M609" s="324"/>
      <c r="N609" s="184"/>
      <c r="O609" s="184"/>
      <c r="P609" s="184"/>
      <c r="Q609" s="184"/>
      <c r="R609" s="184"/>
      <c r="S609" s="184"/>
      <c r="T609" s="184"/>
      <c r="U609" s="184"/>
      <c r="V609" s="184"/>
      <c r="W609" s="184"/>
      <c r="X609" s="184"/>
      <c r="Y609" s="184"/>
      <c r="Z609" s="184"/>
      <c r="AA609" s="184"/>
      <c r="AB609" s="184"/>
      <c r="AC609" s="184"/>
    </row>
    <row r="610" spans="1:29" ht="25.5" customHeight="1" x14ac:dyDescent="0.25">
      <c r="A610" s="324">
        <v>30</v>
      </c>
      <c r="B610" s="324"/>
      <c r="C610" s="324"/>
      <c r="D610" s="324" t="s">
        <v>309</v>
      </c>
      <c r="E610" s="578" t="s">
        <v>1423</v>
      </c>
      <c r="F610" s="458">
        <v>22761</v>
      </c>
      <c r="G610" s="572">
        <v>22761</v>
      </c>
      <c r="H610" s="324" t="s">
        <v>353</v>
      </c>
      <c r="I610" s="324" t="s">
        <v>346</v>
      </c>
      <c r="J610" s="324" t="s">
        <v>313</v>
      </c>
      <c r="K610" s="324"/>
      <c r="L610" s="324"/>
      <c r="M610" s="324"/>
      <c r="N610" s="184"/>
      <c r="O610" s="184"/>
      <c r="P610" s="184"/>
      <c r="Q610" s="184"/>
      <c r="R610" s="184"/>
      <c r="S610" s="184"/>
      <c r="T610" s="184"/>
      <c r="U610" s="184"/>
      <c r="V610" s="184"/>
      <c r="W610" s="184"/>
      <c r="X610" s="184"/>
      <c r="Y610" s="184"/>
      <c r="Z610" s="184"/>
      <c r="AA610" s="184"/>
      <c r="AB610" s="184"/>
      <c r="AC610" s="184"/>
    </row>
    <row r="611" spans="1:29" ht="38.25" customHeight="1" x14ac:dyDescent="0.25">
      <c r="A611" s="324">
        <v>31</v>
      </c>
      <c r="B611" s="324"/>
      <c r="C611" s="324"/>
      <c r="D611" s="324" t="s">
        <v>309</v>
      </c>
      <c r="E611" s="578" t="s">
        <v>1425</v>
      </c>
      <c r="F611" s="458">
        <v>22761</v>
      </c>
      <c r="G611" s="572">
        <v>22761</v>
      </c>
      <c r="H611" s="324" t="s">
        <v>353</v>
      </c>
      <c r="I611" s="324" t="s">
        <v>346</v>
      </c>
      <c r="J611" s="324" t="s">
        <v>313</v>
      </c>
      <c r="K611" s="324"/>
      <c r="L611" s="324"/>
      <c r="M611" s="324"/>
      <c r="N611" s="184"/>
      <c r="O611" s="184"/>
      <c r="P611" s="184"/>
      <c r="Q611" s="184"/>
      <c r="R611" s="184"/>
      <c r="S611" s="184"/>
      <c r="T611" s="184"/>
      <c r="U611" s="184"/>
      <c r="V611" s="184"/>
      <c r="W611" s="184"/>
      <c r="X611" s="184"/>
      <c r="Y611" s="184"/>
      <c r="Z611" s="184"/>
      <c r="AA611" s="184"/>
      <c r="AB611" s="184"/>
      <c r="AC611" s="184"/>
    </row>
    <row r="612" spans="1:29" ht="25.5" customHeight="1" x14ac:dyDescent="0.25">
      <c r="A612" s="324">
        <v>32</v>
      </c>
      <c r="B612" s="324"/>
      <c r="C612" s="324"/>
      <c r="D612" s="324" t="s">
        <v>309</v>
      </c>
      <c r="E612" s="578" t="s">
        <v>1427</v>
      </c>
      <c r="F612" s="458">
        <v>22816</v>
      </c>
      <c r="G612" s="572">
        <v>22816</v>
      </c>
      <c r="H612" s="324" t="s">
        <v>353</v>
      </c>
      <c r="I612" s="324" t="s">
        <v>346</v>
      </c>
      <c r="J612" s="324" t="s">
        <v>313</v>
      </c>
      <c r="K612" s="324"/>
      <c r="L612" s="324"/>
      <c r="M612" s="324"/>
      <c r="N612" s="184"/>
      <c r="O612" s="184"/>
      <c r="P612" s="184"/>
      <c r="Q612" s="184"/>
      <c r="R612" s="184"/>
      <c r="S612" s="184"/>
      <c r="T612" s="184"/>
      <c r="U612" s="184"/>
      <c r="V612" s="184"/>
      <c r="W612" s="184"/>
      <c r="X612" s="184"/>
      <c r="Y612" s="184"/>
      <c r="Z612" s="184"/>
      <c r="AA612" s="184"/>
      <c r="AB612" s="184"/>
      <c r="AC612" s="184"/>
    </row>
    <row r="613" spans="1:29" ht="25.5" customHeight="1" x14ac:dyDescent="0.25">
      <c r="A613" s="324">
        <v>33</v>
      </c>
      <c r="B613" s="324"/>
      <c r="C613" s="324"/>
      <c r="D613" s="324" t="s">
        <v>309</v>
      </c>
      <c r="E613" s="578" t="s">
        <v>1429</v>
      </c>
      <c r="F613" s="458">
        <v>22816</v>
      </c>
      <c r="G613" s="572">
        <v>22816</v>
      </c>
      <c r="H613" s="324" t="s">
        <v>353</v>
      </c>
      <c r="I613" s="324" t="s">
        <v>346</v>
      </c>
      <c r="J613" s="324" t="s">
        <v>313</v>
      </c>
      <c r="K613" s="324"/>
      <c r="L613" s="324"/>
      <c r="M613" s="324"/>
      <c r="N613" s="184"/>
      <c r="O613" s="184"/>
      <c r="P613" s="184"/>
      <c r="Q613" s="184"/>
      <c r="R613" s="184"/>
      <c r="S613" s="184"/>
      <c r="T613" s="184"/>
      <c r="U613" s="184"/>
      <c r="V613" s="184"/>
      <c r="W613" s="184"/>
      <c r="X613" s="184"/>
      <c r="Y613" s="184"/>
      <c r="Z613" s="184"/>
      <c r="AA613" s="184"/>
      <c r="AB613" s="184"/>
      <c r="AC613" s="184"/>
    </row>
    <row r="614" spans="1:29" ht="38.25" customHeight="1" x14ac:dyDescent="0.25">
      <c r="A614" s="324">
        <v>34</v>
      </c>
      <c r="B614" s="324"/>
      <c r="C614" s="324"/>
      <c r="D614" s="324" t="s">
        <v>309</v>
      </c>
      <c r="E614" s="578" t="s">
        <v>1435</v>
      </c>
      <c r="F614" s="458">
        <v>22906</v>
      </c>
      <c r="G614" s="572">
        <v>22906</v>
      </c>
      <c r="H614" s="324" t="s">
        <v>358</v>
      </c>
      <c r="I614" s="324" t="s">
        <v>359</v>
      </c>
      <c r="J614" s="324" t="s">
        <v>308</v>
      </c>
      <c r="K614" s="324"/>
      <c r="L614" s="324"/>
      <c r="M614" s="324"/>
      <c r="N614" s="184"/>
      <c r="O614" s="184"/>
      <c r="P614" s="184"/>
      <c r="Q614" s="184"/>
      <c r="R614" s="184"/>
      <c r="S614" s="184"/>
      <c r="T614" s="184"/>
      <c r="U614" s="184"/>
      <c r="V614" s="184"/>
      <c r="W614" s="184"/>
      <c r="X614" s="184"/>
      <c r="Y614" s="184"/>
      <c r="Z614" s="184"/>
      <c r="AA614" s="184"/>
      <c r="AB614" s="184"/>
      <c r="AC614" s="184"/>
    </row>
    <row r="615" spans="1:29" ht="25.5" customHeight="1" x14ac:dyDescent="0.25">
      <c r="A615" s="324">
        <v>35</v>
      </c>
      <c r="B615" s="324"/>
      <c r="C615" s="324"/>
      <c r="D615" s="324" t="s">
        <v>309</v>
      </c>
      <c r="E615" s="578" t="s">
        <v>1443</v>
      </c>
      <c r="F615" s="458">
        <v>22913</v>
      </c>
      <c r="G615" s="572">
        <v>22913</v>
      </c>
      <c r="H615" s="324" t="s">
        <v>361</v>
      </c>
      <c r="I615" s="324" t="s">
        <v>362</v>
      </c>
      <c r="J615" s="324" t="s">
        <v>313</v>
      </c>
      <c r="K615" s="324"/>
      <c r="L615" s="324"/>
      <c r="M615" s="324"/>
      <c r="N615" s="184"/>
      <c r="O615" s="184"/>
      <c r="P615" s="184"/>
      <c r="Q615" s="184"/>
      <c r="R615" s="184"/>
      <c r="S615" s="184"/>
      <c r="T615" s="184"/>
      <c r="U615" s="184"/>
      <c r="V615" s="184"/>
      <c r="W615" s="184"/>
      <c r="X615" s="184"/>
      <c r="Y615" s="184"/>
      <c r="Z615" s="184"/>
      <c r="AA615" s="184"/>
      <c r="AB615" s="184"/>
      <c r="AC615" s="184"/>
    </row>
    <row r="616" spans="1:29" ht="38.25" customHeight="1" x14ac:dyDescent="0.25">
      <c r="A616" s="324">
        <v>36</v>
      </c>
      <c r="B616" s="324"/>
      <c r="C616" s="324"/>
      <c r="D616" s="324" t="s">
        <v>309</v>
      </c>
      <c r="E616" s="578" t="s">
        <v>1474</v>
      </c>
      <c r="F616" s="458">
        <v>24512</v>
      </c>
      <c r="G616" s="572">
        <v>24512</v>
      </c>
      <c r="H616" s="324" t="s">
        <v>364</v>
      </c>
      <c r="I616" s="324" t="s">
        <v>365</v>
      </c>
      <c r="J616" s="324" t="s">
        <v>313</v>
      </c>
      <c r="K616" s="324"/>
      <c r="L616" s="324"/>
      <c r="M616" s="324"/>
      <c r="N616" s="184"/>
      <c r="O616" s="184"/>
      <c r="P616" s="184"/>
      <c r="Q616" s="184"/>
      <c r="R616" s="184"/>
      <c r="S616" s="184"/>
      <c r="T616" s="184"/>
      <c r="U616" s="184"/>
      <c r="V616" s="184"/>
      <c r="W616" s="184"/>
      <c r="X616" s="184"/>
      <c r="Y616" s="184"/>
      <c r="Z616" s="184"/>
      <c r="AA616" s="184"/>
      <c r="AB616" s="184"/>
      <c r="AC616" s="184"/>
    </row>
  </sheetData>
  <autoFilter ref="A1:AC1" xr:uid="{00000000-0001-0000-0300-000000000000}">
    <sortState xmlns:xlrd2="http://schemas.microsoft.com/office/spreadsheetml/2017/richdata2" ref="A2:AC616">
      <sortCondition ref="E1"/>
    </sortState>
  </autoFilter>
  <pageMargins left="0.7" right="0.7" top="0.75" bottom="0.75" header="0.3" footer="0.3"/>
  <pageSetup paperSize="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1273"/>
  <sheetViews>
    <sheetView tabSelected="1" view="pageBreakPreview" zoomScaleNormal="95" zoomScaleSheetLayoutView="100" workbookViewId="0">
      <pane ySplit="1" topLeftCell="A427" activePane="bottomLeft" state="frozen"/>
      <selection pane="bottomLeft" activeCell="J430" sqref="J430"/>
    </sheetView>
  </sheetViews>
  <sheetFormatPr defaultColWidth="22.7109375" defaultRowHeight="15" x14ac:dyDescent="0.25"/>
  <cols>
    <col min="1" max="1" width="13.5703125" style="187" customWidth="1"/>
    <col min="2" max="2" width="6.42578125" style="187" customWidth="1"/>
    <col min="3" max="3" width="22.7109375" style="187" customWidth="1"/>
    <col min="4" max="4" width="10.85546875" style="188" customWidth="1"/>
    <col min="5" max="5" width="17.42578125" style="188" customWidth="1"/>
    <col min="6" max="6" width="15.5703125" style="260" customWidth="1"/>
    <col min="7" max="7" width="29" style="189" customWidth="1"/>
    <col min="8" max="8" width="29.28515625" style="189" customWidth="1"/>
    <col min="9" max="9" width="22.7109375" style="189" customWidth="1"/>
    <col min="10" max="10" width="29.7109375" style="185" customWidth="1"/>
    <col min="11" max="11" width="22.7109375" style="185" customWidth="1"/>
    <col min="12" max="20" width="22.7109375" customWidth="1"/>
    <col min="21" max="21" width="22.7109375" style="185" customWidth="1"/>
    <col min="22" max="16384" width="22.7109375" style="185"/>
  </cols>
  <sheetData>
    <row r="1" spans="1:20" s="183" customFormat="1" ht="12.75" x14ac:dyDescent="0.2">
      <c r="A1" s="262" t="s">
        <v>956</v>
      </c>
      <c r="B1" s="263" t="s">
        <v>957</v>
      </c>
      <c r="C1" s="590" t="s">
        <v>958</v>
      </c>
      <c r="D1" s="263" t="s">
        <v>959</v>
      </c>
      <c r="E1" s="263" t="s">
        <v>960</v>
      </c>
      <c r="F1" s="263" t="s">
        <v>961</v>
      </c>
      <c r="G1" s="263" t="s">
        <v>225</v>
      </c>
      <c r="H1" s="263" t="s">
        <v>226</v>
      </c>
      <c r="I1" s="263" t="s">
        <v>227</v>
      </c>
      <c r="J1" s="263" t="s">
        <v>148</v>
      </c>
      <c r="K1" s="263" t="s">
        <v>962</v>
      </c>
    </row>
    <row r="2" spans="1:20" s="597" customFormat="1" ht="12.75" x14ac:dyDescent="0.2">
      <c r="A2" s="580" t="s">
        <v>968</v>
      </c>
      <c r="B2" s="580"/>
      <c r="C2" s="580" t="s">
        <v>969</v>
      </c>
      <c r="D2" s="580" t="s">
        <v>970</v>
      </c>
      <c r="E2" s="582">
        <v>2062</v>
      </c>
      <c r="F2" s="582">
        <v>2063</v>
      </c>
      <c r="G2" s="580" t="s">
        <v>971</v>
      </c>
      <c r="H2" s="580" t="s">
        <v>972</v>
      </c>
      <c r="I2" s="581" t="s">
        <v>8702</v>
      </c>
      <c r="J2" s="581" t="s">
        <v>973</v>
      </c>
      <c r="K2" s="584" t="str">
        <f>HYPERLINK("https://okcountyrecords.com/detail/roger+mills/1905-000429","OKCountyRecords: 1905-000429")</f>
        <v>OKCountyRecords: 1905-000429</v>
      </c>
    </row>
    <row r="3" spans="1:20" s="597" customFormat="1" x14ac:dyDescent="0.25">
      <c r="A3" s="580" t="s">
        <v>974</v>
      </c>
      <c r="B3" s="580"/>
      <c r="C3" s="580" t="s">
        <v>969</v>
      </c>
      <c r="D3" s="580" t="s">
        <v>975</v>
      </c>
      <c r="E3" s="582">
        <v>2592</v>
      </c>
      <c r="F3" s="582">
        <v>2601</v>
      </c>
      <c r="G3" s="581" t="s">
        <v>8661</v>
      </c>
      <c r="H3" s="580" t="s">
        <v>977</v>
      </c>
      <c r="I3" s="581" t="s">
        <v>8703</v>
      </c>
      <c r="J3" s="581" t="s">
        <v>973</v>
      </c>
      <c r="K3" s="584" t="str">
        <f>HYPERLINK("https://okcountyrecords.com/detail/roger+mills/1907-000709","OKCountyRecords: 1907-000709")</f>
        <v>OKCountyRecords: 1907-000709</v>
      </c>
      <c r="L3" s="598"/>
      <c r="M3" s="598"/>
      <c r="N3" s="598"/>
      <c r="O3" s="598"/>
      <c r="P3" s="598"/>
      <c r="Q3" s="598"/>
      <c r="R3" s="598"/>
      <c r="S3" s="598"/>
      <c r="T3" s="598"/>
    </row>
    <row r="4" spans="1:20" s="597" customFormat="1" x14ac:dyDescent="0.25">
      <c r="A4" s="580" t="s">
        <v>1028</v>
      </c>
      <c r="B4" s="580"/>
      <c r="C4" s="580" t="s">
        <v>969</v>
      </c>
      <c r="D4" s="580" t="s">
        <v>1029</v>
      </c>
      <c r="E4" s="582">
        <v>4759</v>
      </c>
      <c r="F4" s="582">
        <v>4759</v>
      </c>
      <c r="G4" s="581" t="s">
        <v>8660</v>
      </c>
      <c r="H4" s="580" t="s">
        <v>317</v>
      </c>
      <c r="I4" s="581" t="s">
        <v>8704</v>
      </c>
      <c r="J4" s="581" t="s">
        <v>973</v>
      </c>
      <c r="K4" s="584" t="str">
        <f>HYPERLINK("https://okcountyrecords.com/detail/roger+mills/1913-000413","OKCountyRecords: 1913-000413")</f>
        <v>OKCountyRecords: 1913-000413</v>
      </c>
      <c r="L4" s="598"/>
      <c r="M4" s="598"/>
      <c r="N4" s="598"/>
      <c r="O4" s="598"/>
      <c r="P4" s="598"/>
      <c r="Q4" s="598"/>
      <c r="R4" s="598"/>
      <c r="S4" s="598"/>
      <c r="T4" s="598"/>
    </row>
    <row r="5" spans="1:20" s="186" customFormat="1" ht="12.75" hidden="1" x14ac:dyDescent="0.2">
      <c r="A5" s="355" t="s">
        <v>1057</v>
      </c>
      <c r="B5" s="355"/>
      <c r="C5" s="355" t="s">
        <v>238</v>
      </c>
      <c r="D5" s="355" t="s">
        <v>1058</v>
      </c>
      <c r="E5" s="460">
        <v>5913</v>
      </c>
      <c r="F5" s="356">
        <v>5913</v>
      </c>
      <c r="G5" s="355" t="s">
        <v>306</v>
      </c>
      <c r="H5" s="355" t="s">
        <v>307</v>
      </c>
      <c r="I5" s="357" t="s">
        <v>308</v>
      </c>
      <c r="J5" s="357" t="s">
        <v>996</v>
      </c>
      <c r="K5" s="426" t="str">
        <f>HYPERLINK("https://okcountyrecords.com/detail/roger+mills/1916-001105","OKCountyRecords: 1916-001105")</f>
        <v>OKCountyRecords: 1916-001105</v>
      </c>
    </row>
    <row r="6" spans="1:20" s="330" customFormat="1" ht="25.5" hidden="1" x14ac:dyDescent="0.25">
      <c r="A6" s="355" t="s">
        <v>1066</v>
      </c>
      <c r="B6" s="355"/>
      <c r="C6" s="355" t="s">
        <v>309</v>
      </c>
      <c r="D6" s="355" t="s">
        <v>1067</v>
      </c>
      <c r="E6" s="460">
        <v>6333</v>
      </c>
      <c r="F6" s="356">
        <v>6333</v>
      </c>
      <c r="G6" s="357" t="s">
        <v>310</v>
      </c>
      <c r="H6" s="355" t="s">
        <v>1068</v>
      </c>
      <c r="I6" s="357" t="s">
        <v>1012</v>
      </c>
      <c r="J6" s="357" t="s">
        <v>996</v>
      </c>
      <c r="K6" s="426" t="str">
        <f>HYPERLINK("https://okcountyrecords.com/detail/roger+mills/1917-003351","OKCountyRecords: 1917-003351")</f>
        <v>OKCountyRecords: 1917-003351</v>
      </c>
      <c r="L6" s="329"/>
      <c r="M6" s="329"/>
      <c r="N6" s="329"/>
      <c r="O6" s="329"/>
      <c r="P6" s="329"/>
      <c r="Q6" s="329"/>
      <c r="R6" s="329"/>
      <c r="S6" s="329"/>
      <c r="T6" s="329"/>
    </row>
    <row r="7" spans="1:20" s="186" customFormat="1" ht="12.75" hidden="1" x14ac:dyDescent="0.2">
      <c r="A7" s="355" t="s">
        <v>1069</v>
      </c>
      <c r="B7" s="355"/>
      <c r="C7" s="355" t="s">
        <v>309</v>
      </c>
      <c r="D7" s="355" t="s">
        <v>1070</v>
      </c>
      <c r="E7" s="460">
        <v>6333</v>
      </c>
      <c r="F7" s="356">
        <v>6333</v>
      </c>
      <c r="G7" s="355" t="s">
        <v>312</v>
      </c>
      <c r="H7" s="355" t="s">
        <v>1068</v>
      </c>
      <c r="I7" s="357" t="s">
        <v>242</v>
      </c>
      <c r="J7" s="357" t="s">
        <v>996</v>
      </c>
      <c r="K7" s="426" t="str">
        <f>HYPERLINK("https://okcountyrecords.com/detail/roger+mills/1917-003354","OKCountyRecords: 1917-003354")</f>
        <v>OKCountyRecords: 1917-003354</v>
      </c>
    </row>
    <row r="8" spans="1:20" s="186" customFormat="1" ht="25.5" hidden="1" x14ac:dyDescent="0.2">
      <c r="A8" s="355" t="s">
        <v>1071</v>
      </c>
      <c r="B8" s="355"/>
      <c r="C8" s="355" t="s">
        <v>309</v>
      </c>
      <c r="D8" s="355" t="s">
        <v>1072</v>
      </c>
      <c r="E8" s="460">
        <v>6399</v>
      </c>
      <c r="F8" s="356">
        <v>6399</v>
      </c>
      <c r="G8" s="357" t="s">
        <v>314</v>
      </c>
      <c r="H8" s="355" t="s">
        <v>315</v>
      </c>
      <c r="I8" s="357" t="s">
        <v>242</v>
      </c>
      <c r="J8" s="357" t="s">
        <v>996</v>
      </c>
      <c r="K8" s="426" t="str">
        <f>HYPERLINK("https://okcountyrecords.com/detail/roger+mills/1917-003731","OKCountyRecords: 1917-003731")</f>
        <v>OKCountyRecords: 1917-003731</v>
      </c>
    </row>
    <row r="9" spans="1:20" s="186" customFormat="1" ht="25.5" hidden="1" x14ac:dyDescent="0.2">
      <c r="A9" s="355" t="s">
        <v>1073</v>
      </c>
      <c r="B9" s="355"/>
      <c r="C9" s="355" t="s">
        <v>309</v>
      </c>
      <c r="D9" s="355" t="s">
        <v>1074</v>
      </c>
      <c r="E9" s="460">
        <v>6399</v>
      </c>
      <c r="F9" s="356">
        <v>6399</v>
      </c>
      <c r="G9" s="357" t="s">
        <v>316</v>
      </c>
      <c r="H9" s="355" t="s">
        <v>315</v>
      </c>
      <c r="I9" s="357" t="s">
        <v>242</v>
      </c>
      <c r="J9" s="357" t="s">
        <v>996</v>
      </c>
      <c r="K9" s="426" t="str">
        <f>HYPERLINK("https://okcountyrecords.com/detail/roger+mills/1917-003743","OKCountyRecords: 1917-003743")</f>
        <v>OKCountyRecords: 1917-003743</v>
      </c>
    </row>
    <row r="10" spans="1:20" s="186" customFormat="1" ht="25.5" hidden="1" x14ac:dyDescent="0.2">
      <c r="A10" s="355" t="s">
        <v>1078</v>
      </c>
      <c r="B10" s="355"/>
      <c r="C10" s="355" t="s">
        <v>993</v>
      </c>
      <c r="D10" s="355" t="s">
        <v>1079</v>
      </c>
      <c r="E10" s="460">
        <v>6589</v>
      </c>
      <c r="F10" s="356">
        <v>6589</v>
      </c>
      <c r="G10" s="355" t="s">
        <v>1080</v>
      </c>
      <c r="H10" s="357" t="s">
        <v>314</v>
      </c>
      <c r="I10" s="357" t="s">
        <v>242</v>
      </c>
      <c r="J10" s="357" t="s">
        <v>996</v>
      </c>
      <c r="K10" s="426" t="str">
        <f>HYPERLINK("https://okcountyrecords.com/detail/roger+mills/1918-002463","OKCountyRecords: 1918-002463")</f>
        <v>OKCountyRecords: 1918-002463</v>
      </c>
    </row>
    <row r="11" spans="1:20" s="186" customFormat="1" ht="25.5" hidden="1" x14ac:dyDescent="0.2">
      <c r="A11" s="355" t="s">
        <v>1081</v>
      </c>
      <c r="B11" s="355"/>
      <c r="C11" s="355" t="s">
        <v>993</v>
      </c>
      <c r="D11" s="355" t="s">
        <v>1082</v>
      </c>
      <c r="E11" s="460">
        <v>6596</v>
      </c>
      <c r="F11" s="356">
        <v>6596</v>
      </c>
      <c r="G11" s="355" t="s">
        <v>1052</v>
      </c>
      <c r="H11" s="357" t="s">
        <v>1083</v>
      </c>
      <c r="I11" s="357" t="s">
        <v>242</v>
      </c>
      <c r="J11" s="357" t="s">
        <v>996</v>
      </c>
      <c r="K11" s="426" t="str">
        <f>HYPERLINK("https://okcountyrecords.com/detail/roger+mills/1918-002091","OKCountyRecords: 1918-002091")</f>
        <v>OKCountyRecords: 1918-002091</v>
      </c>
    </row>
    <row r="12" spans="1:20" s="186" customFormat="1" ht="25.5" hidden="1" x14ac:dyDescent="0.2">
      <c r="A12" s="355" t="s">
        <v>1096</v>
      </c>
      <c r="B12" s="355"/>
      <c r="C12" s="355" t="s">
        <v>309</v>
      </c>
      <c r="D12" s="355" t="s">
        <v>1097</v>
      </c>
      <c r="E12" s="460">
        <v>7090</v>
      </c>
      <c r="F12" s="356">
        <v>7090</v>
      </c>
      <c r="G12" s="357" t="s">
        <v>317</v>
      </c>
      <c r="H12" s="355" t="s">
        <v>318</v>
      </c>
      <c r="I12" s="357" t="s">
        <v>242</v>
      </c>
      <c r="J12" s="357" t="s">
        <v>996</v>
      </c>
      <c r="K12" s="426" t="str">
        <f>HYPERLINK("https://okcountyrecords.com/detail/roger+mills/1919-002106","OKCountyRecords: 1919-002106")</f>
        <v>OKCountyRecords: 1919-002106</v>
      </c>
    </row>
    <row r="13" spans="1:20" s="186" customFormat="1" ht="12.75" hidden="1" x14ac:dyDescent="0.2">
      <c r="A13" s="355" t="s">
        <v>1114</v>
      </c>
      <c r="B13" s="355"/>
      <c r="C13" s="355" t="s">
        <v>114</v>
      </c>
      <c r="D13" s="355" t="s">
        <v>1115</v>
      </c>
      <c r="E13" s="460">
        <v>7317</v>
      </c>
      <c r="F13" s="356">
        <v>7317</v>
      </c>
      <c r="G13" s="355" t="s">
        <v>1116</v>
      </c>
      <c r="H13" s="355" t="s">
        <v>1117</v>
      </c>
      <c r="I13" s="358" t="s">
        <v>242</v>
      </c>
      <c r="J13" s="357" t="s">
        <v>996</v>
      </c>
      <c r="K13" s="426" t="str">
        <f>HYPERLINK("https://okcountyrecords.com/detail/roger+mills/1920-000012","OKCountyRecords: 1920-000012")</f>
        <v>OKCountyRecords: 1920-000012</v>
      </c>
    </row>
    <row r="14" spans="1:20" s="186" customFormat="1" ht="25.5" hidden="1" x14ac:dyDescent="0.2">
      <c r="A14" s="355" t="s">
        <v>1118</v>
      </c>
      <c r="B14" s="355"/>
      <c r="C14" s="355" t="s">
        <v>309</v>
      </c>
      <c r="D14" s="355" t="s">
        <v>1119</v>
      </c>
      <c r="E14" s="460">
        <v>7341</v>
      </c>
      <c r="F14" s="356">
        <v>7341</v>
      </c>
      <c r="G14" s="357" t="s">
        <v>321</v>
      </c>
      <c r="H14" s="355" t="s">
        <v>322</v>
      </c>
      <c r="I14" s="357" t="s">
        <v>1012</v>
      </c>
      <c r="J14" s="357" t="s">
        <v>996</v>
      </c>
      <c r="K14" s="426" t="str">
        <f>HYPERLINK("https://okcountyrecords.com/detail/roger+mills/1920-002046","OKCountyRecords: 1920-002046")</f>
        <v>OKCountyRecords: 1920-002046</v>
      </c>
    </row>
    <row r="15" spans="1:20" s="186" customFormat="1" ht="25.5" hidden="1" x14ac:dyDescent="0.2">
      <c r="A15" s="355" t="s">
        <v>1122</v>
      </c>
      <c r="B15" s="355"/>
      <c r="C15" s="355" t="s">
        <v>993</v>
      </c>
      <c r="D15" s="355" t="s">
        <v>1123</v>
      </c>
      <c r="E15" s="460">
        <v>7682</v>
      </c>
      <c r="F15" s="356">
        <v>7682</v>
      </c>
      <c r="G15" s="355" t="s">
        <v>1124</v>
      </c>
      <c r="H15" s="357" t="s">
        <v>1125</v>
      </c>
      <c r="I15" s="357" t="s">
        <v>1012</v>
      </c>
      <c r="J15" s="357" t="s">
        <v>996</v>
      </c>
      <c r="K15" s="426" t="str">
        <f>HYPERLINK("https://okcountyrecords.com/detail/roger+mills/1921-001533","OKCountyRecords: 1921-001533")</f>
        <v>OKCountyRecords: 1921-001533</v>
      </c>
    </row>
    <row r="16" spans="1:20" s="186" customFormat="1" ht="25.5" hidden="1" x14ac:dyDescent="0.2">
      <c r="A16" s="355" t="s">
        <v>1150</v>
      </c>
      <c r="B16" s="355"/>
      <c r="C16" s="355" t="s">
        <v>309</v>
      </c>
      <c r="D16" s="355" t="s">
        <v>1151</v>
      </c>
      <c r="E16" s="460">
        <v>8513</v>
      </c>
      <c r="F16" s="356">
        <v>8513</v>
      </c>
      <c r="G16" s="357" t="s">
        <v>323</v>
      </c>
      <c r="H16" s="355" t="s">
        <v>324</v>
      </c>
      <c r="I16" s="357" t="s">
        <v>242</v>
      </c>
      <c r="J16" s="357" t="s">
        <v>996</v>
      </c>
      <c r="K16" s="426" t="str">
        <f>HYPERLINK("https://okcountyrecords.com/detail/roger+mills/1923-002282","OKCountyRecords: 1923-002282")</f>
        <v>OKCountyRecords: 1923-002282</v>
      </c>
    </row>
    <row r="17" spans="1:11" s="597" customFormat="1" ht="12.75" x14ac:dyDescent="0.2">
      <c r="A17" s="580" t="s">
        <v>1155</v>
      </c>
      <c r="B17" s="580"/>
      <c r="C17" s="580" t="s">
        <v>969</v>
      </c>
      <c r="D17" s="580" t="s">
        <v>1156</v>
      </c>
      <c r="E17" s="582">
        <v>9137</v>
      </c>
      <c r="F17" s="582">
        <v>9137</v>
      </c>
      <c r="G17" s="581" t="s">
        <v>8715</v>
      </c>
      <c r="H17" s="580" t="s">
        <v>1158</v>
      </c>
      <c r="I17" s="581" t="s">
        <v>8716</v>
      </c>
      <c r="J17" s="581" t="s">
        <v>973</v>
      </c>
      <c r="K17" s="584" t="str">
        <f>HYPERLINK("https://okcountyrecords.com/detail/roger+mills/1925-000406","OKCountyRecords: 1925-000406")</f>
        <v>OKCountyRecords: 1925-000406</v>
      </c>
    </row>
    <row r="18" spans="1:11" s="186" customFormat="1" ht="25.5" hidden="1" x14ac:dyDescent="0.2">
      <c r="A18" s="355" t="s">
        <v>1170</v>
      </c>
      <c r="B18" s="355"/>
      <c r="C18" s="355" t="s">
        <v>993</v>
      </c>
      <c r="D18" s="355" t="s">
        <v>1171</v>
      </c>
      <c r="E18" s="460">
        <v>10238</v>
      </c>
      <c r="F18" s="356">
        <v>10238</v>
      </c>
      <c r="G18" s="355" t="s">
        <v>1052</v>
      </c>
      <c r="H18" s="357" t="s">
        <v>314</v>
      </c>
      <c r="I18" s="357" t="s">
        <v>242</v>
      </c>
      <c r="J18" s="357" t="s">
        <v>996</v>
      </c>
      <c r="K18" s="426" t="str">
        <f>HYPERLINK("https://okcountyrecords.com/detail/roger+mills/1928-002014","OKCountyRecords: 1928-002014")</f>
        <v>OKCountyRecords: 1928-002014</v>
      </c>
    </row>
    <row r="19" spans="1:11" s="186" customFormat="1" ht="25.5" hidden="1" x14ac:dyDescent="0.2">
      <c r="A19" s="355" t="s">
        <v>1174</v>
      </c>
      <c r="B19" s="355"/>
      <c r="C19" s="355" t="s">
        <v>993</v>
      </c>
      <c r="D19" s="355" t="s">
        <v>1175</v>
      </c>
      <c r="E19" s="460">
        <v>10964</v>
      </c>
      <c r="F19" s="356">
        <v>10964</v>
      </c>
      <c r="G19" s="355" t="s">
        <v>1176</v>
      </c>
      <c r="H19" s="357" t="s">
        <v>1128</v>
      </c>
      <c r="I19" s="357" t="s">
        <v>1012</v>
      </c>
      <c r="J19" s="357" t="s">
        <v>996</v>
      </c>
      <c r="K19" s="426" t="str">
        <f>HYPERLINK("https://okcountyrecords.com/detail/roger+mills/1930-003190","OKCountyRecords: 1930-003190")</f>
        <v>OKCountyRecords: 1930-003190</v>
      </c>
    </row>
    <row r="20" spans="1:11" s="186" customFormat="1" ht="25.5" hidden="1" x14ac:dyDescent="0.2">
      <c r="A20" s="355" t="s">
        <v>1187</v>
      </c>
      <c r="B20" s="355"/>
      <c r="C20" s="355" t="s">
        <v>309</v>
      </c>
      <c r="D20" s="355" t="s">
        <v>1188</v>
      </c>
      <c r="E20" s="460">
        <v>11164</v>
      </c>
      <c r="F20" s="356">
        <v>11164</v>
      </c>
      <c r="G20" s="357" t="s">
        <v>325</v>
      </c>
      <c r="H20" s="355" t="s">
        <v>326</v>
      </c>
      <c r="I20" s="357" t="s">
        <v>1012</v>
      </c>
      <c r="J20" s="357" t="s">
        <v>996</v>
      </c>
      <c r="K20" s="426" t="str">
        <f>HYPERLINK("https://okcountyrecords.com/detail/roger+mills/1930-002708","OKCountyRecords: 1930-002708")</f>
        <v>OKCountyRecords: 1930-002708</v>
      </c>
    </row>
    <row r="21" spans="1:11" s="186" customFormat="1" ht="12.75" hidden="1" x14ac:dyDescent="0.2">
      <c r="A21" s="355" t="s">
        <v>1209</v>
      </c>
      <c r="B21" s="355"/>
      <c r="C21" s="355" t="s">
        <v>309</v>
      </c>
      <c r="D21" s="355" t="s">
        <v>1210</v>
      </c>
      <c r="E21" s="460">
        <v>11364</v>
      </c>
      <c r="F21" s="356">
        <v>11364</v>
      </c>
      <c r="G21" s="355" t="s">
        <v>331</v>
      </c>
      <c r="H21" s="355" t="s">
        <v>326</v>
      </c>
      <c r="I21" s="357" t="s">
        <v>242</v>
      </c>
      <c r="J21" s="357" t="s">
        <v>996</v>
      </c>
      <c r="K21" s="426" t="str">
        <f>HYPERLINK("https://okcountyrecords.com/detail/roger+mills/1931-001768","OKCountyRecords: 1931-001768")</f>
        <v>OKCountyRecords: 1931-001768</v>
      </c>
    </row>
    <row r="22" spans="1:11" s="597" customFormat="1" ht="12.75" x14ac:dyDescent="0.2">
      <c r="A22" s="580" t="s">
        <v>3160</v>
      </c>
      <c r="B22" s="580"/>
      <c r="C22" s="581" t="s">
        <v>8712</v>
      </c>
      <c r="D22" s="580" t="s">
        <v>3161</v>
      </c>
      <c r="E22" s="582">
        <v>12655</v>
      </c>
      <c r="F22" s="582">
        <v>38695</v>
      </c>
      <c r="G22" s="581" t="s">
        <v>8713</v>
      </c>
      <c r="H22" s="581" t="s">
        <v>8714</v>
      </c>
      <c r="I22" s="580" t="s">
        <v>3162</v>
      </c>
      <c r="J22" s="581" t="s">
        <v>973</v>
      </c>
      <c r="K22" s="584" t="str">
        <f>HYPERLINK("https://okcountyrecords.com/detail/roger+mills/2005-008386","OKCountyRecords: 2005-008386")</f>
        <v>OKCountyRecords: 2005-008386</v>
      </c>
    </row>
    <row r="23" spans="1:11" s="597" customFormat="1" ht="12.75" x14ac:dyDescent="0.2">
      <c r="A23" s="580" t="s">
        <v>1248</v>
      </c>
      <c r="B23" s="580"/>
      <c r="C23" s="581" t="s">
        <v>2430</v>
      </c>
      <c r="D23" s="580" t="s">
        <v>1249</v>
      </c>
      <c r="E23" s="582">
        <v>13545</v>
      </c>
      <c r="F23" s="582">
        <v>13545</v>
      </c>
      <c r="G23" s="581" t="s">
        <v>8710</v>
      </c>
      <c r="H23" s="580" t="s">
        <v>1243</v>
      </c>
      <c r="I23" s="580" t="s">
        <v>3162</v>
      </c>
      <c r="J23" s="581" t="s">
        <v>8711</v>
      </c>
      <c r="K23" s="584" t="str">
        <f>HYPERLINK("https://okcountyrecords.com/detail/roger+mills/1937-000416","OKCountyRecords: 1937-000416")</f>
        <v>OKCountyRecords: 1937-000416</v>
      </c>
    </row>
    <row r="24" spans="1:11" s="597" customFormat="1" ht="12.75" x14ac:dyDescent="0.2">
      <c r="A24" s="580" t="s">
        <v>1280</v>
      </c>
      <c r="B24" s="580"/>
      <c r="C24" s="580" t="s">
        <v>1274</v>
      </c>
      <c r="D24" s="580" t="s">
        <v>1281</v>
      </c>
      <c r="E24" s="582">
        <v>16439</v>
      </c>
      <c r="F24" s="582">
        <v>16439</v>
      </c>
      <c r="G24" s="581" t="s">
        <v>8717</v>
      </c>
      <c r="H24" s="581" t="s">
        <v>8718</v>
      </c>
      <c r="I24" s="581" t="s">
        <v>3988</v>
      </c>
      <c r="J24" s="581" t="s">
        <v>973</v>
      </c>
      <c r="K24" s="584" t="str">
        <f>HYPERLINK("https://okcountyrecords.com/detail/roger+mills/1945-000816","OKCountyRecords: 1945-000816")</f>
        <v>OKCountyRecords: 1945-000816</v>
      </c>
    </row>
    <row r="25" spans="1:11" s="186" customFormat="1" ht="25.5" hidden="1" x14ac:dyDescent="0.2">
      <c r="A25" s="355" t="s">
        <v>1292</v>
      </c>
      <c r="B25" s="355"/>
      <c r="C25" s="355" t="s">
        <v>309</v>
      </c>
      <c r="D25" s="355" t="s">
        <v>1293</v>
      </c>
      <c r="E25" s="460">
        <v>16860</v>
      </c>
      <c r="F25" s="356">
        <v>16860</v>
      </c>
      <c r="G25" s="357" t="s">
        <v>327</v>
      </c>
      <c r="H25" s="355" t="s">
        <v>1294</v>
      </c>
      <c r="I25" s="357" t="s">
        <v>242</v>
      </c>
      <c r="J25" s="357" t="s">
        <v>996</v>
      </c>
      <c r="K25" s="426" t="str">
        <f>HYPERLINK("https://okcountyrecords.com/detail/roger+mills/1946-001487","OKCountyRecords: 1946-001487")</f>
        <v>OKCountyRecords: 1946-001487</v>
      </c>
    </row>
    <row r="26" spans="1:11" s="186" customFormat="1" ht="25.5" hidden="1" x14ac:dyDescent="0.2">
      <c r="A26" s="355" t="s">
        <v>1295</v>
      </c>
      <c r="B26" s="355"/>
      <c r="C26" s="355" t="s">
        <v>309</v>
      </c>
      <c r="D26" s="355" t="s">
        <v>1296</v>
      </c>
      <c r="E26" s="460">
        <v>16860</v>
      </c>
      <c r="F26" s="356">
        <v>16860</v>
      </c>
      <c r="G26" s="357" t="s">
        <v>329</v>
      </c>
      <c r="H26" s="355" t="s">
        <v>334</v>
      </c>
      <c r="I26" s="357" t="s">
        <v>242</v>
      </c>
      <c r="J26" s="357" t="s">
        <v>996</v>
      </c>
      <c r="K26" s="426" t="str">
        <f>HYPERLINK("https://okcountyrecords.com/detail/roger+mills/1946-001492","OKCountyRecords: 1946-001492")</f>
        <v>OKCountyRecords: 1946-001492</v>
      </c>
    </row>
    <row r="27" spans="1:11" s="186" customFormat="1" ht="25.5" hidden="1" x14ac:dyDescent="0.2">
      <c r="A27" s="355" t="s">
        <v>1304</v>
      </c>
      <c r="B27" s="355"/>
      <c r="C27" s="355" t="s">
        <v>309</v>
      </c>
      <c r="D27" s="355" t="s">
        <v>1305</v>
      </c>
      <c r="E27" s="460">
        <v>17549</v>
      </c>
      <c r="F27" s="356">
        <v>17549</v>
      </c>
      <c r="G27" s="357" t="s">
        <v>1306</v>
      </c>
      <c r="H27" s="355" t="s">
        <v>338</v>
      </c>
      <c r="I27" s="357" t="s">
        <v>242</v>
      </c>
      <c r="J27" s="357" t="s">
        <v>996</v>
      </c>
      <c r="K27" s="426" t="str">
        <f>HYPERLINK("https://okcountyrecords.com/detail/roger+mills/1948-002010","OKCountyRecords: 1948-002010")</f>
        <v>OKCountyRecords: 1948-002010</v>
      </c>
    </row>
    <row r="28" spans="1:11" s="186" customFormat="1" ht="38.25" hidden="1" x14ac:dyDescent="0.2">
      <c r="A28" s="355" t="s">
        <v>1307</v>
      </c>
      <c r="B28" s="355"/>
      <c r="C28" s="355" t="s">
        <v>114</v>
      </c>
      <c r="D28" s="355" t="s">
        <v>1308</v>
      </c>
      <c r="E28" s="460">
        <v>17554</v>
      </c>
      <c r="F28" s="356">
        <v>17554</v>
      </c>
      <c r="G28" s="357" t="s">
        <v>1303</v>
      </c>
      <c r="H28" s="355" t="s">
        <v>1309</v>
      </c>
      <c r="I28" s="357" t="s">
        <v>242</v>
      </c>
      <c r="J28" s="357" t="s">
        <v>996</v>
      </c>
      <c r="K28" s="426" t="str">
        <f>HYPERLINK("https://okcountyrecords.com/detail/roger+mills/1948-000087","OKCountyRecords: 1948-000087")</f>
        <v>OKCountyRecords: 1948-000087</v>
      </c>
    </row>
    <row r="29" spans="1:11" s="597" customFormat="1" ht="12.75" x14ac:dyDescent="0.2">
      <c r="A29" s="580" t="s">
        <v>1353</v>
      </c>
      <c r="B29" s="580"/>
      <c r="C29" s="581" t="s">
        <v>1623</v>
      </c>
      <c r="D29" s="580" t="s">
        <v>1354</v>
      </c>
      <c r="E29" s="582">
        <v>18170</v>
      </c>
      <c r="F29" s="582">
        <v>18170</v>
      </c>
      <c r="G29" s="581" t="s">
        <v>8698</v>
      </c>
      <c r="H29" s="580" t="s">
        <v>1355</v>
      </c>
      <c r="I29" s="581" t="s">
        <v>8705</v>
      </c>
      <c r="J29" s="581" t="s">
        <v>8700</v>
      </c>
      <c r="K29" s="584" t="str">
        <f>HYPERLINK("https://okcountyrecords.com/detail/roger+mills/1949-001867","OKCountyRecords: 1949-001867")</f>
        <v>OKCountyRecords: 1949-001867</v>
      </c>
    </row>
    <row r="30" spans="1:11" s="597" customFormat="1" ht="12.75" x14ac:dyDescent="0.2">
      <c r="A30" s="580" t="s">
        <v>1359</v>
      </c>
      <c r="B30" s="580"/>
      <c r="C30" s="581" t="s">
        <v>2430</v>
      </c>
      <c r="D30" s="580" t="s">
        <v>1360</v>
      </c>
      <c r="E30" s="582">
        <v>18420</v>
      </c>
      <c r="F30" s="582">
        <v>18420</v>
      </c>
      <c r="G30" s="581" t="s">
        <v>8698</v>
      </c>
      <c r="H30" s="581" t="s">
        <v>8701</v>
      </c>
      <c r="I30" s="581" t="s">
        <v>8699</v>
      </c>
      <c r="J30" s="581" t="s">
        <v>8706</v>
      </c>
      <c r="K30" s="584" t="str">
        <f>HYPERLINK("https://okcountyrecords.com/detail/roger+mills/1950-000383","OKCountyRecords: 1950-000383")</f>
        <v>OKCountyRecords: 1950-000383</v>
      </c>
    </row>
    <row r="31" spans="1:11" s="599" customFormat="1" ht="12.75" x14ac:dyDescent="0.2">
      <c r="A31" s="586" t="s">
        <v>1361</v>
      </c>
      <c r="B31" s="586"/>
      <c r="C31" s="587" t="s">
        <v>8707</v>
      </c>
      <c r="D31" s="586" t="s">
        <v>1362</v>
      </c>
      <c r="E31" s="588">
        <v>18680</v>
      </c>
      <c r="F31" s="588">
        <v>18680</v>
      </c>
      <c r="G31" s="587" t="s">
        <v>8708</v>
      </c>
      <c r="H31" s="586" t="s">
        <v>1363</v>
      </c>
      <c r="I31" s="587" t="s">
        <v>8705</v>
      </c>
      <c r="J31" s="587" t="s">
        <v>8709</v>
      </c>
      <c r="K31" s="589" t="str">
        <f>HYPERLINK("https://okcountyrecords.com/detail/roger+mills/1951-001020","OKCountyRecords: 1951-001020")</f>
        <v>OKCountyRecords: 1951-001020</v>
      </c>
    </row>
    <row r="32" spans="1:11" s="597" customFormat="1" ht="12.75" x14ac:dyDescent="0.2">
      <c r="A32" s="580" t="s">
        <v>1370</v>
      </c>
      <c r="B32" s="580"/>
      <c r="C32" s="581" t="s">
        <v>2430</v>
      </c>
      <c r="D32" s="580" t="s">
        <v>1371</v>
      </c>
      <c r="E32" s="582">
        <v>19396</v>
      </c>
      <c r="F32" s="582">
        <v>19396</v>
      </c>
      <c r="G32" s="581" t="s">
        <v>8719</v>
      </c>
      <c r="H32" s="581" t="s">
        <v>8720</v>
      </c>
      <c r="I32" s="581" t="s">
        <v>8721</v>
      </c>
      <c r="J32" s="581" t="s">
        <v>973</v>
      </c>
      <c r="K32" s="584" t="str">
        <f>HYPERLINK("https://okcountyrecords.com/detail/roger+mills/1953-000493","OKCountyRecords: 1953-000493")</f>
        <v>OKCountyRecords: 1953-000493</v>
      </c>
    </row>
    <row r="33" spans="1:11" s="186" customFormat="1" ht="25.5" hidden="1" x14ac:dyDescent="0.2">
      <c r="A33" s="355" t="s">
        <v>1413</v>
      </c>
      <c r="B33" s="355"/>
      <c r="C33" s="355" t="s">
        <v>309</v>
      </c>
      <c r="D33" s="355" t="s">
        <v>1414</v>
      </c>
      <c r="E33" s="460">
        <v>22761</v>
      </c>
      <c r="F33" s="356">
        <v>22761</v>
      </c>
      <c r="G33" s="357" t="s">
        <v>345</v>
      </c>
      <c r="H33" s="355" t="s">
        <v>1415</v>
      </c>
      <c r="I33" s="357" t="s">
        <v>308</v>
      </c>
      <c r="J33" s="357" t="s">
        <v>996</v>
      </c>
      <c r="K33" s="426" t="str">
        <f>HYPERLINK("https://okcountyrecords.com/detail/roger+mills/1962-000500","OKCountyRecords: 1962-000500")</f>
        <v>OKCountyRecords: 1962-000500</v>
      </c>
    </row>
    <row r="34" spans="1:11" s="186" customFormat="1" ht="25.5" hidden="1" x14ac:dyDescent="0.2">
      <c r="A34" s="355" t="s">
        <v>1416</v>
      </c>
      <c r="B34" s="355"/>
      <c r="C34" s="355" t="s">
        <v>309</v>
      </c>
      <c r="D34" s="355" t="s">
        <v>1417</v>
      </c>
      <c r="E34" s="460">
        <v>22761</v>
      </c>
      <c r="F34" s="356">
        <v>22761</v>
      </c>
      <c r="G34" s="357" t="s">
        <v>348</v>
      </c>
      <c r="H34" s="355" t="s">
        <v>1415</v>
      </c>
      <c r="I34" s="357" t="s">
        <v>308</v>
      </c>
      <c r="J34" s="357" t="s">
        <v>996</v>
      </c>
      <c r="K34" s="426" t="str">
        <f>HYPERLINK("https://okcountyrecords.com/detail/roger+mills/1962-000501","OKCountyRecords: 1962-000501")</f>
        <v>OKCountyRecords: 1962-000501</v>
      </c>
    </row>
    <row r="35" spans="1:11" s="186" customFormat="1" ht="12.75" hidden="1" x14ac:dyDescent="0.2">
      <c r="A35" s="355" t="s">
        <v>1418</v>
      </c>
      <c r="B35" s="355"/>
      <c r="C35" s="355" t="s">
        <v>309</v>
      </c>
      <c r="D35" s="355" t="s">
        <v>1419</v>
      </c>
      <c r="E35" s="460">
        <v>22761</v>
      </c>
      <c r="F35" s="356">
        <v>22761</v>
      </c>
      <c r="G35" s="355" t="s">
        <v>340</v>
      </c>
      <c r="H35" s="355" t="s">
        <v>1415</v>
      </c>
      <c r="I35" s="357" t="s">
        <v>308</v>
      </c>
      <c r="J35" s="357" t="s">
        <v>996</v>
      </c>
      <c r="K35" s="426" t="str">
        <f>HYPERLINK("https://okcountyrecords.com/detail/roger+mills/1962-000502","OKCountyRecords: 1962-000502")</f>
        <v>OKCountyRecords: 1962-000502</v>
      </c>
    </row>
    <row r="36" spans="1:11" s="186" customFormat="1" ht="25.5" hidden="1" x14ac:dyDescent="0.2">
      <c r="A36" s="355" t="s">
        <v>1420</v>
      </c>
      <c r="B36" s="355"/>
      <c r="C36" s="355" t="s">
        <v>309</v>
      </c>
      <c r="D36" s="355" t="s">
        <v>1421</v>
      </c>
      <c r="E36" s="460">
        <v>22761</v>
      </c>
      <c r="F36" s="356">
        <v>22761</v>
      </c>
      <c r="G36" s="357" t="s">
        <v>351</v>
      </c>
      <c r="H36" s="355" t="s">
        <v>1415</v>
      </c>
      <c r="I36" s="357" t="s">
        <v>308</v>
      </c>
      <c r="J36" s="357" t="s">
        <v>996</v>
      </c>
      <c r="K36" s="426" t="str">
        <f>HYPERLINK("https://okcountyrecords.com/detail/roger+mills/1962-000503","OKCountyRecords: 1962-000503")</f>
        <v>OKCountyRecords: 1962-000503</v>
      </c>
    </row>
    <row r="37" spans="1:11" s="186" customFormat="1" ht="25.5" hidden="1" x14ac:dyDescent="0.2">
      <c r="A37" s="355" t="s">
        <v>1422</v>
      </c>
      <c r="B37" s="355"/>
      <c r="C37" s="355" t="s">
        <v>309</v>
      </c>
      <c r="D37" s="355" t="s">
        <v>1423</v>
      </c>
      <c r="E37" s="460">
        <v>22761</v>
      </c>
      <c r="F37" s="356">
        <v>22761</v>
      </c>
      <c r="G37" s="357" t="s">
        <v>353</v>
      </c>
      <c r="H37" s="355" t="s">
        <v>1415</v>
      </c>
      <c r="I37" s="357" t="s">
        <v>313</v>
      </c>
      <c r="J37" s="357" t="s">
        <v>996</v>
      </c>
      <c r="K37" s="426" t="str">
        <f>HYPERLINK("https://okcountyrecords.com/detail/roger+mills/1962-000505","OKCountyRecords: 1962-000505")</f>
        <v>OKCountyRecords: 1962-000505</v>
      </c>
    </row>
    <row r="38" spans="1:11" s="186" customFormat="1" ht="25.5" hidden="1" x14ac:dyDescent="0.2">
      <c r="A38" s="355" t="s">
        <v>1424</v>
      </c>
      <c r="B38" s="355"/>
      <c r="C38" s="355" t="s">
        <v>309</v>
      </c>
      <c r="D38" s="355" t="s">
        <v>1425</v>
      </c>
      <c r="E38" s="460">
        <v>22761</v>
      </c>
      <c r="F38" s="356">
        <v>22761</v>
      </c>
      <c r="G38" s="357" t="s">
        <v>353</v>
      </c>
      <c r="H38" s="355" t="s">
        <v>1415</v>
      </c>
      <c r="I38" s="357" t="s">
        <v>313</v>
      </c>
      <c r="J38" s="357" t="s">
        <v>996</v>
      </c>
      <c r="K38" s="426" t="str">
        <f>HYPERLINK("https://okcountyrecords.com/detail/roger+mills/1962-000506","OKCountyRecords: 1962-000506")</f>
        <v>OKCountyRecords: 1962-000506</v>
      </c>
    </row>
    <row r="39" spans="1:11" s="186" customFormat="1" ht="25.5" hidden="1" x14ac:dyDescent="0.2">
      <c r="A39" s="355" t="s">
        <v>1426</v>
      </c>
      <c r="B39" s="355"/>
      <c r="C39" s="355" t="s">
        <v>309</v>
      </c>
      <c r="D39" s="355" t="s">
        <v>1427</v>
      </c>
      <c r="E39" s="460">
        <v>22816</v>
      </c>
      <c r="F39" s="356">
        <v>22816</v>
      </c>
      <c r="G39" s="357" t="s">
        <v>353</v>
      </c>
      <c r="H39" s="355" t="s">
        <v>1415</v>
      </c>
      <c r="I39" s="357" t="s">
        <v>313</v>
      </c>
      <c r="J39" s="357" t="s">
        <v>996</v>
      </c>
      <c r="K39" s="426" t="str">
        <f>HYPERLINK("https://okcountyrecords.com/detail/roger+mills/1962-000726","OKCountyRecords: 1962-000726")</f>
        <v>OKCountyRecords: 1962-000726</v>
      </c>
    </row>
    <row r="40" spans="1:11" s="186" customFormat="1" ht="25.5" hidden="1" x14ac:dyDescent="0.2">
      <c r="A40" s="355" t="s">
        <v>1428</v>
      </c>
      <c r="B40" s="355"/>
      <c r="C40" s="355" t="s">
        <v>309</v>
      </c>
      <c r="D40" s="355" t="s">
        <v>1429</v>
      </c>
      <c r="E40" s="460">
        <v>22816</v>
      </c>
      <c r="F40" s="356">
        <v>22816</v>
      </c>
      <c r="G40" s="357" t="s">
        <v>353</v>
      </c>
      <c r="H40" s="355" t="s">
        <v>1415</v>
      </c>
      <c r="I40" s="357" t="s">
        <v>313</v>
      </c>
      <c r="J40" s="357" t="s">
        <v>996</v>
      </c>
      <c r="K40" s="426" t="str">
        <f>HYPERLINK("https://okcountyrecords.com/detail/roger+mills/1962-000727","OKCountyRecords: 1962-000727")</f>
        <v>OKCountyRecords: 1962-000727</v>
      </c>
    </row>
    <row r="41" spans="1:11" s="597" customFormat="1" ht="12.75" x14ac:dyDescent="0.2">
      <c r="A41" s="580" t="s">
        <v>1430</v>
      </c>
      <c r="B41" s="580"/>
      <c r="C41" s="581" t="s">
        <v>1623</v>
      </c>
      <c r="D41" s="580" t="s">
        <v>1431</v>
      </c>
      <c r="E41" s="582">
        <v>22906</v>
      </c>
      <c r="F41" s="582">
        <v>22906</v>
      </c>
      <c r="G41" s="581" t="s">
        <v>8722</v>
      </c>
      <c r="H41" s="580" t="s">
        <v>346</v>
      </c>
      <c r="I41" s="581" t="s">
        <v>8723</v>
      </c>
      <c r="J41" s="581" t="s">
        <v>8727</v>
      </c>
      <c r="K41" s="584" t="str">
        <f>HYPERLINK("https://okcountyrecords.com/detail/roger+mills/1962-001141","OKCountyRecords: 1962-001141")</f>
        <v>OKCountyRecords: 1962-001141</v>
      </c>
    </row>
    <row r="42" spans="1:11" s="599" customFormat="1" ht="12.75" x14ac:dyDescent="0.2">
      <c r="A42" s="586" t="s">
        <v>1432</v>
      </c>
      <c r="B42" s="586"/>
      <c r="C42" s="587" t="s">
        <v>2430</v>
      </c>
      <c r="D42" s="586" t="s">
        <v>1433</v>
      </c>
      <c r="E42" s="588">
        <v>22906</v>
      </c>
      <c r="F42" s="588">
        <v>22906</v>
      </c>
      <c r="G42" s="587" t="s">
        <v>8722</v>
      </c>
      <c r="H42" s="586" t="s">
        <v>346</v>
      </c>
      <c r="I42" s="587" t="s">
        <v>8730</v>
      </c>
      <c r="J42" s="587" t="s">
        <v>8724</v>
      </c>
      <c r="K42" s="589" t="str">
        <f>HYPERLINK("https://okcountyrecords.com/detail/roger+mills/1962-001142","OKCountyRecords: 1962-001142")</f>
        <v>OKCountyRecords: 1962-001142</v>
      </c>
    </row>
    <row r="43" spans="1:11" s="186" customFormat="1" ht="25.5" hidden="1" x14ac:dyDescent="0.2">
      <c r="A43" s="355" t="s">
        <v>1434</v>
      </c>
      <c r="B43" s="355"/>
      <c r="C43" s="355" t="s">
        <v>309</v>
      </c>
      <c r="D43" s="355" t="s">
        <v>1435</v>
      </c>
      <c r="E43" s="460">
        <v>22906</v>
      </c>
      <c r="F43" s="356">
        <v>22906</v>
      </c>
      <c r="G43" s="357" t="s">
        <v>1436</v>
      </c>
      <c r="H43" s="355" t="s">
        <v>359</v>
      </c>
      <c r="I43" s="357" t="s">
        <v>308</v>
      </c>
      <c r="J43" s="357" t="s">
        <v>996</v>
      </c>
      <c r="K43" s="426" t="str">
        <f>HYPERLINK("https://okcountyrecords.com/detail/roger+mills/1962-001143","OKCountyRecords: 1962-001143")</f>
        <v>OKCountyRecords: 1962-001143</v>
      </c>
    </row>
    <row r="44" spans="1:11" s="599" customFormat="1" ht="12.75" x14ac:dyDescent="0.2">
      <c r="A44" s="586" t="s">
        <v>1437</v>
      </c>
      <c r="B44" s="586"/>
      <c r="C44" s="587" t="s">
        <v>2827</v>
      </c>
      <c r="D44" s="586" t="s">
        <v>1438</v>
      </c>
      <c r="E44" s="588">
        <v>22906</v>
      </c>
      <c r="F44" s="588">
        <v>22906</v>
      </c>
      <c r="G44" s="587" t="s">
        <v>8729</v>
      </c>
      <c r="H44" s="587" t="s">
        <v>8701</v>
      </c>
      <c r="I44" s="587" t="s">
        <v>8730</v>
      </c>
      <c r="J44" s="587" t="s">
        <v>8725</v>
      </c>
      <c r="K44" s="589" t="str">
        <f>HYPERLINK("https://okcountyrecords.com/detail/roger+mills/1962-001144","OKCountyRecords: 1962-001144")</f>
        <v>OKCountyRecords: 1962-001144</v>
      </c>
    </row>
    <row r="45" spans="1:11" s="597" customFormat="1" ht="12.75" x14ac:dyDescent="0.2">
      <c r="A45" s="580" t="s">
        <v>1439</v>
      </c>
      <c r="B45" s="580"/>
      <c r="C45" s="581" t="s">
        <v>1623</v>
      </c>
      <c r="D45" s="580" t="s">
        <v>1440</v>
      </c>
      <c r="E45" s="582">
        <v>22906</v>
      </c>
      <c r="F45" s="582">
        <v>22906</v>
      </c>
      <c r="G45" s="581" t="s">
        <v>8729</v>
      </c>
      <c r="H45" s="580" t="s">
        <v>1441</v>
      </c>
      <c r="I45" s="581" t="s">
        <v>8723</v>
      </c>
      <c r="J45" s="581" t="s">
        <v>8726</v>
      </c>
      <c r="K45" s="584" t="str">
        <f>HYPERLINK("https://okcountyrecords.com/detail/roger+mills/1962-001145","OKCountyRecords: 1962-001145")</f>
        <v>OKCountyRecords: 1962-001145</v>
      </c>
    </row>
    <row r="46" spans="1:11" s="186" customFormat="1" ht="25.5" hidden="1" x14ac:dyDescent="0.2">
      <c r="A46" s="355" t="s">
        <v>1442</v>
      </c>
      <c r="B46" s="355"/>
      <c r="C46" s="355" t="s">
        <v>309</v>
      </c>
      <c r="D46" s="355" t="s">
        <v>1443</v>
      </c>
      <c r="E46" s="460">
        <v>22913</v>
      </c>
      <c r="F46" s="356">
        <v>22913</v>
      </c>
      <c r="G46" s="357" t="s">
        <v>361</v>
      </c>
      <c r="H46" s="355" t="s">
        <v>362</v>
      </c>
      <c r="I46" s="357" t="s">
        <v>313</v>
      </c>
      <c r="J46" s="357" t="s">
        <v>996</v>
      </c>
      <c r="K46" s="426" t="str">
        <f>HYPERLINK("https://okcountyrecords.com/detail/roger+mills/1962-001196","OKCountyRecords: 1962-001196")</f>
        <v>OKCountyRecords: 1962-001196</v>
      </c>
    </row>
    <row r="47" spans="1:11" s="186" customFormat="1" ht="25.5" hidden="1" x14ac:dyDescent="0.2">
      <c r="A47" s="355" t="s">
        <v>1444</v>
      </c>
      <c r="B47" s="355"/>
      <c r="C47" s="355" t="s">
        <v>993</v>
      </c>
      <c r="D47" s="355" t="s">
        <v>1445</v>
      </c>
      <c r="E47" s="460">
        <v>22927</v>
      </c>
      <c r="F47" s="356">
        <v>22927</v>
      </c>
      <c r="G47" s="355" t="s">
        <v>1309</v>
      </c>
      <c r="H47" s="357" t="s">
        <v>329</v>
      </c>
      <c r="I47" s="357" t="s">
        <v>242</v>
      </c>
      <c r="J47" s="357" t="s">
        <v>996</v>
      </c>
      <c r="K47" s="426" t="str">
        <f>HYPERLINK("https://okcountyrecords.com/detail/roger+mills/1962-001271","OKCountyRecords: 1962-001271")</f>
        <v>OKCountyRecords: 1962-001271</v>
      </c>
    </row>
    <row r="48" spans="1:11" s="186" customFormat="1" ht="12.75" hidden="1" x14ac:dyDescent="0.2">
      <c r="A48" s="355" t="s">
        <v>1446</v>
      </c>
      <c r="B48" s="355"/>
      <c r="C48" s="355" t="s">
        <v>114</v>
      </c>
      <c r="D48" s="355" t="s">
        <v>1447</v>
      </c>
      <c r="E48" s="460">
        <v>22928</v>
      </c>
      <c r="F48" s="356">
        <v>22928</v>
      </c>
      <c r="G48" s="355" t="s">
        <v>362</v>
      </c>
      <c r="H48" s="355" t="s">
        <v>1448</v>
      </c>
      <c r="I48" s="357" t="s">
        <v>242</v>
      </c>
      <c r="J48" s="357" t="s">
        <v>996</v>
      </c>
      <c r="K48" s="426" t="str">
        <f>HYPERLINK("https://okcountyrecords.com/detail/roger+mills/1962-001281","OKCountyRecords: 1962-001281")</f>
        <v>OKCountyRecords: 1962-001281</v>
      </c>
    </row>
    <row r="49" spans="1:11" s="597" customFormat="1" ht="12.75" x14ac:dyDescent="0.2">
      <c r="A49" s="580" t="s">
        <v>1449</v>
      </c>
      <c r="B49" s="580"/>
      <c r="C49" s="581" t="s">
        <v>1623</v>
      </c>
      <c r="D49" s="580" t="s">
        <v>1450</v>
      </c>
      <c r="E49" s="582">
        <v>22938</v>
      </c>
      <c r="F49" s="582">
        <v>22938</v>
      </c>
      <c r="G49" s="580" t="s">
        <v>346</v>
      </c>
      <c r="H49" s="580" t="s">
        <v>446</v>
      </c>
      <c r="I49" s="581" t="s">
        <v>8723</v>
      </c>
      <c r="J49" s="581" t="s">
        <v>8728</v>
      </c>
      <c r="K49" s="584" t="str">
        <f>HYPERLINK("https://okcountyrecords.com/detail/roger+mills/1962-001389","OKCountyRecords: 1962-001389")</f>
        <v>OKCountyRecords: 1962-001389</v>
      </c>
    </row>
    <row r="50" spans="1:11" s="597" customFormat="1" ht="12.75" x14ac:dyDescent="0.2">
      <c r="A50" s="580" t="s">
        <v>1451</v>
      </c>
      <c r="B50" s="580"/>
      <c r="C50" s="581" t="s">
        <v>1623</v>
      </c>
      <c r="D50" s="580" t="s">
        <v>1452</v>
      </c>
      <c r="E50" s="582">
        <v>22938</v>
      </c>
      <c r="F50" s="582">
        <v>22938</v>
      </c>
      <c r="G50" s="581" t="s">
        <v>346</v>
      </c>
      <c r="H50" s="580" t="s">
        <v>1453</v>
      </c>
      <c r="I50" s="581" t="s">
        <v>8723</v>
      </c>
      <c r="J50" s="581" t="s">
        <v>8728</v>
      </c>
      <c r="K50" s="584" t="str">
        <f>HYPERLINK("https://okcountyrecords.com/detail/roger+mills/1962-001390","OKCountyRecords: 1962-001390")</f>
        <v>OKCountyRecords: 1962-001390</v>
      </c>
    </row>
    <row r="51" spans="1:11" s="186" customFormat="1" ht="25.5" hidden="1" x14ac:dyDescent="0.2">
      <c r="A51" s="355" t="s">
        <v>1462</v>
      </c>
      <c r="B51" s="355"/>
      <c r="C51" s="355" t="s">
        <v>993</v>
      </c>
      <c r="D51" s="355" t="s">
        <v>1463</v>
      </c>
      <c r="E51" s="460">
        <v>23890</v>
      </c>
      <c r="F51" s="356">
        <v>23890</v>
      </c>
      <c r="G51" s="357" t="s">
        <v>1381</v>
      </c>
      <c r="H51" s="355" t="s">
        <v>1441</v>
      </c>
      <c r="I51" s="357" t="s">
        <v>1012</v>
      </c>
      <c r="J51" s="357" t="s">
        <v>996</v>
      </c>
      <c r="K51" s="426" t="str">
        <f>HYPERLINK("https://okcountyrecords.com/detail/roger+mills/1965-000770","OKCountyRecords: 1965-000770")</f>
        <v>OKCountyRecords: 1965-000770</v>
      </c>
    </row>
    <row r="52" spans="1:11" s="599" customFormat="1" ht="12.75" x14ac:dyDescent="0.2">
      <c r="A52" s="586" t="s">
        <v>1464</v>
      </c>
      <c r="B52" s="586"/>
      <c r="C52" s="587" t="s">
        <v>2827</v>
      </c>
      <c r="D52" s="586" t="s">
        <v>1465</v>
      </c>
      <c r="E52" s="588">
        <v>23890</v>
      </c>
      <c r="F52" s="588">
        <v>23890</v>
      </c>
      <c r="G52" s="586" t="s">
        <v>353</v>
      </c>
      <c r="H52" s="586" t="s">
        <v>1391</v>
      </c>
      <c r="I52" s="587" t="s">
        <v>8730</v>
      </c>
      <c r="J52" s="587" t="s">
        <v>8725</v>
      </c>
      <c r="K52" s="589" t="str">
        <f>HYPERLINK("https://okcountyrecords.com/detail/roger+mills/1965-000771","OKCountyRecords: 1965-000771")</f>
        <v>OKCountyRecords: 1965-000771</v>
      </c>
    </row>
    <row r="53" spans="1:11" s="597" customFormat="1" ht="12.75" x14ac:dyDescent="0.2">
      <c r="A53" s="580" t="s">
        <v>1470</v>
      </c>
      <c r="B53" s="580"/>
      <c r="C53" s="581" t="s">
        <v>2746</v>
      </c>
      <c r="D53" s="580" t="s">
        <v>1471</v>
      </c>
      <c r="E53" s="582">
        <v>24502</v>
      </c>
      <c r="F53" s="582">
        <v>24502</v>
      </c>
      <c r="G53" s="581" t="s">
        <v>8731</v>
      </c>
      <c r="H53" s="580" t="s">
        <v>346</v>
      </c>
      <c r="I53" s="580" t="s">
        <v>1012</v>
      </c>
      <c r="J53" s="581" t="s">
        <v>8736</v>
      </c>
      <c r="K53" s="584" t="str">
        <f>HYPERLINK("https://okcountyrecords.com/detail/roger+mills/1967-000241","OKCountyRecords: 1967-000241")</f>
        <v>OKCountyRecords: 1967-000241</v>
      </c>
    </row>
    <row r="54" spans="1:11" s="186" customFormat="1" ht="25.5" hidden="1" x14ac:dyDescent="0.2">
      <c r="A54" s="355" t="s">
        <v>1473</v>
      </c>
      <c r="B54" s="355"/>
      <c r="C54" s="355" t="s">
        <v>309</v>
      </c>
      <c r="D54" s="355" t="s">
        <v>1474</v>
      </c>
      <c r="E54" s="460">
        <v>24512</v>
      </c>
      <c r="F54" s="356">
        <v>24512</v>
      </c>
      <c r="G54" s="357" t="s">
        <v>1475</v>
      </c>
      <c r="H54" s="355" t="s">
        <v>365</v>
      </c>
      <c r="I54" s="357" t="s">
        <v>313</v>
      </c>
      <c r="J54" s="357" t="s">
        <v>996</v>
      </c>
      <c r="K54" s="426" t="str">
        <f>HYPERLINK("https://okcountyrecords.com/detail/roger+mills/1967-000351","OKCountyRecords: 1967-000351")</f>
        <v>OKCountyRecords: 1967-000351</v>
      </c>
    </row>
    <row r="55" spans="1:11" s="186" customFormat="1" ht="25.5" hidden="1" x14ac:dyDescent="0.2">
      <c r="A55" s="360" t="s">
        <v>1482</v>
      </c>
      <c r="B55" s="360"/>
      <c r="C55" s="360" t="s">
        <v>1483</v>
      </c>
      <c r="D55" s="360" t="s">
        <v>1484</v>
      </c>
      <c r="E55" s="460">
        <v>25176</v>
      </c>
      <c r="F55" s="361">
        <v>25176</v>
      </c>
      <c r="G55" s="362" t="s">
        <v>1475</v>
      </c>
      <c r="H55" s="360" t="s">
        <v>365</v>
      </c>
      <c r="I55" s="362" t="s">
        <v>242</v>
      </c>
      <c r="J55" s="362" t="s">
        <v>996</v>
      </c>
      <c r="K55" s="427" t="str">
        <f>HYPERLINK("https://okcountyrecords.com/detail/roger+mills/1968-003144","OKCountyRecords: 1968-003144")</f>
        <v>OKCountyRecords: 1968-003144</v>
      </c>
    </row>
    <row r="56" spans="1:11" s="186" customFormat="1" ht="12.75" hidden="1" x14ac:dyDescent="0.2">
      <c r="A56" s="355" t="s">
        <v>1480</v>
      </c>
      <c r="B56" s="355"/>
      <c r="C56" s="355" t="s">
        <v>114</v>
      </c>
      <c r="D56" s="355" t="s">
        <v>1481</v>
      </c>
      <c r="E56" s="460">
        <v>25176</v>
      </c>
      <c r="F56" s="356">
        <v>25176</v>
      </c>
      <c r="G56" s="355" t="s">
        <v>365</v>
      </c>
      <c r="H56" s="355" t="s">
        <v>391</v>
      </c>
      <c r="I56" s="357" t="s">
        <v>1012</v>
      </c>
      <c r="J56" s="357" t="s">
        <v>996</v>
      </c>
      <c r="K56" s="426" t="str">
        <f>HYPERLINK("https://okcountyrecords.com/detail/roger+mills/1968-003045","OKCountyRecords: 1968-003045")</f>
        <v>OKCountyRecords: 1968-003045</v>
      </c>
    </row>
    <row r="57" spans="1:11" s="186" customFormat="1" ht="25.5" hidden="1" x14ac:dyDescent="0.2">
      <c r="A57" s="355" t="s">
        <v>1485</v>
      </c>
      <c r="B57" s="355"/>
      <c r="C57" s="355" t="s">
        <v>309</v>
      </c>
      <c r="D57" s="355" t="s">
        <v>1486</v>
      </c>
      <c r="E57" s="460">
        <v>25743</v>
      </c>
      <c r="F57" s="356">
        <v>25743</v>
      </c>
      <c r="G57" s="357" t="s">
        <v>1487</v>
      </c>
      <c r="H57" s="355" t="s">
        <v>367</v>
      </c>
      <c r="I57" s="357" t="s">
        <v>308</v>
      </c>
      <c r="J57" s="357" t="s">
        <v>996</v>
      </c>
      <c r="K57" s="426" t="str">
        <f>HYPERLINK("https://okcountyrecords.com/detail/roger+mills/1970-001176","OKCountyRecords: 1970-001176")</f>
        <v>OKCountyRecords: 1970-001176</v>
      </c>
    </row>
    <row r="58" spans="1:11" s="186" customFormat="1" ht="12.75" hidden="1" x14ac:dyDescent="0.2">
      <c r="A58" s="355" t="s">
        <v>1488</v>
      </c>
      <c r="B58" s="355"/>
      <c r="C58" s="355" t="s">
        <v>309</v>
      </c>
      <c r="D58" s="355" t="s">
        <v>1489</v>
      </c>
      <c r="E58" s="460">
        <v>25829</v>
      </c>
      <c r="F58" s="356">
        <v>25829</v>
      </c>
      <c r="G58" s="355" t="s">
        <v>340</v>
      </c>
      <c r="H58" s="355" t="s">
        <v>787</v>
      </c>
      <c r="I58" s="357" t="s">
        <v>308</v>
      </c>
      <c r="J58" s="357" t="s">
        <v>996</v>
      </c>
      <c r="K58" s="426" t="str">
        <f>HYPERLINK("https://okcountyrecords.com/detail/roger+mills/1970-001971","OKCountyRecords: 1970-001971")</f>
        <v>OKCountyRecords: 1970-001971</v>
      </c>
    </row>
    <row r="59" spans="1:11" s="186" customFormat="1" ht="25.5" hidden="1" x14ac:dyDescent="0.2">
      <c r="A59" s="355" t="s">
        <v>1490</v>
      </c>
      <c r="B59" s="355"/>
      <c r="C59" s="355" t="s">
        <v>309</v>
      </c>
      <c r="D59" s="355" t="s">
        <v>1491</v>
      </c>
      <c r="E59" s="460">
        <v>25829</v>
      </c>
      <c r="F59" s="356">
        <v>25829</v>
      </c>
      <c r="G59" s="357" t="s">
        <v>369</v>
      </c>
      <c r="H59" s="355" t="s">
        <v>787</v>
      </c>
      <c r="I59" s="357" t="s">
        <v>308</v>
      </c>
      <c r="J59" s="428" t="s">
        <v>1492</v>
      </c>
      <c r="K59" s="426" t="str">
        <f>HYPERLINK("https://okcountyrecords.com/detail/roger+mills/1970-001972","OKCountyRecords: 1970-001972")</f>
        <v>OKCountyRecords: 1970-001972</v>
      </c>
    </row>
    <row r="60" spans="1:11" s="186" customFormat="1" ht="25.5" hidden="1" x14ac:dyDescent="0.2">
      <c r="A60" s="355" t="s">
        <v>1493</v>
      </c>
      <c r="B60" s="355"/>
      <c r="C60" s="355" t="s">
        <v>309</v>
      </c>
      <c r="D60" s="355" t="s">
        <v>1494</v>
      </c>
      <c r="E60" s="460">
        <v>25829</v>
      </c>
      <c r="F60" s="356">
        <v>25829</v>
      </c>
      <c r="G60" s="357" t="s">
        <v>348</v>
      </c>
      <c r="H60" s="355" t="s">
        <v>787</v>
      </c>
      <c r="I60" s="357" t="s">
        <v>308</v>
      </c>
      <c r="J60" s="357" t="s">
        <v>996</v>
      </c>
      <c r="K60" s="426" t="str">
        <f>HYPERLINK("https://okcountyrecords.com/detail/roger+mills/1970-001973","OKCountyRecords: 1970-001973")</f>
        <v>OKCountyRecords: 1970-001973</v>
      </c>
    </row>
    <row r="61" spans="1:11" s="186" customFormat="1" ht="25.5" hidden="1" x14ac:dyDescent="0.2">
      <c r="A61" s="355" t="s">
        <v>1495</v>
      </c>
      <c r="B61" s="355"/>
      <c r="C61" s="355" t="s">
        <v>309</v>
      </c>
      <c r="D61" s="355" t="s">
        <v>1496</v>
      </c>
      <c r="E61" s="460">
        <v>25884</v>
      </c>
      <c r="F61" s="356">
        <v>25884</v>
      </c>
      <c r="G61" s="357" t="s">
        <v>370</v>
      </c>
      <c r="H61" s="355" t="s">
        <v>371</v>
      </c>
      <c r="I61" s="357" t="s">
        <v>308</v>
      </c>
      <c r="J61" s="357" t="s">
        <v>996</v>
      </c>
      <c r="K61" s="426" t="str">
        <f>HYPERLINK("https://okcountyrecords.com/detail/roger+mills/1970-002603","OKCountyRecords: 1970-002603")</f>
        <v>OKCountyRecords: 1970-002603</v>
      </c>
    </row>
    <row r="62" spans="1:11" s="186" customFormat="1" ht="12.75" hidden="1" x14ac:dyDescent="0.2">
      <c r="A62" s="355" t="s">
        <v>1497</v>
      </c>
      <c r="B62" s="355"/>
      <c r="C62" s="355" t="s">
        <v>114</v>
      </c>
      <c r="D62" s="355" t="s">
        <v>1498</v>
      </c>
      <c r="E62" s="460">
        <v>25885</v>
      </c>
      <c r="F62" s="356">
        <v>25885</v>
      </c>
      <c r="G62" s="355" t="s">
        <v>359</v>
      </c>
      <c r="H62" s="355" t="s">
        <v>1499</v>
      </c>
      <c r="I62" s="357" t="s">
        <v>1012</v>
      </c>
      <c r="J62" s="357" t="s">
        <v>996</v>
      </c>
      <c r="K62" s="426" t="str">
        <f>HYPERLINK("https://okcountyrecords.com/detail/roger+mills/1970-002661","OKCountyRecords: 1970-002661")</f>
        <v>OKCountyRecords: 1970-002661</v>
      </c>
    </row>
    <row r="63" spans="1:11" s="186" customFormat="1" ht="12.75" hidden="1" x14ac:dyDescent="0.2">
      <c r="A63" s="355" t="s">
        <v>1500</v>
      </c>
      <c r="B63" s="355"/>
      <c r="C63" s="355" t="s">
        <v>114</v>
      </c>
      <c r="D63" s="355" t="s">
        <v>1501</v>
      </c>
      <c r="E63" s="460">
        <v>25885</v>
      </c>
      <c r="F63" s="356">
        <v>25885</v>
      </c>
      <c r="G63" s="355" t="s">
        <v>359</v>
      </c>
      <c r="H63" s="355" t="s">
        <v>1499</v>
      </c>
      <c r="I63" s="357" t="s">
        <v>1012</v>
      </c>
      <c r="J63" s="357" t="s">
        <v>996</v>
      </c>
      <c r="K63" s="426" t="str">
        <f>HYPERLINK("https://okcountyrecords.com/detail/roger+mills/1970-002662","OKCountyRecords: 1970-002662")</f>
        <v>OKCountyRecords: 1970-002662</v>
      </c>
    </row>
    <row r="64" spans="1:11" s="186" customFormat="1" ht="12.75" hidden="1" x14ac:dyDescent="0.2">
      <c r="A64" s="355" t="s">
        <v>1502</v>
      </c>
      <c r="B64" s="355"/>
      <c r="C64" s="355" t="s">
        <v>114</v>
      </c>
      <c r="D64" s="355" t="s">
        <v>1503</v>
      </c>
      <c r="E64" s="460">
        <v>25885</v>
      </c>
      <c r="F64" s="356">
        <v>25885</v>
      </c>
      <c r="G64" s="355" t="s">
        <v>359</v>
      </c>
      <c r="H64" s="355" t="s">
        <v>1499</v>
      </c>
      <c r="I64" s="357" t="s">
        <v>1012</v>
      </c>
      <c r="J64" s="357" t="s">
        <v>996</v>
      </c>
      <c r="K64" s="426" t="str">
        <f>HYPERLINK("https://okcountyrecords.com/detail/roger+mills/1970-002663","OKCountyRecords: 1970-002663")</f>
        <v>OKCountyRecords: 1970-002663</v>
      </c>
    </row>
    <row r="65" spans="1:20" s="186" customFormat="1" ht="12.75" hidden="1" x14ac:dyDescent="0.2">
      <c r="A65" s="355" t="s">
        <v>1504</v>
      </c>
      <c r="B65" s="355"/>
      <c r="C65" s="355" t="s">
        <v>114</v>
      </c>
      <c r="D65" s="355" t="s">
        <v>1505</v>
      </c>
      <c r="E65" s="460">
        <v>25885</v>
      </c>
      <c r="F65" s="356">
        <v>25885</v>
      </c>
      <c r="G65" s="355" t="s">
        <v>787</v>
      </c>
      <c r="H65" s="355" t="s">
        <v>1499</v>
      </c>
      <c r="I65" s="357" t="s">
        <v>1012</v>
      </c>
      <c r="J65" s="357" t="s">
        <v>996</v>
      </c>
      <c r="K65" s="426" t="str">
        <f>HYPERLINK("https://okcountyrecords.com/detail/roger+mills/1970-002664","OKCountyRecords: 1970-002664")</f>
        <v>OKCountyRecords: 1970-002664</v>
      </c>
    </row>
    <row r="66" spans="1:20" s="186" customFormat="1" ht="12.75" hidden="1" x14ac:dyDescent="0.2">
      <c r="A66" s="355" t="s">
        <v>1506</v>
      </c>
      <c r="B66" s="355"/>
      <c r="C66" s="355" t="s">
        <v>114</v>
      </c>
      <c r="D66" s="355" t="s">
        <v>1507</v>
      </c>
      <c r="E66" s="460">
        <v>25885</v>
      </c>
      <c r="F66" s="356">
        <v>25885</v>
      </c>
      <c r="G66" s="355" t="s">
        <v>787</v>
      </c>
      <c r="H66" s="355" t="s">
        <v>1499</v>
      </c>
      <c r="I66" s="357" t="s">
        <v>1012</v>
      </c>
      <c r="J66" s="357" t="s">
        <v>996</v>
      </c>
      <c r="K66" s="426" t="str">
        <f>HYPERLINK("https://okcountyrecords.com/detail/roger+mills/1970-002665","OKCountyRecords: 1970-002665")</f>
        <v>OKCountyRecords: 1970-002665</v>
      </c>
    </row>
    <row r="67" spans="1:20" s="186" customFormat="1" ht="12.75" hidden="1" x14ac:dyDescent="0.2">
      <c r="A67" s="355" t="s">
        <v>1508</v>
      </c>
      <c r="B67" s="355"/>
      <c r="C67" s="355" t="s">
        <v>114</v>
      </c>
      <c r="D67" s="355" t="s">
        <v>1509</v>
      </c>
      <c r="E67" s="460">
        <v>25885</v>
      </c>
      <c r="F67" s="356">
        <v>25885</v>
      </c>
      <c r="G67" s="355" t="s">
        <v>787</v>
      </c>
      <c r="H67" s="355" t="s">
        <v>1499</v>
      </c>
      <c r="I67" s="357" t="s">
        <v>1012</v>
      </c>
      <c r="J67" s="357" t="s">
        <v>996</v>
      </c>
      <c r="K67" s="426" t="str">
        <f>HYPERLINK("https://okcountyrecords.com/detail/roger+mills/1970-002666","OKCountyRecords: 1970-002666")</f>
        <v>OKCountyRecords: 1970-002666</v>
      </c>
    </row>
    <row r="68" spans="1:20" s="186" customFormat="1" ht="12.75" hidden="1" x14ac:dyDescent="0.2">
      <c r="A68" s="355" t="s">
        <v>1510</v>
      </c>
      <c r="B68" s="355"/>
      <c r="C68" s="355" t="s">
        <v>114</v>
      </c>
      <c r="D68" s="355" t="s">
        <v>1511</v>
      </c>
      <c r="E68" s="460">
        <v>25905</v>
      </c>
      <c r="F68" s="356">
        <v>25905</v>
      </c>
      <c r="G68" s="355" t="s">
        <v>359</v>
      </c>
      <c r="H68" s="355" t="s">
        <v>787</v>
      </c>
      <c r="I68" s="357" t="s">
        <v>1012</v>
      </c>
      <c r="J68" s="357" t="s">
        <v>996</v>
      </c>
      <c r="K68" s="426" t="str">
        <f>HYPERLINK("https://okcountyrecords.com/detail/roger+mills/1970-002991","OKCountyRecords: 1970-002991")</f>
        <v>OKCountyRecords: 1970-002991</v>
      </c>
    </row>
    <row r="69" spans="1:20" s="186" customFormat="1" ht="12.75" hidden="1" x14ac:dyDescent="0.2">
      <c r="A69" s="355" t="s">
        <v>1512</v>
      </c>
      <c r="B69" s="355"/>
      <c r="C69" s="355" t="s">
        <v>114</v>
      </c>
      <c r="D69" s="355" t="s">
        <v>1513</v>
      </c>
      <c r="E69" s="460">
        <v>25905</v>
      </c>
      <c r="F69" s="356">
        <v>25905</v>
      </c>
      <c r="G69" s="355" t="s">
        <v>787</v>
      </c>
      <c r="H69" s="355" t="s">
        <v>1499</v>
      </c>
      <c r="I69" s="357" t="s">
        <v>1012</v>
      </c>
      <c r="J69" s="357" t="s">
        <v>996</v>
      </c>
      <c r="K69" s="426" t="str">
        <f>HYPERLINK("https://okcountyrecords.com/detail/roger+mills/1970-002992","OKCountyRecords: 1970-002992")</f>
        <v>OKCountyRecords: 1970-002992</v>
      </c>
    </row>
    <row r="70" spans="1:20" s="330" customFormat="1" ht="25.5" hidden="1" x14ac:dyDescent="0.25">
      <c r="A70" s="360" t="s">
        <v>1514</v>
      </c>
      <c r="B70" s="360"/>
      <c r="C70" s="360" t="s">
        <v>1483</v>
      </c>
      <c r="D70" s="360" t="s">
        <v>1515</v>
      </c>
      <c r="E70" s="460">
        <v>25905</v>
      </c>
      <c r="F70" s="361">
        <v>25905</v>
      </c>
      <c r="G70" s="362" t="s">
        <v>1436</v>
      </c>
      <c r="H70" s="360" t="s">
        <v>359</v>
      </c>
      <c r="I70" s="362" t="s">
        <v>242</v>
      </c>
      <c r="J70" s="362" t="s">
        <v>996</v>
      </c>
      <c r="K70" s="427" t="str">
        <f>HYPERLINK("https://okcountyrecords.com/detail/roger+mills/1970-003015","OKCountyRecords: 1970-003015")</f>
        <v>OKCountyRecords: 1970-003015</v>
      </c>
      <c r="L70" s="329"/>
      <c r="M70" s="329"/>
      <c r="N70" s="329"/>
      <c r="O70" s="329"/>
      <c r="P70" s="329"/>
      <c r="Q70" s="329"/>
      <c r="R70" s="329"/>
      <c r="S70" s="329"/>
      <c r="T70" s="329"/>
    </row>
    <row r="71" spans="1:20" s="186" customFormat="1" ht="12.75" hidden="1" x14ac:dyDescent="0.2">
      <c r="A71" s="355" t="s">
        <v>1516</v>
      </c>
      <c r="B71" s="355"/>
      <c r="C71" s="355" t="s">
        <v>309</v>
      </c>
      <c r="D71" s="355" t="s">
        <v>1517</v>
      </c>
      <c r="E71" s="460">
        <v>25910</v>
      </c>
      <c r="F71" s="356">
        <v>25910</v>
      </c>
      <c r="G71" s="355" t="s">
        <v>372</v>
      </c>
      <c r="H71" s="355" t="s">
        <v>787</v>
      </c>
      <c r="I71" s="357" t="s">
        <v>308</v>
      </c>
      <c r="J71" s="357" t="s">
        <v>996</v>
      </c>
      <c r="K71" s="426" t="str">
        <f>HYPERLINK("https://okcountyrecords.com/detail/roger+mills/1970-003106","OKCountyRecords: 1970-003106")</f>
        <v>OKCountyRecords: 1970-003106</v>
      </c>
    </row>
    <row r="72" spans="1:20" s="186" customFormat="1" ht="12.75" hidden="1" x14ac:dyDescent="0.2">
      <c r="A72" s="355" t="s">
        <v>1518</v>
      </c>
      <c r="B72" s="355"/>
      <c r="C72" s="355" t="s">
        <v>114</v>
      </c>
      <c r="D72" s="355" t="s">
        <v>1519</v>
      </c>
      <c r="E72" s="460">
        <v>25910</v>
      </c>
      <c r="F72" s="356">
        <v>25910</v>
      </c>
      <c r="G72" s="355" t="s">
        <v>787</v>
      </c>
      <c r="H72" s="355" t="s">
        <v>1499</v>
      </c>
      <c r="I72" s="357" t="s">
        <v>1012</v>
      </c>
      <c r="J72" s="357" t="s">
        <v>996</v>
      </c>
      <c r="K72" s="426" t="str">
        <f>HYPERLINK("https://okcountyrecords.com/detail/roger+mills/1970-003107","OKCountyRecords: 1970-003107")</f>
        <v>OKCountyRecords: 1970-003107</v>
      </c>
    </row>
    <row r="73" spans="1:20" s="186" customFormat="1" ht="25.5" hidden="1" x14ac:dyDescent="0.2">
      <c r="A73" s="355" t="s">
        <v>1520</v>
      </c>
      <c r="B73" s="355"/>
      <c r="C73" s="355" t="s">
        <v>993</v>
      </c>
      <c r="D73" s="355" t="s">
        <v>1521</v>
      </c>
      <c r="E73" s="460">
        <v>26071</v>
      </c>
      <c r="F73" s="356">
        <v>26071</v>
      </c>
      <c r="G73" s="355" t="s">
        <v>1499</v>
      </c>
      <c r="H73" s="357" t="s">
        <v>1436</v>
      </c>
      <c r="I73" s="357" t="s">
        <v>242</v>
      </c>
      <c r="J73" s="357" t="s">
        <v>996</v>
      </c>
      <c r="K73" s="426" t="str">
        <f>HYPERLINK("https://okcountyrecords.com/detail/roger+mills/1971-001694","OKCountyRecords: 1971-001694")</f>
        <v>OKCountyRecords: 1971-001694</v>
      </c>
    </row>
    <row r="74" spans="1:20" s="186" customFormat="1" ht="25.5" hidden="1" x14ac:dyDescent="0.2">
      <c r="A74" s="355" t="s">
        <v>1522</v>
      </c>
      <c r="B74" s="355"/>
      <c r="C74" s="355" t="s">
        <v>309</v>
      </c>
      <c r="D74" s="355" t="s">
        <v>1523</v>
      </c>
      <c r="E74" s="460">
        <v>26130</v>
      </c>
      <c r="F74" s="356">
        <v>26130</v>
      </c>
      <c r="G74" s="357" t="s">
        <v>373</v>
      </c>
      <c r="H74" s="355" t="s">
        <v>359</v>
      </c>
      <c r="I74" s="357" t="s">
        <v>313</v>
      </c>
      <c r="J74" s="357" t="s">
        <v>996</v>
      </c>
      <c r="K74" s="426" t="str">
        <f>HYPERLINK("https://okcountyrecords.com/detail/roger+mills/1971-002243","OKCountyRecords: 1971-002243")</f>
        <v>OKCountyRecords: 1971-002243</v>
      </c>
    </row>
    <row r="75" spans="1:20" s="186" customFormat="1" ht="12.75" hidden="1" x14ac:dyDescent="0.2">
      <c r="A75" s="355" t="s">
        <v>1524</v>
      </c>
      <c r="B75" s="355"/>
      <c r="C75" s="355" t="s">
        <v>114</v>
      </c>
      <c r="D75" s="355" t="s">
        <v>1525</v>
      </c>
      <c r="E75" s="460">
        <v>26130</v>
      </c>
      <c r="F75" s="356">
        <v>26130</v>
      </c>
      <c r="G75" s="355" t="s">
        <v>359</v>
      </c>
      <c r="H75" s="355" t="s">
        <v>1499</v>
      </c>
      <c r="I75" s="357" t="s">
        <v>242</v>
      </c>
      <c r="J75" s="357" t="s">
        <v>996</v>
      </c>
      <c r="K75" s="426" t="str">
        <f>HYPERLINK("https://okcountyrecords.com/detail/roger+mills/1971-002244","OKCountyRecords: 1971-002244")</f>
        <v>OKCountyRecords: 1971-002244</v>
      </c>
    </row>
    <row r="76" spans="1:20" s="186" customFormat="1" ht="51" hidden="1" x14ac:dyDescent="0.2">
      <c r="A76" s="355" t="s">
        <v>1526</v>
      </c>
      <c r="B76" s="355"/>
      <c r="C76" s="355" t="s">
        <v>309</v>
      </c>
      <c r="D76" s="355" t="s">
        <v>1527</v>
      </c>
      <c r="E76" s="460">
        <v>26158</v>
      </c>
      <c r="F76" s="356">
        <v>26158</v>
      </c>
      <c r="G76" s="357" t="s">
        <v>374</v>
      </c>
      <c r="H76" s="355" t="s">
        <v>1528</v>
      </c>
      <c r="I76" s="357" t="s">
        <v>313</v>
      </c>
      <c r="J76" s="357" t="s">
        <v>996</v>
      </c>
      <c r="K76" s="426" t="str">
        <f>HYPERLINK("https://okcountyrecords.com/detail/roger+mills/1971-002664","OKCountyRecords: 1971-002664")</f>
        <v>OKCountyRecords: 1971-002664</v>
      </c>
    </row>
    <row r="77" spans="1:20" s="186" customFormat="1" ht="51" hidden="1" x14ac:dyDescent="0.2">
      <c r="A77" s="355" t="s">
        <v>1529</v>
      </c>
      <c r="B77" s="355"/>
      <c r="C77" s="355" t="s">
        <v>114</v>
      </c>
      <c r="D77" s="355" t="s">
        <v>1530</v>
      </c>
      <c r="E77" s="460">
        <v>26193</v>
      </c>
      <c r="F77" s="356">
        <v>26193</v>
      </c>
      <c r="G77" s="357" t="s">
        <v>374</v>
      </c>
      <c r="H77" s="355" t="s">
        <v>799</v>
      </c>
      <c r="I77" s="357" t="s">
        <v>242</v>
      </c>
      <c r="J77" s="357" t="s">
        <v>996</v>
      </c>
      <c r="K77" s="426" t="str">
        <f>HYPERLINK("https://okcountyrecords.com/detail/roger+mills/1971-003272","OKCountyRecords: 1971-003272")</f>
        <v>OKCountyRecords: 1971-003272</v>
      </c>
    </row>
    <row r="78" spans="1:20" s="186" customFormat="1" ht="12.75" hidden="1" x14ac:dyDescent="0.2">
      <c r="A78" s="355" t="s">
        <v>1531</v>
      </c>
      <c r="B78" s="355"/>
      <c r="C78" s="355" t="s">
        <v>114</v>
      </c>
      <c r="D78" s="355" t="s">
        <v>1532</v>
      </c>
      <c r="E78" s="460">
        <v>26231</v>
      </c>
      <c r="F78" s="356">
        <v>26231</v>
      </c>
      <c r="G78" s="355" t="s">
        <v>1499</v>
      </c>
      <c r="H78" s="355" t="s">
        <v>1533</v>
      </c>
      <c r="I78" s="357" t="s">
        <v>1003</v>
      </c>
      <c r="J78" s="357" t="s">
        <v>996</v>
      </c>
      <c r="K78" s="426" t="str">
        <f>HYPERLINK("https://okcountyrecords.com/detail/roger+mills/1971-003746","OKCountyRecords: 1971-003746")</f>
        <v>OKCountyRecords: 1971-003746</v>
      </c>
    </row>
    <row r="79" spans="1:20" s="186" customFormat="1" ht="12.75" hidden="1" x14ac:dyDescent="0.2">
      <c r="A79" s="355" t="s">
        <v>1534</v>
      </c>
      <c r="B79" s="355"/>
      <c r="C79" s="355" t="s">
        <v>114</v>
      </c>
      <c r="D79" s="355" t="s">
        <v>1535</v>
      </c>
      <c r="E79" s="460">
        <v>26287</v>
      </c>
      <c r="F79" s="356">
        <v>26287</v>
      </c>
      <c r="G79" s="355" t="s">
        <v>1499</v>
      </c>
      <c r="H79" s="355" t="s">
        <v>1533</v>
      </c>
      <c r="I79" s="357" t="s">
        <v>1012</v>
      </c>
      <c r="J79" s="357" t="s">
        <v>996</v>
      </c>
      <c r="K79" s="426" t="str">
        <f>HYPERLINK("https://okcountyrecords.com/detail/roger+mills/1971-004499","OKCountyRecords: 1971-004499")</f>
        <v>OKCountyRecords: 1971-004499</v>
      </c>
    </row>
    <row r="80" spans="1:20" s="186" customFormat="1" ht="63.75" hidden="1" x14ac:dyDescent="0.2">
      <c r="A80" s="355" t="s">
        <v>1536</v>
      </c>
      <c r="B80" s="355"/>
      <c r="C80" s="355" t="s">
        <v>309</v>
      </c>
      <c r="D80" s="355" t="s">
        <v>1537</v>
      </c>
      <c r="E80" s="460">
        <v>26500</v>
      </c>
      <c r="F80" s="356">
        <v>26500</v>
      </c>
      <c r="G80" s="357" t="s">
        <v>376</v>
      </c>
      <c r="H80" s="355" t="s">
        <v>1528</v>
      </c>
      <c r="I80" s="357" t="s">
        <v>308</v>
      </c>
      <c r="J80" s="357" t="s">
        <v>996</v>
      </c>
      <c r="K80" s="426" t="str">
        <f>HYPERLINK("https://okcountyrecords.com/detail/roger+mills/1972-002543","OKCountyRecords: 1972-002543")</f>
        <v>OKCountyRecords: 1972-002543</v>
      </c>
    </row>
    <row r="81" spans="1:20" ht="38.25" hidden="1" x14ac:dyDescent="0.25">
      <c r="A81" s="355" t="s">
        <v>1538</v>
      </c>
      <c r="B81" s="355"/>
      <c r="C81" s="355" t="s">
        <v>114</v>
      </c>
      <c r="D81" s="355" t="s">
        <v>1539</v>
      </c>
      <c r="E81" s="460">
        <v>26500</v>
      </c>
      <c r="F81" s="356">
        <v>26500</v>
      </c>
      <c r="G81" s="357" t="s">
        <v>1540</v>
      </c>
      <c r="H81" s="355" t="s">
        <v>1528</v>
      </c>
      <c r="I81" s="357" t="s">
        <v>1012</v>
      </c>
      <c r="J81" s="357" t="s">
        <v>996</v>
      </c>
      <c r="K81" s="426" t="str">
        <f>HYPERLINK("https://okcountyrecords.com/detail/roger+mills/1972-002544","OKCountyRecords: 1972-002544")</f>
        <v>OKCountyRecords: 1972-002544</v>
      </c>
    </row>
    <row r="82" spans="1:20" s="600" customFormat="1" x14ac:dyDescent="0.25">
      <c r="A82" s="580" t="s">
        <v>1541</v>
      </c>
      <c r="B82" s="580"/>
      <c r="C82" s="581" t="s">
        <v>8732</v>
      </c>
      <c r="D82" s="580" t="s">
        <v>1542</v>
      </c>
      <c r="E82" s="582">
        <v>26500</v>
      </c>
      <c r="F82" s="582">
        <v>26500</v>
      </c>
      <c r="G82" s="581" t="s">
        <v>8734</v>
      </c>
      <c r="H82" s="580" t="s">
        <v>1544</v>
      </c>
      <c r="I82" s="581" t="s">
        <v>8743</v>
      </c>
      <c r="J82" s="581" t="s">
        <v>8735</v>
      </c>
      <c r="K82" s="584" t="str">
        <f>HYPERLINK("https://okcountyrecords.com/detail/roger+mills/1972-002545","OKCountyRecords: 1972-002545")</f>
        <v>OKCountyRecords: 1972-002545</v>
      </c>
      <c r="L82" s="598"/>
      <c r="M82" s="598"/>
      <c r="N82" s="598"/>
      <c r="O82" s="598"/>
      <c r="P82" s="598"/>
      <c r="Q82" s="598"/>
      <c r="R82" s="598"/>
      <c r="S82" s="598"/>
      <c r="T82" s="598"/>
    </row>
    <row r="83" spans="1:20" ht="63.75" hidden="1" x14ac:dyDescent="0.25">
      <c r="A83" s="355" t="s">
        <v>1545</v>
      </c>
      <c r="B83" s="355"/>
      <c r="C83" s="355" t="s">
        <v>309</v>
      </c>
      <c r="D83" s="355" t="s">
        <v>1546</v>
      </c>
      <c r="E83" s="460">
        <v>26500</v>
      </c>
      <c r="F83" s="356">
        <v>26500</v>
      </c>
      <c r="G83" s="357" t="s">
        <v>377</v>
      </c>
      <c r="H83" s="355" t="s">
        <v>1528</v>
      </c>
      <c r="I83" s="357" t="s">
        <v>308</v>
      </c>
      <c r="J83" s="357" t="s">
        <v>996</v>
      </c>
      <c r="K83" s="426" t="str">
        <f>HYPERLINK("https://okcountyrecords.com/detail/roger+mills/1972-002561","OKCountyRecords: 1972-002561")</f>
        <v>OKCountyRecords: 1972-002561</v>
      </c>
    </row>
    <row r="84" spans="1:20" s="600" customFormat="1" x14ac:dyDescent="0.25">
      <c r="A84" s="580" t="s">
        <v>1547</v>
      </c>
      <c r="B84" s="580"/>
      <c r="C84" s="581" t="s">
        <v>8732</v>
      </c>
      <c r="D84" s="580" t="s">
        <v>1548</v>
      </c>
      <c r="E84" s="582">
        <v>26500</v>
      </c>
      <c r="F84" s="582">
        <v>26500</v>
      </c>
      <c r="G84" s="581" t="s">
        <v>8733</v>
      </c>
      <c r="H84" s="580" t="s">
        <v>1550</v>
      </c>
      <c r="I84" s="581" t="s">
        <v>8744</v>
      </c>
      <c r="J84" s="581" t="s">
        <v>8735</v>
      </c>
      <c r="K84" s="584" t="str">
        <f>HYPERLINK("https://okcountyrecords.com/detail/roger+mills/1972-002562","OKCountyRecords: 1972-002562")</f>
        <v>OKCountyRecords: 1972-002562</v>
      </c>
      <c r="L84" s="598"/>
      <c r="M84" s="598"/>
      <c r="N84" s="598"/>
      <c r="O84" s="598"/>
      <c r="P84" s="598"/>
      <c r="Q84" s="598"/>
      <c r="R84" s="598"/>
      <c r="S84" s="598"/>
      <c r="T84" s="598"/>
    </row>
    <row r="85" spans="1:20" ht="38.25" hidden="1" x14ac:dyDescent="0.25">
      <c r="A85" s="355" t="s">
        <v>1551</v>
      </c>
      <c r="B85" s="355"/>
      <c r="C85" s="355" t="s">
        <v>114</v>
      </c>
      <c r="D85" s="355" t="s">
        <v>1552</v>
      </c>
      <c r="E85" s="460">
        <v>26500</v>
      </c>
      <c r="F85" s="356">
        <v>26500</v>
      </c>
      <c r="G85" s="357" t="s">
        <v>1553</v>
      </c>
      <c r="H85" s="355" t="s">
        <v>1528</v>
      </c>
      <c r="I85" s="357" t="s">
        <v>1012</v>
      </c>
      <c r="J85" s="357" t="s">
        <v>996</v>
      </c>
      <c r="K85" s="426" t="str">
        <f>HYPERLINK("https://okcountyrecords.com/detail/roger+mills/1972-002563","OKCountyRecords: 1972-002563")</f>
        <v>OKCountyRecords: 1972-002563</v>
      </c>
    </row>
    <row r="86" spans="1:20" ht="25.5" hidden="1" x14ac:dyDescent="0.25">
      <c r="A86" s="355" t="s">
        <v>1554</v>
      </c>
      <c r="B86" s="355"/>
      <c r="C86" s="355" t="s">
        <v>309</v>
      </c>
      <c r="D86" s="355" t="s">
        <v>1555</v>
      </c>
      <c r="E86" s="460">
        <v>26791</v>
      </c>
      <c r="F86" s="356">
        <v>26791</v>
      </c>
      <c r="G86" s="357" t="s">
        <v>378</v>
      </c>
      <c r="H86" s="355" t="s">
        <v>806</v>
      </c>
      <c r="I86" s="357" t="s">
        <v>313</v>
      </c>
      <c r="J86" s="357" t="s">
        <v>996</v>
      </c>
      <c r="K86" s="426" t="str">
        <f>HYPERLINK("https://okcountyrecords.com/detail/roger+mills/1973-001367","OKCountyRecords: 1973-001367")</f>
        <v>OKCountyRecords: 1973-001367</v>
      </c>
    </row>
    <row r="87" spans="1:20" ht="25.5" hidden="1" x14ac:dyDescent="0.25">
      <c r="A87" s="355" t="s">
        <v>1556</v>
      </c>
      <c r="B87" s="355"/>
      <c r="C87" s="355" t="s">
        <v>309</v>
      </c>
      <c r="D87" s="355" t="s">
        <v>1557</v>
      </c>
      <c r="E87" s="460">
        <v>26882</v>
      </c>
      <c r="F87" s="356">
        <v>26882</v>
      </c>
      <c r="G87" s="357" t="s">
        <v>380</v>
      </c>
      <c r="H87" s="355" t="s">
        <v>806</v>
      </c>
      <c r="I87" s="357" t="s">
        <v>313</v>
      </c>
      <c r="J87" s="428" t="s">
        <v>1558</v>
      </c>
      <c r="K87" s="426" t="str">
        <f>HYPERLINK("https://okcountyrecords.com/detail/roger+mills/1973-002502","OKCountyRecords: 1973-002502")</f>
        <v>OKCountyRecords: 1973-002502</v>
      </c>
    </row>
    <row r="88" spans="1:20" ht="25.5" hidden="1" x14ac:dyDescent="0.25">
      <c r="A88" s="355" t="s">
        <v>1559</v>
      </c>
      <c r="B88" s="355"/>
      <c r="C88" s="355" t="s">
        <v>309</v>
      </c>
      <c r="D88" s="355" t="s">
        <v>1560</v>
      </c>
      <c r="E88" s="460">
        <v>27036</v>
      </c>
      <c r="F88" s="356">
        <v>27036</v>
      </c>
      <c r="G88" s="355" t="s">
        <v>381</v>
      </c>
      <c r="H88" s="355" t="s">
        <v>806</v>
      </c>
      <c r="I88" s="357" t="s">
        <v>308</v>
      </c>
      <c r="J88" s="428" t="s">
        <v>1558</v>
      </c>
      <c r="K88" s="426" t="str">
        <f>HYPERLINK("https://okcountyrecords.com/detail/roger+mills/1974-000130","OKCountyRecords: 1974-000130")</f>
        <v>OKCountyRecords: 1974-000130</v>
      </c>
    </row>
    <row r="89" spans="1:20" s="602" customFormat="1" x14ac:dyDescent="0.25">
      <c r="A89" s="586" t="s">
        <v>1561</v>
      </c>
      <c r="B89" s="586"/>
      <c r="C89" s="587" t="s">
        <v>2827</v>
      </c>
      <c r="D89" s="586" t="s">
        <v>1562</v>
      </c>
      <c r="E89" s="588">
        <v>27121</v>
      </c>
      <c r="F89" s="588">
        <v>27121</v>
      </c>
      <c r="G89" s="587" t="s">
        <v>8737</v>
      </c>
      <c r="H89" s="587" t="s">
        <v>8738</v>
      </c>
      <c r="I89" s="587" t="s">
        <v>8740</v>
      </c>
      <c r="J89" s="587" t="s">
        <v>8739</v>
      </c>
      <c r="K89" s="589" t="str">
        <f>HYPERLINK("https://okcountyrecords.com/detail/roger+mills/1974-001152","OKCountyRecords: 1974-001152")</f>
        <v>OKCountyRecords: 1974-001152</v>
      </c>
      <c r="L89" s="601"/>
      <c r="M89" s="601"/>
      <c r="N89" s="601"/>
      <c r="O89" s="601"/>
      <c r="P89" s="601"/>
      <c r="Q89" s="601"/>
      <c r="R89" s="601"/>
      <c r="S89" s="601"/>
      <c r="T89" s="601"/>
    </row>
    <row r="90" spans="1:20" hidden="1" x14ac:dyDescent="0.25">
      <c r="A90" s="355" t="s">
        <v>1564</v>
      </c>
      <c r="B90" s="355"/>
      <c r="C90" s="355" t="s">
        <v>309</v>
      </c>
      <c r="D90" s="355" t="s">
        <v>1565</v>
      </c>
      <c r="E90" s="460">
        <v>27148</v>
      </c>
      <c r="F90" s="356">
        <v>27148</v>
      </c>
      <c r="G90" s="355" t="s">
        <v>382</v>
      </c>
      <c r="H90" s="355" t="s">
        <v>383</v>
      </c>
      <c r="I90" s="357" t="s">
        <v>308</v>
      </c>
      <c r="J90" s="357" t="s">
        <v>996</v>
      </c>
      <c r="K90" s="426" t="str">
        <f>HYPERLINK("https://okcountyrecords.com/detail/roger+mills/1974-001419","OKCountyRecords: 1974-001419")</f>
        <v>OKCountyRecords: 1974-001419</v>
      </c>
    </row>
    <row r="91" spans="1:20" s="596" customFormat="1" x14ac:dyDescent="0.25">
      <c r="A91" s="580" t="s">
        <v>1566</v>
      </c>
      <c r="B91" s="580"/>
      <c r="C91" s="581" t="s">
        <v>1623</v>
      </c>
      <c r="D91" s="580" t="s">
        <v>1567</v>
      </c>
      <c r="E91" s="582">
        <v>27163</v>
      </c>
      <c r="F91" s="582">
        <v>27163</v>
      </c>
      <c r="G91" s="581" t="s">
        <v>8741</v>
      </c>
      <c r="H91" s="580" t="s">
        <v>1569</v>
      </c>
      <c r="I91" s="581" t="s">
        <v>8705</v>
      </c>
      <c r="J91" s="581" t="s">
        <v>8742</v>
      </c>
      <c r="K91" s="584" t="str">
        <f>HYPERLINK("https://okcountyrecords.com/detail/roger+mills/1974-001639","OKCountyRecords: 1974-001639")</f>
        <v>OKCountyRecords: 1974-001639</v>
      </c>
    </row>
    <row r="92" spans="1:20" s="596" customFormat="1" x14ac:dyDescent="0.25">
      <c r="A92" s="580" t="s">
        <v>1570</v>
      </c>
      <c r="B92" s="580"/>
      <c r="C92" s="581" t="s">
        <v>1623</v>
      </c>
      <c r="D92" s="580" t="s">
        <v>1571</v>
      </c>
      <c r="E92" s="582">
        <v>27171</v>
      </c>
      <c r="F92" s="582">
        <v>27171</v>
      </c>
      <c r="G92" s="580" t="s">
        <v>1569</v>
      </c>
      <c r="H92" s="580" t="s">
        <v>1572</v>
      </c>
      <c r="I92" s="581" t="s">
        <v>8705</v>
      </c>
      <c r="J92" s="581" t="s">
        <v>8745</v>
      </c>
      <c r="K92" s="584" t="str">
        <f>HYPERLINK("https://okcountyrecords.com/detail/roger+mills/1974-001700","OKCountyRecords: 1974-001700")</f>
        <v>OKCountyRecords: 1974-001700</v>
      </c>
    </row>
    <row r="93" spans="1:20" s="596" customFormat="1" x14ac:dyDescent="0.25">
      <c r="A93" s="580" t="s">
        <v>1573</v>
      </c>
      <c r="B93" s="580"/>
      <c r="C93" s="581" t="s">
        <v>1623</v>
      </c>
      <c r="D93" s="580" t="s">
        <v>1574</v>
      </c>
      <c r="E93" s="582">
        <v>27207</v>
      </c>
      <c r="F93" s="582">
        <v>27207</v>
      </c>
      <c r="G93" s="580" t="s">
        <v>1569</v>
      </c>
      <c r="H93" s="580" t="s">
        <v>1575</v>
      </c>
      <c r="I93" s="581" t="s">
        <v>8705</v>
      </c>
      <c r="J93" s="581" t="s">
        <v>8746</v>
      </c>
      <c r="K93" s="584" t="str">
        <f>HYPERLINK("https://okcountyrecords.com/detail/roger+mills/1974-002044","OKCountyRecords: 1974-002044")</f>
        <v>OKCountyRecords: 1974-002044</v>
      </c>
    </row>
    <row r="94" spans="1:20" s="596" customFormat="1" x14ac:dyDescent="0.25">
      <c r="A94" s="580" t="s">
        <v>1576</v>
      </c>
      <c r="B94" s="580"/>
      <c r="C94" s="581" t="s">
        <v>1623</v>
      </c>
      <c r="D94" s="580" t="s">
        <v>1577</v>
      </c>
      <c r="E94" s="582">
        <v>27481</v>
      </c>
      <c r="F94" s="582">
        <v>27481</v>
      </c>
      <c r="G94" s="580" t="s">
        <v>1569</v>
      </c>
      <c r="H94" s="580" t="s">
        <v>416</v>
      </c>
      <c r="I94" s="581" t="s">
        <v>8705</v>
      </c>
      <c r="J94" s="581" t="s">
        <v>8746</v>
      </c>
      <c r="K94" s="584" t="str">
        <f>HYPERLINK("https://okcountyrecords.com/detail/roger+mills/1975-000869","OKCountyRecords: 1975-000869")</f>
        <v>OKCountyRecords: 1975-000869</v>
      </c>
    </row>
    <row r="95" spans="1:20" s="8" customFormat="1" hidden="1" x14ac:dyDescent="0.25">
      <c r="A95" s="355" t="s">
        <v>1578</v>
      </c>
      <c r="B95" s="355"/>
      <c r="C95" s="355" t="s">
        <v>309</v>
      </c>
      <c r="D95" s="355" t="s">
        <v>1579</v>
      </c>
      <c r="E95" s="460">
        <v>27862</v>
      </c>
      <c r="F95" s="356">
        <v>27862</v>
      </c>
      <c r="G95" s="355" t="s">
        <v>384</v>
      </c>
      <c r="H95" s="355" t="s">
        <v>812</v>
      </c>
      <c r="I95" s="357" t="s">
        <v>313</v>
      </c>
      <c r="J95" s="357" t="s">
        <v>996</v>
      </c>
      <c r="K95" s="426" t="str">
        <f>HYPERLINK("https://okcountyrecords.com/detail/roger+mills/1976-001369","OKCountyRecords: 1976-001369")</f>
        <v>OKCountyRecords: 1976-001369</v>
      </c>
    </row>
    <row r="96" spans="1:20" s="8" customFormat="1" ht="25.5" hidden="1" x14ac:dyDescent="0.25">
      <c r="A96" s="355" t="s">
        <v>1587</v>
      </c>
      <c r="B96" s="355"/>
      <c r="C96" s="355" t="s">
        <v>114</v>
      </c>
      <c r="D96" s="355" t="s">
        <v>1588</v>
      </c>
      <c r="E96" s="356">
        <v>27962</v>
      </c>
      <c r="F96" s="356">
        <v>28167</v>
      </c>
      <c r="G96" s="355" t="s">
        <v>812</v>
      </c>
      <c r="H96" s="355" t="s">
        <v>1533</v>
      </c>
      <c r="I96" s="357" t="s">
        <v>1586</v>
      </c>
      <c r="J96" s="357" t="s">
        <v>996</v>
      </c>
      <c r="K96" s="426" t="str">
        <f>HYPERLINK("https://okcountyrecords.com/detail/roger+mills/1977-000812","OKCountyRecords: 1977-000812")</f>
        <v>OKCountyRecords: 1977-000812</v>
      </c>
    </row>
    <row r="97" spans="1:11" s="8" customFormat="1" ht="25.5" hidden="1" x14ac:dyDescent="0.25">
      <c r="A97" s="355" t="s">
        <v>1583</v>
      </c>
      <c r="B97" s="355"/>
      <c r="C97" s="355" t="s">
        <v>114</v>
      </c>
      <c r="D97" s="355" t="s">
        <v>1584</v>
      </c>
      <c r="E97" s="356">
        <v>27964</v>
      </c>
      <c r="F97" s="356">
        <v>28026</v>
      </c>
      <c r="G97" s="355" t="s">
        <v>812</v>
      </c>
      <c r="H97" s="355" t="s">
        <v>1585</v>
      </c>
      <c r="I97" s="357" t="s">
        <v>1586</v>
      </c>
      <c r="J97" s="357" t="s">
        <v>996</v>
      </c>
      <c r="K97" s="426" t="str">
        <f>HYPERLINK("https://okcountyrecords.com/detail/roger+mills/1976-003640","OKCountyRecords: 1976-003640")</f>
        <v>OKCountyRecords: 1976-003640</v>
      </c>
    </row>
    <row r="98" spans="1:11" s="8" customFormat="1" ht="25.5" hidden="1" x14ac:dyDescent="0.25">
      <c r="A98" s="355" t="s">
        <v>1748</v>
      </c>
      <c r="B98" s="355"/>
      <c r="C98" s="355" t="s">
        <v>114</v>
      </c>
      <c r="D98" s="355" t="s">
        <v>1749</v>
      </c>
      <c r="E98" s="356">
        <v>27964</v>
      </c>
      <c r="F98" s="356">
        <v>29388</v>
      </c>
      <c r="G98" s="355" t="s">
        <v>812</v>
      </c>
      <c r="H98" s="355" t="s">
        <v>1750</v>
      </c>
      <c r="I98" s="357" t="s">
        <v>1586</v>
      </c>
      <c r="J98" s="357" t="s">
        <v>996</v>
      </c>
      <c r="K98" s="426" t="str">
        <f>HYPERLINK("https://okcountyrecords.com/detail/roger+mills/1980-004634","OKCountyRecords: 1980-004634")</f>
        <v>OKCountyRecords: 1980-004634</v>
      </c>
    </row>
    <row r="99" spans="1:11" s="596" customFormat="1" x14ac:dyDescent="0.25">
      <c r="A99" s="580" t="s">
        <v>1580</v>
      </c>
      <c r="B99" s="580"/>
      <c r="C99" s="581" t="s">
        <v>2430</v>
      </c>
      <c r="D99" s="580" t="s">
        <v>1581</v>
      </c>
      <c r="E99" s="582">
        <v>28005</v>
      </c>
      <c r="F99" s="582">
        <v>28005</v>
      </c>
      <c r="G99" s="581" t="s">
        <v>8747</v>
      </c>
      <c r="H99" s="580" t="s">
        <v>1582</v>
      </c>
      <c r="I99" s="581" t="s">
        <v>8748</v>
      </c>
      <c r="J99" s="581" t="s">
        <v>973</v>
      </c>
      <c r="K99" s="584" t="str">
        <f>HYPERLINK("https://okcountyrecords.com/detail/roger+mills/1976-003251","OKCountyRecords: 1976-003251")</f>
        <v>OKCountyRecords: 1976-003251</v>
      </c>
    </row>
    <row r="100" spans="1:11" s="8" customFormat="1" ht="25.5" hidden="1" x14ac:dyDescent="0.25">
      <c r="A100" s="355" t="s">
        <v>1589</v>
      </c>
      <c r="B100" s="355"/>
      <c r="C100" s="355" t="s">
        <v>309</v>
      </c>
      <c r="D100" s="355" t="s">
        <v>1590</v>
      </c>
      <c r="E100" s="460">
        <v>28167</v>
      </c>
      <c r="F100" s="356">
        <v>28167</v>
      </c>
      <c r="G100" s="357" t="s">
        <v>386</v>
      </c>
      <c r="H100" s="355" t="s">
        <v>387</v>
      </c>
      <c r="I100" s="357" t="s">
        <v>308</v>
      </c>
      <c r="J100" s="357" t="s">
        <v>996</v>
      </c>
      <c r="K100" s="426" t="str">
        <f>HYPERLINK("https://okcountyrecords.com/detail/roger+mills/1977-000821","OKCountyRecords: 1977-000821")</f>
        <v>OKCountyRecords: 1977-000821</v>
      </c>
    </row>
    <row r="101" spans="1:11" s="8" customFormat="1" hidden="1" x14ac:dyDescent="0.25">
      <c r="A101" s="355" t="s">
        <v>1591</v>
      </c>
      <c r="B101" s="355"/>
      <c r="C101" s="355" t="s">
        <v>114</v>
      </c>
      <c r="D101" s="355" t="s">
        <v>1592</v>
      </c>
      <c r="E101" s="460">
        <v>28412</v>
      </c>
      <c r="F101" s="356">
        <v>28412</v>
      </c>
      <c r="G101" s="355" t="s">
        <v>1533</v>
      </c>
      <c r="H101" s="355" t="s">
        <v>812</v>
      </c>
      <c r="I101" s="357" t="s">
        <v>1012</v>
      </c>
      <c r="J101" s="357" t="s">
        <v>996</v>
      </c>
      <c r="K101" s="426" t="str">
        <f>HYPERLINK("https://okcountyrecords.com/detail/roger+mills/1977-006651","OKCountyRecords: 1977-006651")</f>
        <v>OKCountyRecords: 1977-006651</v>
      </c>
    </row>
    <row r="102" spans="1:11" s="596" customFormat="1" x14ac:dyDescent="0.25">
      <c r="A102" s="580" t="s">
        <v>1593</v>
      </c>
      <c r="B102" s="580"/>
      <c r="C102" s="581" t="s">
        <v>2827</v>
      </c>
      <c r="D102" s="580" t="s">
        <v>1594</v>
      </c>
      <c r="E102" s="582">
        <v>28445</v>
      </c>
      <c r="F102" s="582">
        <v>28445</v>
      </c>
      <c r="G102" s="580" t="s">
        <v>1582</v>
      </c>
      <c r="H102" s="581" t="s">
        <v>8749</v>
      </c>
      <c r="I102" s="581" t="s">
        <v>8748</v>
      </c>
      <c r="J102" s="581" t="s">
        <v>973</v>
      </c>
      <c r="K102" s="584" t="str">
        <f>HYPERLINK("https://okcountyrecords.com/detail/roger+mills/1977-007503","OKCountyRecords: 1977-007503")</f>
        <v>OKCountyRecords: 1977-007503</v>
      </c>
    </row>
    <row r="103" spans="1:11" s="8" customFormat="1" ht="25.5" hidden="1" x14ac:dyDescent="0.25">
      <c r="A103" s="355" t="s">
        <v>1595</v>
      </c>
      <c r="B103" s="355"/>
      <c r="C103" s="355" t="s">
        <v>309</v>
      </c>
      <c r="D103" s="355" t="s">
        <v>1596</v>
      </c>
      <c r="E103" s="460">
        <v>28447</v>
      </c>
      <c r="F103" s="356">
        <v>28447</v>
      </c>
      <c r="G103" s="357" t="s">
        <v>1597</v>
      </c>
      <c r="H103" s="355" t="s">
        <v>817</v>
      </c>
      <c r="I103" s="357" t="s">
        <v>308</v>
      </c>
      <c r="J103" s="357" t="s">
        <v>996</v>
      </c>
      <c r="K103" s="426" t="str">
        <f>HYPERLINK("https://okcountyrecords.com/detail/roger+mills/1977-007639","OKCountyRecords: 1977-007639")</f>
        <v>OKCountyRecords: 1977-007639</v>
      </c>
    </row>
    <row r="104" spans="1:11" s="8" customFormat="1" ht="51" hidden="1" x14ac:dyDescent="0.25">
      <c r="A104" s="355" t="s">
        <v>1598</v>
      </c>
      <c r="B104" s="355"/>
      <c r="C104" s="355" t="s">
        <v>309</v>
      </c>
      <c r="D104" s="355" t="s">
        <v>1599</v>
      </c>
      <c r="E104" s="460">
        <v>28583</v>
      </c>
      <c r="F104" s="356">
        <v>28583</v>
      </c>
      <c r="G104" s="357" t="s">
        <v>1600</v>
      </c>
      <c r="H104" s="355" t="s">
        <v>391</v>
      </c>
      <c r="I104" s="357" t="s">
        <v>313</v>
      </c>
      <c r="J104" s="357" t="s">
        <v>996</v>
      </c>
      <c r="K104" s="426" t="str">
        <f>HYPERLINK("https://okcountyrecords.com/detail/roger+mills/1978-002575","OKCountyRecords: 1978-002575")</f>
        <v>OKCountyRecords: 1978-002575</v>
      </c>
    </row>
    <row r="105" spans="1:11" s="596" customFormat="1" x14ac:dyDescent="0.25">
      <c r="A105" s="580" t="s">
        <v>1601</v>
      </c>
      <c r="B105" s="580"/>
      <c r="C105" s="581" t="s">
        <v>1623</v>
      </c>
      <c r="D105" s="580" t="s">
        <v>1602</v>
      </c>
      <c r="E105" s="582">
        <v>28583</v>
      </c>
      <c r="F105" s="582">
        <v>28583</v>
      </c>
      <c r="G105" s="581" t="s">
        <v>8750</v>
      </c>
      <c r="H105" s="580" t="s">
        <v>1604</v>
      </c>
      <c r="I105" s="581" t="s">
        <v>8751</v>
      </c>
      <c r="J105" s="581" t="s">
        <v>8752</v>
      </c>
      <c r="K105" s="584" t="str">
        <f>HYPERLINK("https://okcountyrecords.com/detail/roger+mills/1978-002576","OKCountyRecords: 1978-002576")</f>
        <v>OKCountyRecords: 1978-002576</v>
      </c>
    </row>
    <row r="106" spans="1:11" s="596" customFormat="1" x14ac:dyDescent="0.25">
      <c r="A106" s="580" t="s">
        <v>1605</v>
      </c>
      <c r="B106" s="580"/>
      <c r="C106" s="581" t="s">
        <v>1623</v>
      </c>
      <c r="D106" s="580" t="s">
        <v>1606</v>
      </c>
      <c r="E106" s="582">
        <v>28583</v>
      </c>
      <c r="F106" s="582">
        <v>28583</v>
      </c>
      <c r="G106" s="581" t="s">
        <v>8750</v>
      </c>
      <c r="H106" s="580" t="s">
        <v>395</v>
      </c>
      <c r="I106" s="581" t="s">
        <v>8751</v>
      </c>
      <c r="J106" s="581" t="s">
        <v>8752</v>
      </c>
      <c r="K106" s="584" t="str">
        <f>HYPERLINK("https://okcountyrecords.com/detail/roger+mills/1978-002579","OKCountyRecords: 1978-002579")</f>
        <v>OKCountyRecords: 1978-002579</v>
      </c>
    </row>
    <row r="107" spans="1:11" s="596" customFormat="1" x14ac:dyDescent="0.25">
      <c r="A107" s="580" t="s">
        <v>1607</v>
      </c>
      <c r="B107" s="580"/>
      <c r="C107" s="581" t="s">
        <v>1623</v>
      </c>
      <c r="D107" s="580" t="s">
        <v>1608</v>
      </c>
      <c r="E107" s="582">
        <v>28583</v>
      </c>
      <c r="F107" s="582">
        <v>28583</v>
      </c>
      <c r="G107" s="581" t="s">
        <v>8750</v>
      </c>
      <c r="H107" s="580" t="s">
        <v>396</v>
      </c>
      <c r="I107" s="581" t="s">
        <v>8751</v>
      </c>
      <c r="J107" s="581" t="s">
        <v>8752</v>
      </c>
      <c r="K107" s="584" t="str">
        <f>HYPERLINK("https://okcountyrecords.com/detail/roger+mills/1978-002580","OKCountyRecords: 1978-002580")</f>
        <v>OKCountyRecords: 1978-002580</v>
      </c>
    </row>
    <row r="108" spans="1:11" s="596" customFormat="1" x14ac:dyDescent="0.25">
      <c r="A108" s="580" t="s">
        <v>1609</v>
      </c>
      <c r="B108" s="580"/>
      <c r="C108" s="581" t="s">
        <v>1623</v>
      </c>
      <c r="D108" s="580" t="s">
        <v>1610</v>
      </c>
      <c r="E108" s="582">
        <v>28583</v>
      </c>
      <c r="F108" s="582">
        <v>28583</v>
      </c>
      <c r="G108" s="581" t="s">
        <v>8750</v>
      </c>
      <c r="H108" s="580" t="s">
        <v>397</v>
      </c>
      <c r="I108" s="581" t="s">
        <v>8751</v>
      </c>
      <c r="J108" s="581" t="s">
        <v>8752</v>
      </c>
      <c r="K108" s="584" t="str">
        <f>HYPERLINK("https://okcountyrecords.com/detail/roger+mills/1978-002581","OKCountyRecords: 1978-002581")</f>
        <v>OKCountyRecords: 1978-002581</v>
      </c>
    </row>
    <row r="109" spans="1:11" s="596" customFormat="1" x14ac:dyDescent="0.25">
      <c r="A109" s="580" t="s">
        <v>1611</v>
      </c>
      <c r="B109" s="580"/>
      <c r="C109" s="581" t="s">
        <v>1623</v>
      </c>
      <c r="D109" s="580" t="s">
        <v>1612</v>
      </c>
      <c r="E109" s="582">
        <v>28583</v>
      </c>
      <c r="F109" s="582">
        <v>28583</v>
      </c>
      <c r="G109" s="581" t="s">
        <v>8750</v>
      </c>
      <c r="H109" s="580" t="s">
        <v>392</v>
      </c>
      <c r="I109" s="581" t="s">
        <v>8751</v>
      </c>
      <c r="J109" s="581" t="s">
        <v>8752</v>
      </c>
      <c r="K109" s="584" t="str">
        <f>HYPERLINK("https://okcountyrecords.com/detail/roger+mills/1978-002582","OKCountyRecords: 1978-002582")</f>
        <v>OKCountyRecords: 1978-002582</v>
      </c>
    </row>
    <row r="110" spans="1:11" s="596" customFormat="1" x14ac:dyDescent="0.25">
      <c r="A110" s="580" t="s">
        <v>1613</v>
      </c>
      <c r="B110" s="580"/>
      <c r="C110" s="581" t="s">
        <v>1623</v>
      </c>
      <c r="D110" s="580" t="s">
        <v>1614</v>
      </c>
      <c r="E110" s="582">
        <v>28583</v>
      </c>
      <c r="F110" s="582">
        <v>28583</v>
      </c>
      <c r="G110" s="581" t="s">
        <v>8750</v>
      </c>
      <c r="H110" s="580" t="s">
        <v>1615</v>
      </c>
      <c r="I110" s="581" t="s">
        <v>8751</v>
      </c>
      <c r="J110" s="581" t="s">
        <v>8752</v>
      </c>
      <c r="K110" s="584" t="str">
        <f>HYPERLINK("https://okcountyrecords.com/detail/roger+mills/1978-002583","OKCountyRecords: 1978-002583")</f>
        <v>OKCountyRecords: 1978-002583</v>
      </c>
    </row>
    <row r="111" spans="1:11" s="596" customFormat="1" x14ac:dyDescent="0.25">
      <c r="A111" s="580" t="s">
        <v>1616</v>
      </c>
      <c r="B111" s="580"/>
      <c r="C111" s="581" t="s">
        <v>1623</v>
      </c>
      <c r="D111" s="580" t="s">
        <v>1617</v>
      </c>
      <c r="E111" s="582">
        <v>28583</v>
      </c>
      <c r="F111" s="582">
        <v>28583</v>
      </c>
      <c r="G111" s="581" t="s">
        <v>8750</v>
      </c>
      <c r="H111" s="580" t="s">
        <v>573</v>
      </c>
      <c r="I111" s="581" t="s">
        <v>8751</v>
      </c>
      <c r="J111" s="581" t="s">
        <v>8752</v>
      </c>
      <c r="K111" s="584" t="str">
        <f>HYPERLINK("https://okcountyrecords.com/detail/roger+mills/1978-002585","OKCountyRecords: 1978-002585")</f>
        <v>OKCountyRecords: 1978-002585</v>
      </c>
    </row>
    <row r="112" spans="1:11" s="594" customFormat="1" x14ac:dyDescent="0.25">
      <c r="A112" s="586" t="s">
        <v>1618</v>
      </c>
      <c r="B112" s="586"/>
      <c r="C112" s="587" t="s">
        <v>2827</v>
      </c>
      <c r="D112" s="586" t="s">
        <v>1619</v>
      </c>
      <c r="E112" s="588">
        <v>28583</v>
      </c>
      <c r="F112" s="588">
        <v>28583</v>
      </c>
      <c r="G112" s="587" t="s">
        <v>8753</v>
      </c>
      <c r="H112" s="587" t="s">
        <v>8754</v>
      </c>
      <c r="I112" s="587" t="s">
        <v>8755</v>
      </c>
      <c r="J112" s="587" t="s">
        <v>8756</v>
      </c>
      <c r="K112" s="589" t="str">
        <f>HYPERLINK("https://okcountyrecords.com/detail/roger+mills/1978-002589","OKCountyRecords: 1978-002589")</f>
        <v>OKCountyRecords: 1978-002589</v>
      </c>
    </row>
    <row r="113" spans="1:11" s="596" customFormat="1" x14ac:dyDescent="0.25">
      <c r="A113" s="580" t="s">
        <v>1622</v>
      </c>
      <c r="B113" s="580"/>
      <c r="C113" s="580" t="s">
        <v>1623</v>
      </c>
      <c r="D113" s="580" t="s">
        <v>1624</v>
      </c>
      <c r="E113" s="582">
        <v>28584</v>
      </c>
      <c r="F113" s="582">
        <v>28584</v>
      </c>
      <c r="G113" s="581" t="s">
        <v>8750</v>
      </c>
      <c r="H113" s="580" t="s">
        <v>400</v>
      </c>
      <c r="I113" s="581" t="s">
        <v>8751</v>
      </c>
      <c r="J113" s="581" t="s">
        <v>8752</v>
      </c>
      <c r="K113" s="584" t="str">
        <f>HYPERLINK("https://okcountyrecords.com/detail/roger+mills/1978-002584","OKCountyRecords: 1978-002584")</f>
        <v>OKCountyRecords: 1978-002584</v>
      </c>
    </row>
    <row r="114" spans="1:11" s="8" customFormat="1" hidden="1" x14ac:dyDescent="0.25">
      <c r="A114" s="355" t="s">
        <v>1626</v>
      </c>
      <c r="B114" s="355"/>
      <c r="C114" s="355" t="s">
        <v>114</v>
      </c>
      <c r="D114" s="355" t="s">
        <v>1627</v>
      </c>
      <c r="E114" s="460">
        <v>28596</v>
      </c>
      <c r="F114" s="356">
        <v>28596</v>
      </c>
      <c r="G114" s="355" t="s">
        <v>1628</v>
      </c>
      <c r="H114" s="355" t="s">
        <v>1629</v>
      </c>
      <c r="I114" s="357" t="s">
        <v>1012</v>
      </c>
      <c r="J114" s="357" t="s">
        <v>996</v>
      </c>
      <c r="K114" s="426" t="str">
        <f>HYPERLINK("https://okcountyrecords.com/detail/roger+mills/1978-002892","OKCountyRecords: 1978-002892")</f>
        <v>OKCountyRecords: 1978-002892</v>
      </c>
    </row>
    <row r="115" spans="1:11" s="8" customFormat="1" hidden="1" x14ac:dyDescent="0.25">
      <c r="A115" s="355" t="s">
        <v>1630</v>
      </c>
      <c r="B115" s="355"/>
      <c r="C115" s="355" t="s">
        <v>309</v>
      </c>
      <c r="D115" s="355" t="s">
        <v>1631</v>
      </c>
      <c r="E115" s="460">
        <v>28599</v>
      </c>
      <c r="F115" s="356">
        <v>28599</v>
      </c>
      <c r="G115" s="355" t="s">
        <v>392</v>
      </c>
      <c r="H115" s="355" t="s">
        <v>393</v>
      </c>
      <c r="I115" s="357" t="s">
        <v>313</v>
      </c>
      <c r="J115" s="357" t="s">
        <v>996</v>
      </c>
      <c r="K115" s="426" t="str">
        <f>HYPERLINK("https://okcountyrecords.com/detail/roger+mills/1978-003000","OKCountyRecords: 1978-003000")</f>
        <v>OKCountyRecords: 1978-003000</v>
      </c>
    </row>
    <row r="116" spans="1:11" s="8" customFormat="1" hidden="1" x14ac:dyDescent="0.25">
      <c r="A116" s="355" t="s">
        <v>1632</v>
      </c>
      <c r="B116" s="355"/>
      <c r="C116" s="355" t="s">
        <v>309</v>
      </c>
      <c r="D116" s="355" t="s">
        <v>1633</v>
      </c>
      <c r="E116" s="460">
        <v>28599</v>
      </c>
      <c r="F116" s="356">
        <v>28599</v>
      </c>
      <c r="G116" s="355" t="s">
        <v>394</v>
      </c>
      <c r="H116" s="355" t="s">
        <v>393</v>
      </c>
      <c r="I116" s="357" t="s">
        <v>313</v>
      </c>
      <c r="J116" s="357" t="s">
        <v>996</v>
      </c>
      <c r="K116" s="426" t="str">
        <f>HYPERLINK("https://okcountyrecords.com/detail/roger+mills/1978-003002","OKCountyRecords: 1978-003002")</f>
        <v>OKCountyRecords: 1978-003002</v>
      </c>
    </row>
    <row r="117" spans="1:11" s="8" customFormat="1" hidden="1" x14ac:dyDescent="0.25">
      <c r="A117" s="355" t="s">
        <v>1634</v>
      </c>
      <c r="B117" s="355"/>
      <c r="C117" s="355" t="s">
        <v>309</v>
      </c>
      <c r="D117" s="355" t="s">
        <v>1635</v>
      </c>
      <c r="E117" s="460">
        <v>28599</v>
      </c>
      <c r="F117" s="356">
        <v>28599</v>
      </c>
      <c r="G117" s="355" t="s">
        <v>395</v>
      </c>
      <c r="H117" s="355" t="s">
        <v>393</v>
      </c>
      <c r="I117" s="357" t="s">
        <v>313</v>
      </c>
      <c r="J117" s="357" t="s">
        <v>996</v>
      </c>
      <c r="K117" s="426" t="str">
        <f>HYPERLINK("https://okcountyrecords.com/detail/roger+mills/1978-003003","OKCountyRecords: 1978-003003")</f>
        <v>OKCountyRecords: 1978-003003</v>
      </c>
    </row>
    <row r="118" spans="1:11" s="8" customFormat="1" hidden="1" x14ac:dyDescent="0.25">
      <c r="A118" s="355" t="s">
        <v>1636</v>
      </c>
      <c r="B118" s="355"/>
      <c r="C118" s="355" t="s">
        <v>309</v>
      </c>
      <c r="D118" s="355" t="s">
        <v>1637</v>
      </c>
      <c r="E118" s="460">
        <v>28607</v>
      </c>
      <c r="F118" s="356">
        <v>28607</v>
      </c>
      <c r="G118" s="355" t="s">
        <v>396</v>
      </c>
      <c r="H118" s="355" t="s">
        <v>393</v>
      </c>
      <c r="I118" s="357" t="s">
        <v>313</v>
      </c>
      <c r="J118" s="357" t="s">
        <v>996</v>
      </c>
      <c r="K118" s="426" t="str">
        <f>HYPERLINK("https://okcountyrecords.com/detail/roger+mills/1978-003286","OKCountyRecords: 1978-003286")</f>
        <v>OKCountyRecords: 1978-003286</v>
      </c>
    </row>
    <row r="119" spans="1:11" s="8" customFormat="1" hidden="1" x14ac:dyDescent="0.25">
      <c r="A119" s="355" t="s">
        <v>1638</v>
      </c>
      <c r="B119" s="355"/>
      <c r="C119" s="355" t="s">
        <v>309</v>
      </c>
      <c r="D119" s="355" t="s">
        <v>1639</v>
      </c>
      <c r="E119" s="460">
        <v>28607</v>
      </c>
      <c r="F119" s="356">
        <v>28607</v>
      </c>
      <c r="G119" s="355" t="s">
        <v>397</v>
      </c>
      <c r="H119" s="355" t="s">
        <v>393</v>
      </c>
      <c r="I119" s="357" t="s">
        <v>313</v>
      </c>
      <c r="J119" s="357" t="s">
        <v>996</v>
      </c>
      <c r="K119" s="426" t="str">
        <f>HYPERLINK("https://okcountyrecords.com/detail/roger+mills/1978-003289","OKCountyRecords: 1978-003289")</f>
        <v>OKCountyRecords: 1978-003289</v>
      </c>
    </row>
    <row r="120" spans="1:11" s="8" customFormat="1" hidden="1" x14ac:dyDescent="0.25">
      <c r="A120" s="355" t="s">
        <v>1640</v>
      </c>
      <c r="B120" s="355"/>
      <c r="C120" s="355" t="s">
        <v>309</v>
      </c>
      <c r="D120" s="355" t="s">
        <v>1641</v>
      </c>
      <c r="E120" s="460">
        <v>28607</v>
      </c>
      <c r="F120" s="356">
        <v>28607</v>
      </c>
      <c r="G120" s="355" t="s">
        <v>398</v>
      </c>
      <c r="H120" s="355" t="s">
        <v>826</v>
      </c>
      <c r="I120" s="357" t="s">
        <v>308</v>
      </c>
      <c r="J120" s="357" t="s">
        <v>996</v>
      </c>
      <c r="K120" s="426" t="str">
        <f>HYPERLINK("https://okcountyrecords.com/detail/roger+mills/1978-003292","OKCountyRecords: 1978-003292")</f>
        <v>OKCountyRecords: 1978-003292</v>
      </c>
    </row>
    <row r="121" spans="1:11" s="8" customFormat="1" ht="38.25" hidden="1" x14ac:dyDescent="0.25">
      <c r="A121" s="355" t="s">
        <v>1642</v>
      </c>
      <c r="B121" s="355"/>
      <c r="C121" s="355" t="s">
        <v>993</v>
      </c>
      <c r="D121" s="355" t="s">
        <v>1643</v>
      </c>
      <c r="E121" s="460">
        <v>28618</v>
      </c>
      <c r="F121" s="356">
        <v>28618</v>
      </c>
      <c r="G121" s="357" t="s">
        <v>1644</v>
      </c>
      <c r="H121" s="357" t="s">
        <v>1645</v>
      </c>
      <c r="I121" s="357" t="s">
        <v>1012</v>
      </c>
      <c r="J121" s="357" t="s">
        <v>996</v>
      </c>
      <c r="K121" s="426" t="str">
        <f>HYPERLINK("https://okcountyrecords.com/detail/roger+mills/1978-003485","OKCountyRecords: 1978-003485")</f>
        <v>OKCountyRecords: 1978-003485</v>
      </c>
    </row>
    <row r="122" spans="1:11" s="8" customFormat="1" hidden="1" x14ac:dyDescent="0.25">
      <c r="A122" s="355" t="s">
        <v>1646</v>
      </c>
      <c r="B122" s="355"/>
      <c r="C122" s="355" t="s">
        <v>309</v>
      </c>
      <c r="D122" s="355" t="s">
        <v>1647</v>
      </c>
      <c r="E122" s="460">
        <v>28618</v>
      </c>
      <c r="F122" s="356">
        <v>28618</v>
      </c>
      <c r="G122" s="355" t="s">
        <v>400</v>
      </c>
      <c r="H122" s="355" t="s">
        <v>393</v>
      </c>
      <c r="I122" s="357" t="s">
        <v>313</v>
      </c>
      <c r="J122" s="357" t="s">
        <v>996</v>
      </c>
      <c r="K122" s="426" t="str">
        <f>HYPERLINK("https://okcountyrecords.com/detail/roger+mills/1978-003492","OKCountyRecords: 1978-003492")</f>
        <v>OKCountyRecords: 1978-003492</v>
      </c>
    </row>
    <row r="123" spans="1:11" s="8" customFormat="1" hidden="1" x14ac:dyDescent="0.25">
      <c r="A123" s="355" t="s">
        <v>1648</v>
      </c>
      <c r="B123" s="355"/>
      <c r="C123" s="355" t="s">
        <v>309</v>
      </c>
      <c r="D123" s="355" t="s">
        <v>1649</v>
      </c>
      <c r="E123" s="460">
        <v>28618</v>
      </c>
      <c r="F123" s="356">
        <v>28618</v>
      </c>
      <c r="G123" s="355" t="s">
        <v>401</v>
      </c>
      <c r="H123" s="355" t="s">
        <v>393</v>
      </c>
      <c r="I123" s="357" t="s">
        <v>313</v>
      </c>
      <c r="J123" s="357" t="s">
        <v>996</v>
      </c>
      <c r="K123" s="426" t="str">
        <f>HYPERLINK("https://okcountyrecords.com/detail/roger+mills/1978-003493","OKCountyRecords: 1978-003493")</f>
        <v>OKCountyRecords: 1978-003493</v>
      </c>
    </row>
    <row r="124" spans="1:11" s="8" customFormat="1" ht="25.5" hidden="1" x14ac:dyDescent="0.25">
      <c r="A124" s="355" t="s">
        <v>1650</v>
      </c>
      <c r="B124" s="355"/>
      <c r="C124" s="355" t="s">
        <v>309</v>
      </c>
      <c r="D124" s="355" t="s">
        <v>1651</v>
      </c>
      <c r="E124" s="460">
        <v>28618</v>
      </c>
      <c r="F124" s="356">
        <v>28618</v>
      </c>
      <c r="G124" s="357" t="s">
        <v>373</v>
      </c>
      <c r="H124" s="355" t="s">
        <v>393</v>
      </c>
      <c r="I124" s="357" t="s">
        <v>313</v>
      </c>
      <c r="J124" s="357" t="s">
        <v>996</v>
      </c>
      <c r="K124" s="426" t="str">
        <f>HYPERLINK("https://okcountyrecords.com/detail/roger+mills/1978-003497","OKCountyRecords: 1978-003497")</f>
        <v>OKCountyRecords: 1978-003497</v>
      </c>
    </row>
    <row r="125" spans="1:11" s="8" customFormat="1" hidden="1" x14ac:dyDescent="0.25">
      <c r="A125" s="355" t="s">
        <v>1652</v>
      </c>
      <c r="B125" s="355"/>
      <c r="C125" s="355" t="s">
        <v>309</v>
      </c>
      <c r="D125" s="355" t="s">
        <v>1653</v>
      </c>
      <c r="E125" s="460">
        <v>28620</v>
      </c>
      <c r="F125" s="356">
        <v>28620</v>
      </c>
      <c r="G125" s="355" t="s">
        <v>402</v>
      </c>
      <c r="H125" s="355" t="s">
        <v>393</v>
      </c>
      <c r="I125" s="357" t="s">
        <v>308</v>
      </c>
      <c r="J125" s="357" t="s">
        <v>996</v>
      </c>
      <c r="K125" s="426" t="str">
        <f>HYPERLINK("https://okcountyrecords.com/detail/roger+mills/1978-003561","OKCountyRecords: 1978-003561")</f>
        <v>OKCountyRecords: 1978-003561</v>
      </c>
    </row>
    <row r="126" spans="1:11" s="8" customFormat="1" ht="25.5" hidden="1" x14ac:dyDescent="0.25">
      <c r="A126" s="355" t="s">
        <v>1654</v>
      </c>
      <c r="B126" s="355"/>
      <c r="C126" s="355" t="s">
        <v>309</v>
      </c>
      <c r="D126" s="355" t="s">
        <v>1655</v>
      </c>
      <c r="E126" s="460">
        <v>28640</v>
      </c>
      <c r="F126" s="356">
        <v>28640</v>
      </c>
      <c r="G126" s="357" t="s">
        <v>1656</v>
      </c>
      <c r="H126" s="355" t="s">
        <v>806</v>
      </c>
      <c r="I126" s="357" t="s">
        <v>313</v>
      </c>
      <c r="J126" s="357" t="s">
        <v>996</v>
      </c>
      <c r="K126" s="426" t="str">
        <f>HYPERLINK("https://okcountyrecords.com/detail/roger+mills/1978-004102","OKCountyRecords: 1978-004102")</f>
        <v>OKCountyRecords: 1978-004102</v>
      </c>
    </row>
    <row r="127" spans="1:11" s="8" customFormat="1" hidden="1" x14ac:dyDescent="0.25">
      <c r="A127" s="355" t="s">
        <v>1657</v>
      </c>
      <c r="B127" s="355"/>
      <c r="C127" s="355" t="s">
        <v>309</v>
      </c>
      <c r="D127" s="355" t="s">
        <v>1658</v>
      </c>
      <c r="E127" s="460">
        <v>28640</v>
      </c>
      <c r="F127" s="356">
        <v>28640</v>
      </c>
      <c r="G127" s="355" t="s">
        <v>404</v>
      </c>
      <c r="H127" s="355" t="s">
        <v>806</v>
      </c>
      <c r="I127" s="357" t="s">
        <v>313</v>
      </c>
      <c r="J127" s="357" t="s">
        <v>996</v>
      </c>
      <c r="K127" s="426" t="str">
        <f>HYPERLINK("https://okcountyrecords.com/detail/roger+mills/1978-004103","OKCountyRecords: 1978-004103")</f>
        <v>OKCountyRecords: 1978-004103</v>
      </c>
    </row>
    <row r="128" spans="1:11" s="8" customFormat="1" hidden="1" x14ac:dyDescent="0.25">
      <c r="A128" s="355" t="s">
        <v>1659</v>
      </c>
      <c r="B128" s="355"/>
      <c r="C128" s="355" t="s">
        <v>114</v>
      </c>
      <c r="D128" s="355" t="s">
        <v>1660</v>
      </c>
      <c r="E128" s="460">
        <v>28648</v>
      </c>
      <c r="F128" s="356">
        <v>28648</v>
      </c>
      <c r="G128" s="355" t="s">
        <v>1628</v>
      </c>
      <c r="H128" s="355" t="s">
        <v>1585</v>
      </c>
      <c r="I128" s="357" t="s">
        <v>1012</v>
      </c>
      <c r="J128" s="357" t="s">
        <v>996</v>
      </c>
      <c r="K128" s="426" t="str">
        <f>HYPERLINK("https://okcountyrecords.com/detail/roger+mills/1978-004315","OKCountyRecords: 1978-004315")</f>
        <v>OKCountyRecords: 1978-004315</v>
      </c>
    </row>
    <row r="129" spans="1:11" s="8" customFormat="1" hidden="1" x14ac:dyDescent="0.25">
      <c r="A129" s="355" t="s">
        <v>1661</v>
      </c>
      <c r="B129" s="355"/>
      <c r="C129" s="355" t="s">
        <v>114</v>
      </c>
      <c r="D129" s="355" t="s">
        <v>1662</v>
      </c>
      <c r="E129" s="460">
        <v>28683</v>
      </c>
      <c r="F129" s="356">
        <v>28683</v>
      </c>
      <c r="G129" s="355" t="s">
        <v>1094</v>
      </c>
      <c r="H129" s="355" t="s">
        <v>383</v>
      </c>
      <c r="I129" s="357" t="s">
        <v>242</v>
      </c>
      <c r="J129" s="357" t="s">
        <v>996</v>
      </c>
      <c r="K129" s="426" t="str">
        <f>HYPERLINK("https://okcountyrecords.com/detail/roger+mills/1978-005128","OKCountyRecords: 1978-005128")</f>
        <v>OKCountyRecords: 1978-005128</v>
      </c>
    </row>
    <row r="130" spans="1:11" s="8" customFormat="1" hidden="1" x14ac:dyDescent="0.25">
      <c r="A130" s="355" t="s">
        <v>1663</v>
      </c>
      <c r="B130" s="355"/>
      <c r="C130" s="355" t="s">
        <v>114</v>
      </c>
      <c r="D130" s="355" t="s">
        <v>1664</v>
      </c>
      <c r="E130" s="460">
        <v>28683</v>
      </c>
      <c r="F130" s="356">
        <v>28683</v>
      </c>
      <c r="G130" s="355" t="s">
        <v>401</v>
      </c>
      <c r="H130" s="355" t="s">
        <v>383</v>
      </c>
      <c r="I130" s="357" t="s">
        <v>242</v>
      </c>
      <c r="J130" s="357" t="s">
        <v>996</v>
      </c>
      <c r="K130" s="426" t="str">
        <f>HYPERLINK("https://okcountyrecords.com/detail/roger+mills/1978-005129","OKCountyRecords: 1978-005129")</f>
        <v>OKCountyRecords: 1978-005129</v>
      </c>
    </row>
    <row r="131" spans="1:11" s="8" customFormat="1" hidden="1" x14ac:dyDescent="0.25">
      <c r="A131" s="355" t="s">
        <v>1665</v>
      </c>
      <c r="B131" s="355"/>
      <c r="C131" s="355" t="s">
        <v>114</v>
      </c>
      <c r="D131" s="355" t="s">
        <v>1666</v>
      </c>
      <c r="E131" s="460">
        <v>28683</v>
      </c>
      <c r="F131" s="356">
        <v>28683</v>
      </c>
      <c r="G131" s="355" t="s">
        <v>1615</v>
      </c>
      <c r="H131" s="355" t="s">
        <v>383</v>
      </c>
      <c r="I131" s="357" t="s">
        <v>242</v>
      </c>
      <c r="J131" s="357" t="s">
        <v>996</v>
      </c>
      <c r="K131" s="426" t="str">
        <f>HYPERLINK("https://okcountyrecords.com/detail/roger+mills/1978-005130","OKCountyRecords: 1978-005130")</f>
        <v>OKCountyRecords: 1978-005130</v>
      </c>
    </row>
    <row r="132" spans="1:11" s="8" customFormat="1" hidden="1" x14ac:dyDescent="0.25">
      <c r="A132" s="355" t="s">
        <v>1667</v>
      </c>
      <c r="B132" s="355"/>
      <c r="C132" s="355" t="s">
        <v>114</v>
      </c>
      <c r="D132" s="355" t="s">
        <v>1668</v>
      </c>
      <c r="E132" s="460">
        <v>28683</v>
      </c>
      <c r="F132" s="356">
        <v>28683</v>
      </c>
      <c r="G132" s="355" t="s">
        <v>392</v>
      </c>
      <c r="H132" s="355" t="s">
        <v>383</v>
      </c>
      <c r="I132" s="357" t="s">
        <v>242</v>
      </c>
      <c r="J132" s="357" t="s">
        <v>996</v>
      </c>
      <c r="K132" s="426" t="str">
        <f>HYPERLINK("https://okcountyrecords.com/detail/roger+mills/1978-005131","OKCountyRecords: 1978-005131")</f>
        <v>OKCountyRecords: 1978-005131</v>
      </c>
    </row>
    <row r="133" spans="1:11" s="8" customFormat="1" hidden="1" x14ac:dyDescent="0.25">
      <c r="A133" s="355" t="s">
        <v>1669</v>
      </c>
      <c r="B133" s="355"/>
      <c r="C133" s="355" t="s">
        <v>114</v>
      </c>
      <c r="D133" s="355" t="s">
        <v>1670</v>
      </c>
      <c r="E133" s="460">
        <v>28683</v>
      </c>
      <c r="F133" s="356">
        <v>28683</v>
      </c>
      <c r="G133" s="355" t="s">
        <v>397</v>
      </c>
      <c r="H133" s="355" t="s">
        <v>383</v>
      </c>
      <c r="I133" s="357" t="s">
        <v>242</v>
      </c>
      <c r="J133" s="357" t="s">
        <v>996</v>
      </c>
      <c r="K133" s="426" t="str">
        <f>HYPERLINK("https://okcountyrecords.com/detail/roger+mills/1978-005132","OKCountyRecords: 1978-005132")</f>
        <v>OKCountyRecords: 1978-005132</v>
      </c>
    </row>
    <row r="134" spans="1:11" s="8" customFormat="1" hidden="1" x14ac:dyDescent="0.25">
      <c r="A134" s="355" t="s">
        <v>1671</v>
      </c>
      <c r="B134" s="355"/>
      <c r="C134" s="355" t="s">
        <v>114</v>
      </c>
      <c r="D134" s="355" t="s">
        <v>1672</v>
      </c>
      <c r="E134" s="460">
        <v>28683</v>
      </c>
      <c r="F134" s="356">
        <v>28683</v>
      </c>
      <c r="G134" s="355" t="s">
        <v>396</v>
      </c>
      <c r="H134" s="355" t="s">
        <v>383</v>
      </c>
      <c r="I134" s="357" t="s">
        <v>242</v>
      </c>
      <c r="J134" s="357" t="s">
        <v>996</v>
      </c>
      <c r="K134" s="426" t="str">
        <f>HYPERLINK("https://okcountyrecords.com/detail/roger+mills/1978-005133","OKCountyRecords: 1978-005133")</f>
        <v>OKCountyRecords: 1978-005133</v>
      </c>
    </row>
    <row r="135" spans="1:11" s="8" customFormat="1" hidden="1" x14ac:dyDescent="0.25">
      <c r="A135" s="355" t="s">
        <v>1673</v>
      </c>
      <c r="B135" s="355"/>
      <c r="C135" s="355" t="s">
        <v>114</v>
      </c>
      <c r="D135" s="355" t="s">
        <v>1674</v>
      </c>
      <c r="E135" s="460">
        <v>28683</v>
      </c>
      <c r="F135" s="356">
        <v>28683</v>
      </c>
      <c r="G135" s="355" t="s">
        <v>394</v>
      </c>
      <c r="H135" s="355" t="s">
        <v>383</v>
      </c>
      <c r="I135" s="357" t="s">
        <v>242</v>
      </c>
      <c r="J135" s="357" t="s">
        <v>996</v>
      </c>
      <c r="K135" s="426" t="str">
        <f>HYPERLINK("https://okcountyrecords.com/detail/roger+mills/1978-005134","OKCountyRecords: 1978-005134")</f>
        <v>OKCountyRecords: 1978-005134</v>
      </c>
    </row>
    <row r="136" spans="1:11" s="8" customFormat="1" hidden="1" x14ac:dyDescent="0.25">
      <c r="A136" s="355" t="s">
        <v>1675</v>
      </c>
      <c r="B136" s="355"/>
      <c r="C136" s="355" t="s">
        <v>114</v>
      </c>
      <c r="D136" s="355" t="s">
        <v>1676</v>
      </c>
      <c r="E136" s="460">
        <v>28683</v>
      </c>
      <c r="F136" s="356">
        <v>28683</v>
      </c>
      <c r="G136" s="355" t="s">
        <v>395</v>
      </c>
      <c r="H136" s="355" t="s">
        <v>383</v>
      </c>
      <c r="I136" s="357" t="s">
        <v>242</v>
      </c>
      <c r="J136" s="357" t="s">
        <v>996</v>
      </c>
      <c r="K136" s="426" t="str">
        <f>HYPERLINK("https://okcountyrecords.com/detail/roger+mills/1978-005135","OKCountyRecords: 1978-005135")</f>
        <v>OKCountyRecords: 1978-005135</v>
      </c>
    </row>
    <row r="137" spans="1:11" s="8" customFormat="1" hidden="1" x14ac:dyDescent="0.25">
      <c r="A137" s="355" t="s">
        <v>1677</v>
      </c>
      <c r="B137" s="355"/>
      <c r="C137" s="355" t="s">
        <v>114</v>
      </c>
      <c r="D137" s="355" t="s">
        <v>1678</v>
      </c>
      <c r="E137" s="460">
        <v>28683</v>
      </c>
      <c r="F137" s="356">
        <v>28683</v>
      </c>
      <c r="G137" s="355" t="s">
        <v>573</v>
      </c>
      <c r="H137" s="355" t="s">
        <v>383</v>
      </c>
      <c r="I137" s="357" t="s">
        <v>242</v>
      </c>
      <c r="J137" s="357" t="s">
        <v>996</v>
      </c>
      <c r="K137" s="426" t="str">
        <f>HYPERLINK("https://okcountyrecords.com/detail/roger+mills/1978-005136","OKCountyRecords: 1978-005136")</f>
        <v>OKCountyRecords: 1978-005136</v>
      </c>
    </row>
    <row r="138" spans="1:11" s="8" customFormat="1" hidden="1" x14ac:dyDescent="0.25">
      <c r="A138" s="355" t="s">
        <v>1679</v>
      </c>
      <c r="B138" s="355"/>
      <c r="C138" s="355" t="s">
        <v>114</v>
      </c>
      <c r="D138" s="355" t="s">
        <v>1680</v>
      </c>
      <c r="E138" s="460">
        <v>28683</v>
      </c>
      <c r="F138" s="356">
        <v>28683</v>
      </c>
      <c r="G138" s="355" t="s">
        <v>1681</v>
      </c>
      <c r="H138" s="355" t="s">
        <v>383</v>
      </c>
      <c r="I138" s="357" t="s">
        <v>242</v>
      </c>
      <c r="J138" s="357" t="s">
        <v>996</v>
      </c>
      <c r="K138" s="426" t="str">
        <f>HYPERLINK("https://okcountyrecords.com/detail/roger+mills/1978-005137","OKCountyRecords: 1978-005137")</f>
        <v>OKCountyRecords: 1978-005137</v>
      </c>
    </row>
    <row r="139" spans="1:11" s="8" customFormat="1" hidden="1" x14ac:dyDescent="0.25">
      <c r="A139" s="355" t="s">
        <v>1682</v>
      </c>
      <c r="B139" s="355"/>
      <c r="C139" s="355" t="s">
        <v>114</v>
      </c>
      <c r="D139" s="355" t="s">
        <v>1683</v>
      </c>
      <c r="E139" s="460">
        <v>28688</v>
      </c>
      <c r="F139" s="356">
        <v>28688</v>
      </c>
      <c r="G139" s="355" t="s">
        <v>1604</v>
      </c>
      <c r="H139" s="355" t="s">
        <v>383</v>
      </c>
      <c r="I139" s="357" t="s">
        <v>242</v>
      </c>
      <c r="J139" s="357" t="s">
        <v>996</v>
      </c>
      <c r="K139" s="426" t="str">
        <f>HYPERLINK("https://okcountyrecords.com/detail/roger+mills/1978-005257","OKCountyRecords: 1978-005257")</f>
        <v>OKCountyRecords: 1978-005257</v>
      </c>
    </row>
    <row r="140" spans="1:11" s="8" customFormat="1" hidden="1" x14ac:dyDescent="0.25">
      <c r="A140" s="355" t="s">
        <v>1684</v>
      </c>
      <c r="B140" s="355"/>
      <c r="C140" s="355" t="s">
        <v>309</v>
      </c>
      <c r="D140" s="355" t="s">
        <v>1685</v>
      </c>
      <c r="E140" s="460">
        <v>28689</v>
      </c>
      <c r="F140" s="356">
        <v>28689</v>
      </c>
      <c r="G140" s="355" t="s">
        <v>405</v>
      </c>
      <c r="H140" s="355" t="s">
        <v>1686</v>
      </c>
      <c r="I140" s="357" t="s">
        <v>313</v>
      </c>
      <c r="J140" s="357" t="s">
        <v>996</v>
      </c>
      <c r="K140" s="426" t="str">
        <f>HYPERLINK("https://okcountyrecords.com/detail/roger+mills/1978-005310","OKCountyRecords: 1978-005310")</f>
        <v>OKCountyRecords: 1978-005310</v>
      </c>
    </row>
    <row r="141" spans="1:11" s="8" customFormat="1" ht="25.5" hidden="1" x14ac:dyDescent="0.25">
      <c r="A141" s="355" t="s">
        <v>1687</v>
      </c>
      <c r="B141" s="355"/>
      <c r="C141" s="355" t="s">
        <v>114</v>
      </c>
      <c r="D141" s="355" t="s">
        <v>1688</v>
      </c>
      <c r="E141" s="356">
        <v>28691</v>
      </c>
      <c r="F141" s="356">
        <v>28711</v>
      </c>
      <c r="G141" s="355" t="s">
        <v>1686</v>
      </c>
      <c r="H141" s="355" t="s">
        <v>387</v>
      </c>
      <c r="I141" s="357" t="s">
        <v>1689</v>
      </c>
      <c r="J141" s="357" t="s">
        <v>996</v>
      </c>
      <c r="K141" s="426" t="str">
        <f>HYPERLINK("https://okcountyrecords.com/detail/roger+mills/1978-005884","OKCountyRecords: 1978-005884")</f>
        <v>OKCountyRecords: 1978-005884</v>
      </c>
    </row>
    <row r="142" spans="1:11" s="8" customFormat="1" hidden="1" x14ac:dyDescent="0.25">
      <c r="A142" s="360" t="s">
        <v>1690</v>
      </c>
      <c r="B142" s="360"/>
      <c r="C142" s="360" t="s">
        <v>1483</v>
      </c>
      <c r="D142" s="360" t="s">
        <v>1691</v>
      </c>
      <c r="E142" s="460">
        <v>28711</v>
      </c>
      <c r="F142" s="361">
        <v>28711</v>
      </c>
      <c r="G142" s="360" t="s">
        <v>405</v>
      </c>
      <c r="H142" s="360" t="s">
        <v>1686</v>
      </c>
      <c r="I142" s="362" t="s">
        <v>242</v>
      </c>
      <c r="J142" s="362" t="s">
        <v>996</v>
      </c>
      <c r="K142" s="427" t="str">
        <f>HYPERLINK("https://okcountyrecords.com/detail/roger+mills/1978-005886","OKCountyRecords: 1978-005886")</f>
        <v>OKCountyRecords: 1978-005886</v>
      </c>
    </row>
    <row r="143" spans="1:11" s="8" customFormat="1" hidden="1" x14ac:dyDescent="0.25">
      <c r="A143" s="355" t="s">
        <v>1692</v>
      </c>
      <c r="B143" s="355"/>
      <c r="C143" s="355" t="s">
        <v>114</v>
      </c>
      <c r="D143" s="355" t="s">
        <v>1693</v>
      </c>
      <c r="E143" s="460">
        <v>28814</v>
      </c>
      <c r="F143" s="356">
        <v>28814</v>
      </c>
      <c r="G143" s="355" t="s">
        <v>1533</v>
      </c>
      <c r="H143" s="355" t="s">
        <v>1628</v>
      </c>
      <c r="I143" s="357" t="s">
        <v>1012</v>
      </c>
      <c r="J143" s="357" t="s">
        <v>996</v>
      </c>
      <c r="K143" s="426" t="str">
        <f>HYPERLINK("https://okcountyrecords.com/detail/roger+mills/1978-007974","OKCountyRecords: 1978-007974")</f>
        <v>OKCountyRecords: 1978-007974</v>
      </c>
    </row>
    <row r="144" spans="1:11" s="594" customFormat="1" x14ac:dyDescent="0.25">
      <c r="A144" s="586" t="s">
        <v>1694</v>
      </c>
      <c r="B144" s="586"/>
      <c r="C144" s="587" t="s">
        <v>2430</v>
      </c>
      <c r="D144" s="586" t="s">
        <v>1695</v>
      </c>
      <c r="E144" s="588">
        <v>28923</v>
      </c>
      <c r="F144" s="588">
        <v>28923</v>
      </c>
      <c r="G144" s="586" t="s">
        <v>1696</v>
      </c>
      <c r="H144" s="586" t="s">
        <v>1697</v>
      </c>
      <c r="I144" s="587" t="s">
        <v>8757</v>
      </c>
      <c r="J144" s="587" t="s">
        <v>8758</v>
      </c>
      <c r="K144" s="595" t="str">
        <f>HYPERLINK("https://okcountyrecords.com/detail/roger+mills/1979-001572","OKCountyRecords: 1979-001572")</f>
        <v>OKCountyRecords: 1979-001572</v>
      </c>
    </row>
    <row r="145" spans="1:11" s="596" customFormat="1" x14ac:dyDescent="0.25">
      <c r="A145" s="580" t="s">
        <v>1698</v>
      </c>
      <c r="B145" s="580"/>
      <c r="C145" s="580" t="s">
        <v>1274</v>
      </c>
      <c r="D145" s="580" t="s">
        <v>1699</v>
      </c>
      <c r="E145" s="582">
        <v>28961</v>
      </c>
      <c r="F145" s="582">
        <v>28961</v>
      </c>
      <c r="G145" s="581" t="s">
        <v>8759</v>
      </c>
      <c r="H145" s="581" t="s">
        <v>8760</v>
      </c>
      <c r="I145" s="581" t="s">
        <v>8762</v>
      </c>
      <c r="J145" s="581" t="s">
        <v>8761</v>
      </c>
      <c r="K145" s="584" t="str">
        <f>HYPERLINK("https://okcountyrecords.com/detail/roger+mills/1979-002206","OKCountyRecords: 1979-002206")</f>
        <v>OKCountyRecords: 1979-002206</v>
      </c>
    </row>
    <row r="146" spans="1:11" s="604" customFormat="1" x14ac:dyDescent="0.25">
      <c r="A146" s="360" t="s">
        <v>1702</v>
      </c>
      <c r="B146" s="360"/>
      <c r="C146" s="360" t="s">
        <v>1091</v>
      </c>
      <c r="D146" s="360" t="s">
        <v>1703</v>
      </c>
      <c r="E146" s="460">
        <v>28961</v>
      </c>
      <c r="F146" s="361">
        <v>28961</v>
      </c>
      <c r="G146" s="360" t="s">
        <v>1704</v>
      </c>
      <c r="H146" s="360" t="s">
        <v>1705</v>
      </c>
      <c r="I146" s="360" t="s">
        <v>1012</v>
      </c>
      <c r="J146" s="360" t="s">
        <v>1095</v>
      </c>
      <c r="K146" s="427" t="str">
        <f>HYPERLINK("https://okcountyrecords.com/detail/roger+mills/1979-002207","OKCountyRecords: 1979-002207")</f>
        <v>OKCountyRecords: 1979-002207</v>
      </c>
    </row>
    <row r="147" spans="1:11" s="8" customFormat="1" hidden="1" x14ac:dyDescent="0.25">
      <c r="A147" s="355" t="s">
        <v>1706</v>
      </c>
      <c r="B147" s="355"/>
      <c r="C147" s="355" t="s">
        <v>114</v>
      </c>
      <c r="D147" s="355" t="s">
        <v>1707</v>
      </c>
      <c r="E147" s="460">
        <v>28970</v>
      </c>
      <c r="F147" s="356">
        <v>28970</v>
      </c>
      <c r="G147" s="355" t="s">
        <v>1533</v>
      </c>
      <c r="H147" s="355" t="s">
        <v>1628</v>
      </c>
      <c r="I147" s="357" t="s">
        <v>242</v>
      </c>
      <c r="J147" s="357" t="s">
        <v>996</v>
      </c>
      <c r="K147" s="426" t="str">
        <f>HYPERLINK("https://okcountyrecords.com/detail/roger+mills/1979-002364","OKCountyRecords: 1979-002364")</f>
        <v>OKCountyRecords: 1979-002364</v>
      </c>
    </row>
    <row r="148" spans="1:11" s="8" customFormat="1" ht="25.5" hidden="1" x14ac:dyDescent="0.25">
      <c r="A148" s="355" t="s">
        <v>1708</v>
      </c>
      <c r="B148" s="355"/>
      <c r="C148" s="355" t="s">
        <v>993</v>
      </c>
      <c r="D148" s="355" t="s">
        <v>1709</v>
      </c>
      <c r="E148" s="460">
        <v>29047</v>
      </c>
      <c r="F148" s="356">
        <v>29047</v>
      </c>
      <c r="G148" s="357" t="s">
        <v>1710</v>
      </c>
      <c r="H148" s="357" t="s">
        <v>1563</v>
      </c>
      <c r="I148" s="357" t="s">
        <v>242</v>
      </c>
      <c r="J148" s="357" t="s">
        <v>996</v>
      </c>
      <c r="K148" s="426" t="str">
        <f>HYPERLINK("https://okcountyrecords.com/detail/roger+mills/1979-003905","OKCountyRecords: 1979-003905")</f>
        <v>OKCountyRecords: 1979-003905</v>
      </c>
    </row>
    <row r="149" spans="1:11" s="594" customFormat="1" x14ac:dyDescent="0.25">
      <c r="A149" s="586" t="s">
        <v>1711</v>
      </c>
      <c r="B149" s="586"/>
      <c r="C149" s="587" t="s">
        <v>8764</v>
      </c>
      <c r="D149" s="586" t="s">
        <v>1712</v>
      </c>
      <c r="E149" s="588">
        <v>29049</v>
      </c>
      <c r="F149" s="588">
        <v>29049</v>
      </c>
      <c r="G149" s="587" t="s">
        <v>8763</v>
      </c>
      <c r="H149" s="586" t="s">
        <v>1714</v>
      </c>
      <c r="I149" s="587" t="s">
        <v>8766</v>
      </c>
      <c r="J149" s="587" t="s">
        <v>8765</v>
      </c>
      <c r="K149" s="589" t="str">
        <f>HYPERLINK("https://okcountyrecords.com/detail/roger+mills/1979-004016","OKCountyRecords: 1979-004016")</f>
        <v>OKCountyRecords: 1979-004016</v>
      </c>
    </row>
    <row r="150" spans="1:11" s="594" customFormat="1" x14ac:dyDescent="0.25">
      <c r="A150" s="586" t="s">
        <v>1715</v>
      </c>
      <c r="B150" s="586"/>
      <c r="C150" s="587" t="s">
        <v>2430</v>
      </c>
      <c r="D150" s="586" t="s">
        <v>1716</v>
      </c>
      <c r="E150" s="588">
        <v>29049</v>
      </c>
      <c r="F150" s="588">
        <v>29049</v>
      </c>
      <c r="G150" s="586" t="s">
        <v>1697</v>
      </c>
      <c r="H150" s="587" t="s">
        <v>8773</v>
      </c>
      <c r="I150" s="587" t="s">
        <v>8768</v>
      </c>
      <c r="J150" s="587" t="s">
        <v>8767</v>
      </c>
      <c r="K150" s="589" t="str">
        <f>HYPERLINK("https://okcountyrecords.com/detail/roger+mills/1979-004021","OKCountyRecords: 1979-004021")</f>
        <v>OKCountyRecords: 1979-004021</v>
      </c>
    </row>
    <row r="151" spans="1:11" s="8" customFormat="1" hidden="1" x14ac:dyDescent="0.25">
      <c r="A151" s="355" t="s">
        <v>1718</v>
      </c>
      <c r="B151" s="355"/>
      <c r="C151" s="355" t="s">
        <v>114</v>
      </c>
      <c r="D151" s="355" t="s">
        <v>1719</v>
      </c>
      <c r="E151" s="460">
        <v>29052</v>
      </c>
      <c r="F151" s="356">
        <v>29052</v>
      </c>
      <c r="G151" s="355" t="s">
        <v>1628</v>
      </c>
      <c r="H151" s="355" t="s">
        <v>1720</v>
      </c>
      <c r="I151" s="357" t="s">
        <v>1012</v>
      </c>
      <c r="J151" s="357" t="s">
        <v>996</v>
      </c>
      <c r="K151" s="426" t="str">
        <f>HYPERLINK("https://okcountyrecords.com/detail/roger+mills/1979-004050","OKCountyRecords: 1979-004050")</f>
        <v>OKCountyRecords: 1979-004050</v>
      </c>
    </row>
    <row r="152" spans="1:11" s="594" customFormat="1" x14ac:dyDescent="0.25">
      <c r="A152" s="586" t="s">
        <v>1721</v>
      </c>
      <c r="B152" s="586"/>
      <c r="C152" s="587" t="s">
        <v>8769</v>
      </c>
      <c r="D152" s="586" t="s">
        <v>1722</v>
      </c>
      <c r="E152" s="588">
        <v>29063</v>
      </c>
      <c r="F152" s="588">
        <v>29063</v>
      </c>
      <c r="G152" s="586" t="s">
        <v>1697</v>
      </c>
      <c r="H152" s="587" t="s">
        <v>8772</v>
      </c>
      <c r="I152" s="587" t="s">
        <v>8770</v>
      </c>
      <c r="J152" s="587" t="s">
        <v>8771</v>
      </c>
      <c r="K152" s="589" t="str">
        <f>HYPERLINK("https://okcountyrecords.com/detail/roger+mills/1979-004258","OKCountyRecords: 1979-004258")</f>
        <v>OKCountyRecords: 1979-004258</v>
      </c>
    </row>
    <row r="153" spans="1:11" s="596" customFormat="1" x14ac:dyDescent="0.25">
      <c r="A153" s="580" t="s">
        <v>1724</v>
      </c>
      <c r="B153" s="580"/>
      <c r="C153" s="580" t="s">
        <v>1623</v>
      </c>
      <c r="D153" s="580" t="s">
        <v>1725</v>
      </c>
      <c r="E153" s="582">
        <v>29094</v>
      </c>
      <c r="F153" s="582">
        <v>29094</v>
      </c>
      <c r="G153" s="580" t="s">
        <v>400</v>
      </c>
      <c r="H153" s="580" t="s">
        <v>1726</v>
      </c>
      <c r="I153" s="581" t="s">
        <v>8751</v>
      </c>
      <c r="J153" s="581" t="s">
        <v>8774</v>
      </c>
      <c r="K153" s="584" t="str">
        <f>HYPERLINK("https://okcountyrecords.com/detail/roger+mills/1979-004881","OKCountyRecords: 1979-004881")</f>
        <v>OKCountyRecords: 1979-004881</v>
      </c>
    </row>
    <row r="154" spans="1:11" s="8" customFormat="1" hidden="1" x14ac:dyDescent="0.25">
      <c r="A154" s="360" t="s">
        <v>1727</v>
      </c>
      <c r="B154" s="360"/>
      <c r="C154" s="360" t="s">
        <v>1483</v>
      </c>
      <c r="D154" s="360" t="s">
        <v>1728</v>
      </c>
      <c r="E154" s="460">
        <v>29102</v>
      </c>
      <c r="F154" s="361">
        <v>29102</v>
      </c>
      <c r="G154" s="360" t="s">
        <v>372</v>
      </c>
      <c r="H154" s="360" t="s">
        <v>787</v>
      </c>
      <c r="I154" s="362" t="s">
        <v>1012</v>
      </c>
      <c r="J154" s="362" t="s">
        <v>996</v>
      </c>
      <c r="K154" s="427" t="str">
        <f>HYPERLINK("https://okcountyrecords.com/detail/roger+mills/1979-005006","OKCountyRecords: 1979-005006")</f>
        <v>OKCountyRecords: 1979-005006</v>
      </c>
    </row>
    <row r="155" spans="1:11" s="8" customFormat="1" hidden="1" x14ac:dyDescent="0.25">
      <c r="A155" s="360" t="s">
        <v>1729</v>
      </c>
      <c r="B155" s="360"/>
      <c r="C155" s="360" t="s">
        <v>1483</v>
      </c>
      <c r="D155" s="360" t="s">
        <v>1730</v>
      </c>
      <c r="E155" s="460">
        <v>29102</v>
      </c>
      <c r="F155" s="361">
        <v>29102</v>
      </c>
      <c r="G155" s="360" t="s">
        <v>372</v>
      </c>
      <c r="H155" s="360" t="s">
        <v>787</v>
      </c>
      <c r="I155" s="362" t="s">
        <v>1012</v>
      </c>
      <c r="J155" s="362" t="s">
        <v>996</v>
      </c>
      <c r="K155" s="427" t="str">
        <f>HYPERLINK("https://okcountyrecords.com/detail/roger+mills/1979-005007","OKCountyRecords: 1979-005007")</f>
        <v>OKCountyRecords: 1979-005007</v>
      </c>
    </row>
    <row r="156" spans="1:11" s="596" customFormat="1" x14ac:dyDescent="0.25">
      <c r="A156" s="580" t="s">
        <v>1731</v>
      </c>
      <c r="B156" s="580"/>
      <c r="C156" s="580" t="s">
        <v>1623</v>
      </c>
      <c r="D156" s="580" t="s">
        <v>1732</v>
      </c>
      <c r="E156" s="582">
        <v>29126</v>
      </c>
      <c r="F156" s="582">
        <v>29132</v>
      </c>
      <c r="G156" s="580" t="s">
        <v>1733</v>
      </c>
      <c r="H156" s="581" t="s">
        <v>407</v>
      </c>
      <c r="I156" s="581" t="s">
        <v>2140</v>
      </c>
      <c r="J156" s="581" t="s">
        <v>8775</v>
      </c>
      <c r="K156" s="584" t="str">
        <f>HYPERLINK("https://okcountyrecords.com/detail/roger+mills/1979-005655","OKCountyRecords: 1979-005655")</f>
        <v>OKCountyRecords: 1979-005655</v>
      </c>
    </row>
    <row r="157" spans="1:11" s="596" customFormat="1" x14ac:dyDescent="0.25">
      <c r="A157" s="580" t="s">
        <v>1735</v>
      </c>
      <c r="B157" s="580"/>
      <c r="C157" s="580" t="s">
        <v>1196</v>
      </c>
      <c r="D157" s="580" t="s">
        <v>1736</v>
      </c>
      <c r="E157" s="582">
        <v>29172</v>
      </c>
      <c r="F157" s="582">
        <v>29172</v>
      </c>
      <c r="G157" s="580" t="s">
        <v>401</v>
      </c>
      <c r="H157" s="581" t="s">
        <v>8777</v>
      </c>
      <c r="I157" s="581" t="s">
        <v>8751</v>
      </c>
      <c r="J157" s="581" t="s">
        <v>8776</v>
      </c>
      <c r="K157" s="584" t="str">
        <f>HYPERLINK("https://okcountyrecords.com/detail/roger+mills/1979-006593","OKCountyRecords: 1979-006593")</f>
        <v>OKCountyRecords: 1979-006593</v>
      </c>
    </row>
    <row r="158" spans="1:11" s="8" customFormat="1" hidden="1" x14ac:dyDescent="0.25">
      <c r="A158" s="355" t="s">
        <v>1738</v>
      </c>
      <c r="B158" s="355"/>
      <c r="C158" s="355" t="s">
        <v>114</v>
      </c>
      <c r="D158" s="355" t="s">
        <v>1739</v>
      </c>
      <c r="E158" s="460">
        <v>29189</v>
      </c>
      <c r="F158" s="356">
        <v>29189</v>
      </c>
      <c r="G158" s="355" t="s">
        <v>1628</v>
      </c>
      <c r="H158" s="355" t="s">
        <v>812</v>
      </c>
      <c r="I158" s="357" t="s">
        <v>1012</v>
      </c>
      <c r="J158" s="357" t="s">
        <v>996</v>
      </c>
      <c r="K158" s="426" t="str">
        <f>HYPERLINK("https://okcountyrecords.com/detail/roger+mills/1979-006913","OKCountyRecords: 1979-006913")</f>
        <v>OKCountyRecords: 1979-006913</v>
      </c>
    </row>
    <row r="159" spans="1:11" s="8" customFormat="1" hidden="1" x14ac:dyDescent="0.25">
      <c r="A159" s="355" t="s">
        <v>1740</v>
      </c>
      <c r="B159" s="355"/>
      <c r="C159" s="355" t="s">
        <v>309</v>
      </c>
      <c r="D159" s="355" t="s">
        <v>1741</v>
      </c>
      <c r="E159" s="460">
        <v>29299</v>
      </c>
      <c r="F159" s="356">
        <v>29299</v>
      </c>
      <c r="G159" s="355" t="s">
        <v>407</v>
      </c>
      <c r="H159" s="355" t="s">
        <v>837</v>
      </c>
      <c r="I159" s="357" t="s">
        <v>313</v>
      </c>
      <c r="J159" s="357" t="s">
        <v>996</v>
      </c>
      <c r="K159" s="426" t="str">
        <f>HYPERLINK("https://okcountyrecords.com/detail/roger+mills/1980-002071","OKCountyRecords: 1980-002071")</f>
        <v>OKCountyRecords: 1980-002071</v>
      </c>
    </row>
    <row r="160" spans="1:11" s="8" customFormat="1" hidden="1" x14ac:dyDescent="0.25">
      <c r="A160" s="355" t="s">
        <v>1742</v>
      </c>
      <c r="B160" s="355"/>
      <c r="C160" s="355" t="s">
        <v>114</v>
      </c>
      <c r="D160" s="355" t="s">
        <v>1743</v>
      </c>
      <c r="E160" s="460">
        <v>29312</v>
      </c>
      <c r="F160" s="356">
        <v>29312</v>
      </c>
      <c r="G160" s="355" t="s">
        <v>837</v>
      </c>
      <c r="H160" s="355" t="s">
        <v>1744</v>
      </c>
      <c r="I160" s="357" t="s">
        <v>242</v>
      </c>
      <c r="J160" s="357" t="s">
        <v>996</v>
      </c>
      <c r="K160" s="426" t="str">
        <f>HYPERLINK("https://okcountyrecords.com/detail/roger+mills/1980-002413","OKCountyRecords: 1980-002413")</f>
        <v>OKCountyRecords: 1980-002413</v>
      </c>
    </row>
    <row r="161" spans="1:11" s="8" customFormat="1" hidden="1" x14ac:dyDescent="0.25">
      <c r="A161" s="355" t="s">
        <v>1745</v>
      </c>
      <c r="B161" s="355"/>
      <c r="C161" s="355" t="s">
        <v>993</v>
      </c>
      <c r="D161" s="355" t="s">
        <v>1746</v>
      </c>
      <c r="E161" s="460">
        <v>29369</v>
      </c>
      <c r="F161" s="356">
        <v>29369</v>
      </c>
      <c r="G161" s="355" t="s">
        <v>1628</v>
      </c>
      <c r="H161" s="355" t="s">
        <v>1747</v>
      </c>
      <c r="I161" s="357" t="s">
        <v>242</v>
      </c>
      <c r="J161" s="357" t="s">
        <v>996</v>
      </c>
      <c r="K161" s="426" t="str">
        <f>HYPERLINK("https://okcountyrecords.com/detail/roger+mills/1980-004149","OKCountyRecords: 1980-004149")</f>
        <v>OKCountyRecords: 1980-004149</v>
      </c>
    </row>
    <row r="162" spans="1:11" s="594" customFormat="1" x14ac:dyDescent="0.25">
      <c r="A162" s="586" t="s">
        <v>1751</v>
      </c>
      <c r="B162" s="586"/>
      <c r="C162" s="587" t="s">
        <v>2430</v>
      </c>
      <c r="D162" s="586" t="s">
        <v>1752</v>
      </c>
      <c r="E162" s="588">
        <v>29438</v>
      </c>
      <c r="F162" s="588">
        <v>29438</v>
      </c>
      <c r="G162" s="586" t="s">
        <v>1753</v>
      </c>
      <c r="H162" s="586" t="s">
        <v>1696</v>
      </c>
      <c r="I162" s="587" t="s">
        <v>8766</v>
      </c>
      <c r="J162" s="587" t="s">
        <v>8767</v>
      </c>
      <c r="K162" s="589" t="str">
        <f>HYPERLINK("https://okcountyrecords.com/detail/roger+mills/1980-006290","OKCountyRecords: 1980-006290")</f>
        <v>OKCountyRecords: 1980-006290</v>
      </c>
    </row>
    <row r="163" spans="1:11" s="594" customFormat="1" x14ac:dyDescent="0.25">
      <c r="A163" s="586" t="s">
        <v>1754</v>
      </c>
      <c r="B163" s="586"/>
      <c r="C163" s="587" t="s">
        <v>2430</v>
      </c>
      <c r="D163" s="586" t="s">
        <v>1755</v>
      </c>
      <c r="E163" s="588">
        <v>29438</v>
      </c>
      <c r="F163" s="588">
        <v>29438</v>
      </c>
      <c r="G163" s="586" t="s">
        <v>1696</v>
      </c>
      <c r="H163" s="586" t="s">
        <v>1582</v>
      </c>
      <c r="I163" s="587" t="s">
        <v>8778</v>
      </c>
      <c r="J163" s="587" t="s">
        <v>8767</v>
      </c>
      <c r="K163" s="589" t="str">
        <f>HYPERLINK("https://okcountyrecords.com/detail/roger+mills/1980-006291","OKCountyRecords: 1980-006291")</f>
        <v>OKCountyRecords: 1980-006291</v>
      </c>
    </row>
    <row r="164" spans="1:11" s="8" customFormat="1" hidden="1" x14ac:dyDescent="0.25">
      <c r="A164" s="355" t="s">
        <v>1756</v>
      </c>
      <c r="B164" s="355"/>
      <c r="C164" s="355" t="s">
        <v>114</v>
      </c>
      <c r="D164" s="355" t="s">
        <v>1757</v>
      </c>
      <c r="E164" s="460">
        <v>29444</v>
      </c>
      <c r="F164" s="356">
        <v>29444</v>
      </c>
      <c r="G164" s="355" t="s">
        <v>1628</v>
      </c>
      <c r="H164" s="355" t="s">
        <v>812</v>
      </c>
      <c r="I164" s="357" t="s">
        <v>1012</v>
      </c>
      <c r="J164" s="357" t="s">
        <v>996</v>
      </c>
      <c r="K164" s="426" t="str">
        <f>HYPERLINK("https://okcountyrecords.com/detail/roger+mills/1980-006466","OKCountyRecords: 1980-006466")</f>
        <v>OKCountyRecords: 1980-006466</v>
      </c>
    </row>
    <row r="165" spans="1:11" s="8" customFormat="1" ht="25.5" hidden="1" x14ac:dyDescent="0.25">
      <c r="A165" s="355" t="s">
        <v>1758</v>
      </c>
      <c r="B165" s="355"/>
      <c r="C165" s="355" t="s">
        <v>309</v>
      </c>
      <c r="D165" s="355" t="s">
        <v>1759</v>
      </c>
      <c r="E165" s="460">
        <v>29669</v>
      </c>
      <c r="F165" s="356">
        <v>29669</v>
      </c>
      <c r="G165" s="357" t="s">
        <v>409</v>
      </c>
      <c r="H165" s="355" t="s">
        <v>840</v>
      </c>
      <c r="I165" s="357" t="s">
        <v>308</v>
      </c>
      <c r="J165" s="357" t="s">
        <v>996</v>
      </c>
      <c r="K165" s="426" t="str">
        <f>HYPERLINK("https://okcountyrecords.com/detail/roger+mills/1981-003167","OKCountyRecords: 1981-003167")</f>
        <v>OKCountyRecords: 1981-003167</v>
      </c>
    </row>
    <row r="166" spans="1:11" s="596" customFormat="1" x14ac:dyDescent="0.25">
      <c r="A166" s="580" t="s">
        <v>1760</v>
      </c>
      <c r="B166" s="580"/>
      <c r="C166" s="580" t="s">
        <v>1623</v>
      </c>
      <c r="D166" s="580" t="s">
        <v>1761</v>
      </c>
      <c r="E166" s="582">
        <v>29675</v>
      </c>
      <c r="F166" s="582">
        <v>29675</v>
      </c>
      <c r="G166" s="580" t="s">
        <v>372</v>
      </c>
      <c r="H166" s="581" t="s">
        <v>8779</v>
      </c>
      <c r="I166" s="581" t="s">
        <v>717</v>
      </c>
      <c r="J166" s="581" t="s">
        <v>8780</v>
      </c>
      <c r="K166" s="584" t="str">
        <f>HYPERLINK("https://okcountyrecords.com/detail/roger+mills/1981-003445","OKCountyRecords: 1981-003445")</f>
        <v>OKCountyRecords: 1981-003445</v>
      </c>
    </row>
    <row r="167" spans="1:11" s="596" customFormat="1" x14ac:dyDescent="0.25">
      <c r="A167" s="580" t="s">
        <v>1763</v>
      </c>
      <c r="B167" s="580"/>
      <c r="C167" s="580" t="s">
        <v>1623</v>
      </c>
      <c r="D167" s="580" t="s">
        <v>1764</v>
      </c>
      <c r="E167" s="582">
        <v>29714</v>
      </c>
      <c r="F167" s="582">
        <v>29714</v>
      </c>
      <c r="G167" s="581" t="s">
        <v>8781</v>
      </c>
      <c r="H167" s="580" t="s">
        <v>1766</v>
      </c>
      <c r="I167" s="581" t="s">
        <v>8705</v>
      </c>
      <c r="J167" s="581" t="s">
        <v>8746</v>
      </c>
      <c r="K167" s="584" t="str">
        <f>HYPERLINK("https://okcountyrecords.com/detail/roger+mills/1981-005180","OKCountyRecords: 1981-005180")</f>
        <v>OKCountyRecords: 1981-005180</v>
      </c>
    </row>
    <row r="168" spans="1:11" s="596" customFormat="1" x14ac:dyDescent="0.25">
      <c r="A168" s="580" t="s">
        <v>1767</v>
      </c>
      <c r="B168" s="580"/>
      <c r="C168" s="580" t="s">
        <v>1623</v>
      </c>
      <c r="D168" s="580" t="s">
        <v>1768</v>
      </c>
      <c r="E168" s="582">
        <v>29714</v>
      </c>
      <c r="F168" s="582">
        <v>29714</v>
      </c>
      <c r="G168" s="580" t="s">
        <v>1766</v>
      </c>
      <c r="H168" s="580" t="s">
        <v>1769</v>
      </c>
      <c r="I168" s="581" t="s">
        <v>8705</v>
      </c>
      <c r="J168" s="581" t="s">
        <v>8782</v>
      </c>
      <c r="K168" s="584" t="str">
        <f>HYPERLINK("https://okcountyrecords.com/detail/roger+mills/1981-005181","OKCountyRecords: 1981-005181")</f>
        <v>OKCountyRecords: 1981-005181</v>
      </c>
    </row>
    <row r="169" spans="1:11" s="596" customFormat="1" x14ac:dyDescent="0.25">
      <c r="A169" s="580" t="s">
        <v>1770</v>
      </c>
      <c r="B169" s="580"/>
      <c r="C169" s="580" t="s">
        <v>1623</v>
      </c>
      <c r="D169" s="580" t="s">
        <v>1771</v>
      </c>
      <c r="E169" s="582">
        <v>29767</v>
      </c>
      <c r="F169" s="582">
        <v>29767</v>
      </c>
      <c r="G169" s="581" t="s">
        <v>8779</v>
      </c>
      <c r="H169" s="580" t="s">
        <v>1772</v>
      </c>
      <c r="I169" s="581" t="s">
        <v>717</v>
      </c>
      <c r="J169" s="581" t="s">
        <v>8783</v>
      </c>
      <c r="K169" s="584" t="str">
        <f>HYPERLINK("https://okcountyrecords.com/detail/roger+mills/1981-007481","OKCountyRecords: 1981-007481")</f>
        <v>OKCountyRecords: 1981-007481</v>
      </c>
    </row>
    <row r="170" spans="1:11" s="596" customFormat="1" x14ac:dyDescent="0.25">
      <c r="A170" s="580" t="s">
        <v>1773</v>
      </c>
      <c r="B170" s="580"/>
      <c r="C170" s="580" t="s">
        <v>1623</v>
      </c>
      <c r="D170" s="580" t="s">
        <v>1774</v>
      </c>
      <c r="E170" s="582">
        <v>29812</v>
      </c>
      <c r="F170" s="582">
        <v>29812</v>
      </c>
      <c r="G170" s="581" t="s">
        <v>8779</v>
      </c>
      <c r="H170" s="580" t="s">
        <v>1775</v>
      </c>
      <c r="I170" s="581" t="s">
        <v>717</v>
      </c>
      <c r="J170" s="581" t="s">
        <v>8784</v>
      </c>
      <c r="K170" s="584" t="str">
        <f>HYPERLINK("https://okcountyrecords.com/detail/roger+mills/1981-009501","OKCountyRecords: 1981-009501")</f>
        <v>OKCountyRecords: 1981-009501</v>
      </c>
    </row>
    <row r="171" spans="1:11" s="8" customFormat="1" hidden="1" x14ac:dyDescent="0.25">
      <c r="A171" s="355" t="s">
        <v>1782</v>
      </c>
      <c r="B171" s="355"/>
      <c r="C171" s="355" t="s">
        <v>114</v>
      </c>
      <c r="D171" s="355" t="s">
        <v>1783</v>
      </c>
      <c r="E171" s="356">
        <v>29844</v>
      </c>
      <c r="F171" s="356">
        <v>29867</v>
      </c>
      <c r="G171" s="355" t="s">
        <v>1533</v>
      </c>
      <c r="H171" s="355" t="s">
        <v>1784</v>
      </c>
      <c r="I171" s="357" t="s">
        <v>1003</v>
      </c>
      <c r="J171" s="357" t="s">
        <v>996</v>
      </c>
      <c r="K171" s="426" t="str">
        <f>HYPERLINK("https://okcountyrecords.com/detail/roger+mills/1981-011846","OKCountyRecords: 1981-011846")</f>
        <v>OKCountyRecords: 1981-011846</v>
      </c>
    </row>
    <row r="172" spans="1:11" s="8" customFormat="1" hidden="1" x14ac:dyDescent="0.25">
      <c r="A172" s="355" t="s">
        <v>1776</v>
      </c>
      <c r="B172" s="355"/>
      <c r="C172" s="355" t="s">
        <v>114</v>
      </c>
      <c r="D172" s="355" t="s">
        <v>1777</v>
      </c>
      <c r="E172" s="460">
        <v>29857</v>
      </c>
      <c r="F172" s="356">
        <v>29857</v>
      </c>
      <c r="G172" s="355" t="s">
        <v>840</v>
      </c>
      <c r="H172" s="355" t="s">
        <v>1772</v>
      </c>
      <c r="I172" s="357" t="s">
        <v>242</v>
      </c>
      <c r="J172" s="357" t="s">
        <v>996</v>
      </c>
      <c r="K172" s="426" t="str">
        <f>HYPERLINK("https://okcountyrecords.com/detail/roger+mills/1981-011348","OKCountyRecords: 1981-011348")</f>
        <v>OKCountyRecords: 1981-011348</v>
      </c>
    </row>
    <row r="173" spans="1:11" s="8" customFormat="1" hidden="1" x14ac:dyDescent="0.25">
      <c r="A173" s="355" t="s">
        <v>1778</v>
      </c>
      <c r="B173" s="355"/>
      <c r="C173" s="355" t="s">
        <v>114</v>
      </c>
      <c r="D173" s="355" t="s">
        <v>1779</v>
      </c>
      <c r="E173" s="460">
        <v>29857</v>
      </c>
      <c r="F173" s="356">
        <v>29857</v>
      </c>
      <c r="G173" s="355" t="s">
        <v>840</v>
      </c>
      <c r="H173" s="355" t="s">
        <v>1775</v>
      </c>
      <c r="I173" s="357" t="s">
        <v>242</v>
      </c>
      <c r="J173" s="357" t="s">
        <v>996</v>
      </c>
      <c r="K173" s="426" t="str">
        <f>HYPERLINK("https://okcountyrecords.com/detail/roger+mills/1981-011365","OKCountyRecords: 1981-011365")</f>
        <v>OKCountyRecords: 1981-011365</v>
      </c>
    </row>
    <row r="174" spans="1:11" s="8" customFormat="1" hidden="1" x14ac:dyDescent="0.25">
      <c r="A174" s="355" t="s">
        <v>1780</v>
      </c>
      <c r="B174" s="355"/>
      <c r="C174" s="355" t="s">
        <v>309</v>
      </c>
      <c r="D174" s="355" t="s">
        <v>1781</v>
      </c>
      <c r="E174" s="460">
        <v>29861</v>
      </c>
      <c r="F174" s="356">
        <v>29861</v>
      </c>
      <c r="G174" s="355" t="s">
        <v>404</v>
      </c>
      <c r="H174" s="355" t="s">
        <v>383</v>
      </c>
      <c r="I174" s="357" t="s">
        <v>313</v>
      </c>
      <c r="J174" s="357" t="s">
        <v>996</v>
      </c>
      <c r="K174" s="426" t="str">
        <f>HYPERLINK("https://okcountyrecords.com/detail/roger+mills/1981-011564","OKCountyRecords: 1981-011564")</f>
        <v>OKCountyRecords: 1981-011564</v>
      </c>
    </row>
    <row r="175" spans="1:11" s="8" customFormat="1" ht="25.5" hidden="1" x14ac:dyDescent="0.25">
      <c r="A175" s="355" t="s">
        <v>1785</v>
      </c>
      <c r="B175" s="355"/>
      <c r="C175" s="355" t="s">
        <v>309</v>
      </c>
      <c r="D175" s="355" t="s">
        <v>1786</v>
      </c>
      <c r="E175" s="460">
        <v>29915</v>
      </c>
      <c r="F175" s="356">
        <v>29915</v>
      </c>
      <c r="G175" s="357" t="s">
        <v>411</v>
      </c>
      <c r="H175" s="355" t="s">
        <v>412</v>
      </c>
      <c r="I175" s="357" t="s">
        <v>313</v>
      </c>
      <c r="J175" s="357" t="s">
        <v>996</v>
      </c>
      <c r="K175" s="426" t="str">
        <f>HYPERLINK("https://okcountyrecords.com/detail/roger+mills/1981-013847","OKCountyRecords: 1981-013847")</f>
        <v>OKCountyRecords: 1981-013847</v>
      </c>
    </row>
    <row r="176" spans="1:11" s="8" customFormat="1" ht="25.5" hidden="1" x14ac:dyDescent="0.25">
      <c r="A176" s="355" t="s">
        <v>1787</v>
      </c>
      <c r="B176" s="355"/>
      <c r="C176" s="355" t="s">
        <v>309</v>
      </c>
      <c r="D176" s="355" t="s">
        <v>1788</v>
      </c>
      <c r="E176" s="460">
        <v>29969</v>
      </c>
      <c r="F176" s="356">
        <v>29969</v>
      </c>
      <c r="G176" s="357" t="s">
        <v>413</v>
      </c>
      <c r="H176" s="355" t="s">
        <v>414</v>
      </c>
      <c r="I176" s="357" t="s">
        <v>313</v>
      </c>
      <c r="J176" s="357" t="s">
        <v>996</v>
      </c>
      <c r="K176" s="426" t="str">
        <f>HYPERLINK("https://okcountyrecords.com/detail/roger+mills/1982-000608","OKCountyRecords: 1982-000608")</f>
        <v>OKCountyRecords: 1982-000608</v>
      </c>
    </row>
    <row r="177" spans="1:11" s="8" customFormat="1" hidden="1" x14ac:dyDescent="0.25">
      <c r="A177" s="355" t="s">
        <v>1789</v>
      </c>
      <c r="B177" s="355"/>
      <c r="C177" s="355" t="s">
        <v>114</v>
      </c>
      <c r="D177" s="355" t="s">
        <v>1790</v>
      </c>
      <c r="E177" s="460">
        <v>29977</v>
      </c>
      <c r="F177" s="356">
        <v>29977</v>
      </c>
      <c r="G177" s="355" t="s">
        <v>1775</v>
      </c>
      <c r="H177" s="355" t="s">
        <v>840</v>
      </c>
      <c r="I177" s="357" t="s">
        <v>242</v>
      </c>
      <c r="J177" s="357" t="s">
        <v>996</v>
      </c>
      <c r="K177" s="426" t="str">
        <f>HYPERLINK("https://okcountyrecords.com/detail/roger+mills/1982-001029","OKCountyRecords: 1982-001029")</f>
        <v>OKCountyRecords: 1982-001029</v>
      </c>
    </row>
    <row r="178" spans="1:11" s="8" customFormat="1" hidden="1" x14ac:dyDescent="0.25">
      <c r="A178" s="355" t="s">
        <v>1791</v>
      </c>
      <c r="B178" s="355"/>
      <c r="C178" s="355" t="s">
        <v>309</v>
      </c>
      <c r="D178" s="355" t="s">
        <v>1792</v>
      </c>
      <c r="E178" s="460">
        <v>29992</v>
      </c>
      <c r="F178" s="356">
        <v>29992</v>
      </c>
      <c r="G178" s="355" t="s">
        <v>372</v>
      </c>
      <c r="H178" s="355" t="s">
        <v>847</v>
      </c>
      <c r="I178" s="357" t="s">
        <v>313</v>
      </c>
      <c r="J178" s="357" t="s">
        <v>996</v>
      </c>
      <c r="K178" s="426" t="str">
        <f>HYPERLINK("https://okcountyrecords.com/detail/roger+mills/1982-001703","OKCountyRecords: 1982-001703")</f>
        <v>OKCountyRecords: 1982-001703</v>
      </c>
    </row>
    <row r="179" spans="1:11" s="594" customFormat="1" x14ac:dyDescent="0.25">
      <c r="A179" s="586" t="s">
        <v>1793</v>
      </c>
      <c r="B179" s="586"/>
      <c r="C179" s="587" t="s">
        <v>2827</v>
      </c>
      <c r="D179" s="586" t="s">
        <v>1794</v>
      </c>
      <c r="E179" s="588">
        <v>30015</v>
      </c>
      <c r="F179" s="588">
        <v>30015</v>
      </c>
      <c r="G179" s="586" t="s">
        <v>1582</v>
      </c>
      <c r="H179" s="587" t="s">
        <v>8785</v>
      </c>
      <c r="I179" s="587" t="s">
        <v>8778</v>
      </c>
      <c r="J179" s="587" t="s">
        <v>8786</v>
      </c>
      <c r="K179" s="589" t="str">
        <f>HYPERLINK("https://okcountyrecords.com/detail/roger+mills/1982-002776","OKCountyRecords: 1982-002776")</f>
        <v>OKCountyRecords: 1982-002776</v>
      </c>
    </row>
    <row r="180" spans="1:11" s="8" customFormat="1" hidden="1" x14ac:dyDescent="0.25">
      <c r="A180" s="355" t="s">
        <v>1795</v>
      </c>
      <c r="B180" s="355"/>
      <c r="C180" s="355" t="s">
        <v>309</v>
      </c>
      <c r="D180" s="355" t="s">
        <v>1796</v>
      </c>
      <c r="E180" s="460">
        <v>30028</v>
      </c>
      <c r="F180" s="356">
        <v>30028</v>
      </c>
      <c r="G180" s="355" t="s">
        <v>416</v>
      </c>
      <c r="H180" s="355" t="s">
        <v>847</v>
      </c>
      <c r="I180" s="357" t="s">
        <v>313</v>
      </c>
      <c r="J180" s="357" t="s">
        <v>996</v>
      </c>
      <c r="K180" s="426" t="str">
        <f>HYPERLINK("https://okcountyrecords.com/detail/roger+mills/1982-003363","OKCountyRecords: 1982-003363")</f>
        <v>OKCountyRecords: 1982-003363</v>
      </c>
    </row>
    <row r="181" spans="1:11" s="8" customFormat="1" ht="25.5" hidden="1" x14ac:dyDescent="0.25">
      <c r="A181" s="355" t="s">
        <v>1797</v>
      </c>
      <c r="B181" s="355"/>
      <c r="C181" s="355" t="s">
        <v>309</v>
      </c>
      <c r="D181" s="355" t="s">
        <v>1798</v>
      </c>
      <c r="E181" s="460">
        <v>30039</v>
      </c>
      <c r="F181" s="356">
        <v>30039</v>
      </c>
      <c r="G181" s="357" t="s">
        <v>1799</v>
      </c>
      <c r="H181" s="355" t="s">
        <v>847</v>
      </c>
      <c r="I181" s="357" t="s">
        <v>313</v>
      </c>
      <c r="J181" s="357" t="s">
        <v>996</v>
      </c>
      <c r="K181" s="426" t="str">
        <f>HYPERLINK("https://okcountyrecords.com/detail/roger+mills/1982-003751","OKCountyRecords: 1982-003751")</f>
        <v>OKCountyRecords: 1982-003751</v>
      </c>
    </row>
    <row r="182" spans="1:11" s="596" customFormat="1" x14ac:dyDescent="0.25">
      <c r="A182" s="580" t="s">
        <v>1800</v>
      </c>
      <c r="B182" s="580"/>
      <c r="C182" s="580" t="s">
        <v>1623</v>
      </c>
      <c r="D182" s="580" t="s">
        <v>1801</v>
      </c>
      <c r="E182" s="582">
        <v>30054</v>
      </c>
      <c r="F182" s="582">
        <v>30054</v>
      </c>
      <c r="G182" s="580" t="s">
        <v>1572</v>
      </c>
      <c r="H182" s="581" t="s">
        <v>8787</v>
      </c>
      <c r="I182" s="581" t="s">
        <v>8705</v>
      </c>
      <c r="J182" s="581" t="s">
        <v>8745</v>
      </c>
      <c r="K182" s="584" t="str">
        <f>HYPERLINK("https://okcountyrecords.com/detail/roger+mills/1982-004342","OKCountyRecords: 1982-004342")</f>
        <v>OKCountyRecords: 1982-004342</v>
      </c>
    </row>
    <row r="183" spans="1:11" s="604" customFormat="1" x14ac:dyDescent="0.25">
      <c r="A183" s="360" t="s">
        <v>1803</v>
      </c>
      <c r="B183" s="360"/>
      <c r="C183" s="360" t="s">
        <v>1091</v>
      </c>
      <c r="D183" s="360" t="s">
        <v>1804</v>
      </c>
      <c r="E183" s="460">
        <v>30061</v>
      </c>
      <c r="F183" s="361">
        <v>30061</v>
      </c>
      <c r="G183" s="360" t="s">
        <v>1805</v>
      </c>
      <c r="H183" s="360" t="s">
        <v>1391</v>
      </c>
      <c r="I183" s="360" t="s">
        <v>1012</v>
      </c>
      <c r="J183" s="360" t="s">
        <v>1095</v>
      </c>
      <c r="K183" s="427" t="str">
        <f>HYPERLINK("https://okcountyrecords.com/detail/roger+mills/1982-004658","OKCountyRecords: 1982-004658")</f>
        <v>OKCountyRecords: 1982-004658</v>
      </c>
    </row>
    <row r="184" spans="1:11" s="8" customFormat="1" ht="25.5" hidden="1" x14ac:dyDescent="0.25">
      <c r="A184" s="355" t="s">
        <v>1806</v>
      </c>
      <c r="B184" s="355"/>
      <c r="C184" s="355" t="s">
        <v>993</v>
      </c>
      <c r="D184" s="355" t="s">
        <v>1807</v>
      </c>
      <c r="E184" s="460">
        <v>30076</v>
      </c>
      <c r="F184" s="356">
        <v>30076</v>
      </c>
      <c r="G184" s="355" t="s">
        <v>983</v>
      </c>
      <c r="H184" s="357" t="s">
        <v>1808</v>
      </c>
      <c r="I184" s="357" t="s">
        <v>242</v>
      </c>
      <c r="J184" s="357" t="s">
        <v>996</v>
      </c>
      <c r="K184" s="426" t="str">
        <f>HYPERLINK("https://okcountyrecords.com/detail/roger+mills/1982-005195","OKCountyRecords: 1982-005195")</f>
        <v>OKCountyRecords: 1982-005195</v>
      </c>
    </row>
    <row r="185" spans="1:11" s="596" customFormat="1" x14ac:dyDescent="0.25">
      <c r="A185" s="580" t="s">
        <v>1809</v>
      </c>
      <c r="B185" s="580"/>
      <c r="C185" s="580" t="s">
        <v>1623</v>
      </c>
      <c r="D185" s="580" t="s">
        <v>1810</v>
      </c>
      <c r="E185" s="582">
        <v>30081</v>
      </c>
      <c r="F185" s="582">
        <v>30081</v>
      </c>
      <c r="G185" s="581" t="s">
        <v>8779</v>
      </c>
      <c r="H185" s="580" t="s">
        <v>1772</v>
      </c>
      <c r="I185" s="581" t="s">
        <v>717</v>
      </c>
      <c r="J185" s="581" t="s">
        <v>8788</v>
      </c>
      <c r="K185" s="584" t="str">
        <f>HYPERLINK("https://okcountyrecords.com/detail/roger+mills/1982-005352","OKCountyRecords: 1982-005352")</f>
        <v>OKCountyRecords: 1982-005352</v>
      </c>
    </row>
    <row r="186" spans="1:11" s="8" customFormat="1" hidden="1" x14ac:dyDescent="0.25">
      <c r="A186" s="355" t="s">
        <v>1811</v>
      </c>
      <c r="B186" s="355"/>
      <c r="C186" s="355" t="s">
        <v>114</v>
      </c>
      <c r="D186" s="355" t="s">
        <v>1812</v>
      </c>
      <c r="E186" s="460">
        <v>30081</v>
      </c>
      <c r="F186" s="356">
        <v>30081</v>
      </c>
      <c r="G186" s="355" t="s">
        <v>840</v>
      </c>
      <c r="H186" s="355" t="s">
        <v>1772</v>
      </c>
      <c r="I186" s="357" t="s">
        <v>242</v>
      </c>
      <c r="J186" s="357" t="s">
        <v>996</v>
      </c>
      <c r="K186" s="426" t="str">
        <f>HYPERLINK("https://okcountyrecords.com/detail/roger+mills/1982-005357","OKCountyRecords: 1982-005357")</f>
        <v>OKCountyRecords: 1982-005357</v>
      </c>
    </row>
    <row r="187" spans="1:11" s="594" customFormat="1" x14ac:dyDescent="0.25">
      <c r="A187" s="586" t="s">
        <v>1813</v>
      </c>
      <c r="B187" s="586"/>
      <c r="C187" s="586" t="s">
        <v>969</v>
      </c>
      <c r="D187" s="586" t="s">
        <v>1814</v>
      </c>
      <c r="E187" s="588">
        <v>30088</v>
      </c>
      <c r="F187" s="588">
        <v>30088</v>
      </c>
      <c r="G187" s="586" t="s">
        <v>411</v>
      </c>
      <c r="H187" s="586" t="s">
        <v>436</v>
      </c>
      <c r="I187" s="587" t="s">
        <v>8778</v>
      </c>
      <c r="J187" s="587" t="s">
        <v>8789</v>
      </c>
      <c r="K187" s="589" t="str">
        <f>HYPERLINK("https://okcountyrecords.com/detail/roger+mills/1982-005721","OKCountyRecords: 1982-005721")</f>
        <v>OKCountyRecords: 1982-005721</v>
      </c>
    </row>
    <row r="188" spans="1:11" s="8" customFormat="1" ht="63.75" hidden="1" x14ac:dyDescent="0.25">
      <c r="A188" s="355" t="s">
        <v>1815</v>
      </c>
      <c r="B188" s="355"/>
      <c r="C188" s="355" t="s">
        <v>309</v>
      </c>
      <c r="D188" s="355" t="s">
        <v>1816</v>
      </c>
      <c r="E188" s="460">
        <v>30095</v>
      </c>
      <c r="F188" s="356">
        <v>30095</v>
      </c>
      <c r="G188" s="357" t="s">
        <v>1817</v>
      </c>
      <c r="H188" s="355" t="s">
        <v>847</v>
      </c>
      <c r="I188" s="357" t="s">
        <v>313</v>
      </c>
      <c r="J188" s="357" t="s">
        <v>996</v>
      </c>
      <c r="K188" s="426" t="str">
        <f>HYPERLINK("https://okcountyrecords.com/detail/roger+mills/1982-005993","OKCountyRecords: 1982-005993")</f>
        <v>OKCountyRecords: 1982-005993</v>
      </c>
    </row>
    <row r="189" spans="1:11" s="8" customFormat="1" hidden="1" x14ac:dyDescent="0.25">
      <c r="A189" s="355" t="s">
        <v>1818</v>
      </c>
      <c r="B189" s="355"/>
      <c r="C189" s="355" t="s">
        <v>114</v>
      </c>
      <c r="D189" s="355" t="s">
        <v>1819</v>
      </c>
      <c r="E189" s="460">
        <v>30095</v>
      </c>
      <c r="F189" s="356">
        <v>30095</v>
      </c>
      <c r="G189" s="355" t="s">
        <v>1820</v>
      </c>
      <c r="H189" s="355" t="s">
        <v>1821</v>
      </c>
      <c r="I189" s="357" t="s">
        <v>242</v>
      </c>
      <c r="J189" s="357" t="s">
        <v>996</v>
      </c>
      <c r="K189" s="426" t="str">
        <f>HYPERLINK("https://okcountyrecords.com/detail/roger+mills/1982-005994","OKCountyRecords: 1982-005994")</f>
        <v>OKCountyRecords: 1982-005994</v>
      </c>
    </row>
    <row r="190" spans="1:11" s="8" customFormat="1" hidden="1" x14ac:dyDescent="0.25">
      <c r="A190" s="355" t="s">
        <v>1822</v>
      </c>
      <c r="B190" s="355"/>
      <c r="C190" s="355" t="s">
        <v>114</v>
      </c>
      <c r="D190" s="355" t="s">
        <v>1823</v>
      </c>
      <c r="E190" s="460">
        <v>30095</v>
      </c>
      <c r="F190" s="356">
        <v>30095</v>
      </c>
      <c r="G190" s="355" t="s">
        <v>1820</v>
      </c>
      <c r="H190" s="355" t="s">
        <v>1821</v>
      </c>
      <c r="I190" s="357" t="s">
        <v>242</v>
      </c>
      <c r="J190" s="357" t="s">
        <v>996</v>
      </c>
      <c r="K190" s="426" t="str">
        <f>HYPERLINK("https://okcountyrecords.com/detail/roger+mills/1982-005996","OKCountyRecords: 1982-005996")</f>
        <v>OKCountyRecords: 1982-005996</v>
      </c>
    </row>
    <row r="191" spans="1:11" s="8" customFormat="1" hidden="1" x14ac:dyDescent="0.25">
      <c r="A191" s="355" t="s">
        <v>1824</v>
      </c>
      <c r="B191" s="355"/>
      <c r="C191" s="355" t="s">
        <v>114</v>
      </c>
      <c r="D191" s="355" t="s">
        <v>1825</v>
      </c>
      <c r="E191" s="460">
        <v>30095</v>
      </c>
      <c r="F191" s="356">
        <v>30095</v>
      </c>
      <c r="G191" s="355" t="s">
        <v>1820</v>
      </c>
      <c r="H191" s="355" t="s">
        <v>1821</v>
      </c>
      <c r="I191" s="357" t="s">
        <v>242</v>
      </c>
      <c r="J191" s="357" t="s">
        <v>996</v>
      </c>
      <c r="K191" s="426" t="str">
        <f>HYPERLINK("https://okcountyrecords.com/detail/roger+mills/1982-005997","OKCountyRecords: 1982-005997")</f>
        <v>OKCountyRecords: 1982-005997</v>
      </c>
    </row>
    <row r="192" spans="1:11" s="604" customFormat="1" x14ac:dyDescent="0.25">
      <c r="A192" s="360" t="s">
        <v>1826</v>
      </c>
      <c r="B192" s="360"/>
      <c r="C192" s="360" t="s">
        <v>1317</v>
      </c>
      <c r="D192" s="360" t="s">
        <v>1827</v>
      </c>
      <c r="E192" s="460">
        <v>30099</v>
      </c>
      <c r="F192" s="361">
        <v>30099</v>
      </c>
      <c r="G192" s="360" t="s">
        <v>1828</v>
      </c>
      <c r="H192" s="360" t="s">
        <v>1110</v>
      </c>
      <c r="I192" s="603" t="s">
        <v>242</v>
      </c>
      <c r="J192" s="360" t="s">
        <v>1095</v>
      </c>
      <c r="K192" s="427" t="str">
        <f>HYPERLINK("https://okcountyrecords.com/detail/roger+mills/1982-006217","OKCountyRecords: 1982-006217")</f>
        <v>OKCountyRecords: 1982-006217</v>
      </c>
    </row>
    <row r="193" spans="1:11" s="604" customFormat="1" x14ac:dyDescent="0.25">
      <c r="A193" s="360" t="s">
        <v>1829</v>
      </c>
      <c r="B193" s="360"/>
      <c r="C193" s="360" t="s">
        <v>1317</v>
      </c>
      <c r="D193" s="360" t="s">
        <v>1830</v>
      </c>
      <c r="E193" s="460">
        <v>30099</v>
      </c>
      <c r="F193" s="361">
        <v>30099</v>
      </c>
      <c r="G193" s="360" t="s">
        <v>1828</v>
      </c>
      <c r="H193" s="360" t="s">
        <v>1110</v>
      </c>
      <c r="I193" s="360" t="s">
        <v>242</v>
      </c>
      <c r="J193" s="360" t="s">
        <v>1095</v>
      </c>
      <c r="K193" s="427" t="str">
        <f>HYPERLINK("https://okcountyrecords.com/detail/roger+mills/1982-006218","OKCountyRecords: 1982-006218")</f>
        <v>OKCountyRecords: 1982-006218</v>
      </c>
    </row>
    <row r="194" spans="1:11" s="596" customFormat="1" x14ac:dyDescent="0.25">
      <c r="A194" s="580" t="s">
        <v>1831</v>
      </c>
      <c r="B194" s="580"/>
      <c r="C194" s="580" t="s">
        <v>1623</v>
      </c>
      <c r="D194" s="580" t="s">
        <v>1832</v>
      </c>
      <c r="E194" s="582">
        <v>30124</v>
      </c>
      <c r="F194" s="582">
        <v>30124</v>
      </c>
      <c r="G194" s="580" t="s">
        <v>404</v>
      </c>
      <c r="H194" s="580" t="s">
        <v>286</v>
      </c>
      <c r="I194" s="581" t="s">
        <v>8790</v>
      </c>
      <c r="J194" s="581" t="s">
        <v>8791</v>
      </c>
      <c r="K194" s="584" t="str">
        <f>HYPERLINK("https://okcountyrecords.com/detail/roger+mills/1982-007158","OKCountyRecords: 1982-007158")</f>
        <v>OKCountyRecords: 1982-007158</v>
      </c>
    </row>
    <row r="195" spans="1:11" s="8" customFormat="1" hidden="1" x14ac:dyDescent="0.25">
      <c r="A195" s="355" t="s">
        <v>1833</v>
      </c>
      <c r="B195" s="355"/>
      <c r="C195" s="355" t="s">
        <v>114</v>
      </c>
      <c r="D195" s="355" t="s">
        <v>1834</v>
      </c>
      <c r="E195" s="460">
        <v>30130</v>
      </c>
      <c r="F195" s="356">
        <v>30130</v>
      </c>
      <c r="G195" s="355" t="s">
        <v>1820</v>
      </c>
      <c r="H195" s="355" t="s">
        <v>1821</v>
      </c>
      <c r="I195" s="357" t="s">
        <v>242</v>
      </c>
      <c r="J195" s="357" t="s">
        <v>996</v>
      </c>
      <c r="K195" s="426" t="str">
        <f>HYPERLINK("https://okcountyrecords.com/detail/roger+mills/1982-007341","OKCountyRecords: 1982-007341")</f>
        <v>OKCountyRecords: 1982-007341</v>
      </c>
    </row>
    <row r="196" spans="1:11" s="8" customFormat="1" ht="25.5" hidden="1" x14ac:dyDescent="0.25">
      <c r="A196" s="355" t="s">
        <v>1835</v>
      </c>
      <c r="B196" s="355"/>
      <c r="C196" s="355" t="s">
        <v>114</v>
      </c>
      <c r="D196" s="355" t="s">
        <v>1836</v>
      </c>
      <c r="E196" s="460">
        <v>30173</v>
      </c>
      <c r="F196" s="356">
        <v>30173</v>
      </c>
      <c r="G196" s="355" t="s">
        <v>1837</v>
      </c>
      <c r="H196" s="357" t="s">
        <v>1838</v>
      </c>
      <c r="I196" s="357" t="s">
        <v>1012</v>
      </c>
      <c r="J196" s="357" t="s">
        <v>996</v>
      </c>
      <c r="K196" s="426" t="str">
        <f>HYPERLINK("https://okcountyrecords.com/detail/roger+mills/1982-008742","OKCountyRecords: 1982-008742")</f>
        <v>OKCountyRecords: 1982-008742</v>
      </c>
    </row>
    <row r="197" spans="1:11" s="8" customFormat="1" hidden="1" x14ac:dyDescent="0.25">
      <c r="A197" s="355" t="s">
        <v>1839</v>
      </c>
      <c r="B197" s="355"/>
      <c r="C197" s="355" t="s">
        <v>114</v>
      </c>
      <c r="D197" s="355" t="s">
        <v>1840</v>
      </c>
      <c r="E197" s="460">
        <v>30230</v>
      </c>
      <c r="F197" s="356">
        <v>30230</v>
      </c>
      <c r="G197" s="355" t="s">
        <v>1841</v>
      </c>
      <c r="H197" s="355" t="s">
        <v>1842</v>
      </c>
      <c r="I197" s="357" t="s">
        <v>242</v>
      </c>
      <c r="J197" s="357" t="s">
        <v>996</v>
      </c>
      <c r="K197" s="426" t="str">
        <f>HYPERLINK("https://okcountyrecords.com/detail/roger+mills/1982-010547","OKCountyRecords: 1982-010547")</f>
        <v>OKCountyRecords: 1982-010547</v>
      </c>
    </row>
    <row r="198" spans="1:11" s="596" customFormat="1" x14ac:dyDescent="0.25">
      <c r="A198" s="580" t="s">
        <v>1843</v>
      </c>
      <c r="B198" s="580"/>
      <c r="C198" s="580" t="s">
        <v>1623</v>
      </c>
      <c r="D198" s="580" t="s">
        <v>1844</v>
      </c>
      <c r="E198" s="582">
        <v>30250</v>
      </c>
      <c r="F198" s="582">
        <v>30250</v>
      </c>
      <c r="G198" s="581" t="s">
        <v>8792</v>
      </c>
      <c r="H198" s="580" t="s">
        <v>240</v>
      </c>
      <c r="I198" s="581" t="s">
        <v>8793</v>
      </c>
      <c r="J198" s="581" t="s">
        <v>8794</v>
      </c>
      <c r="K198" s="584" t="str">
        <f>HYPERLINK("https://okcountyrecords.com/detail/roger+mills/1982-011142","OKCountyRecords: 1982-011142")</f>
        <v>OKCountyRecords: 1982-011142</v>
      </c>
    </row>
    <row r="199" spans="1:11" s="596" customFormat="1" x14ac:dyDescent="0.25">
      <c r="A199" s="580" t="s">
        <v>1846</v>
      </c>
      <c r="B199" s="580"/>
      <c r="C199" s="580" t="s">
        <v>1623</v>
      </c>
      <c r="D199" s="580" t="s">
        <v>1847</v>
      </c>
      <c r="E199" s="582">
        <v>30250</v>
      </c>
      <c r="F199" s="582">
        <v>30250</v>
      </c>
      <c r="G199" s="581" t="s">
        <v>8792</v>
      </c>
      <c r="H199" s="580" t="s">
        <v>263</v>
      </c>
      <c r="I199" s="581" t="s">
        <v>8793</v>
      </c>
      <c r="J199" s="581" t="s">
        <v>8794</v>
      </c>
      <c r="K199" s="584" t="str">
        <f>HYPERLINK("https://okcountyrecords.com/detail/roger+mills/1982-011143","OKCountyRecords: 1982-011143")</f>
        <v>OKCountyRecords: 1982-011143</v>
      </c>
    </row>
    <row r="200" spans="1:11" s="596" customFormat="1" x14ac:dyDescent="0.25">
      <c r="A200" s="580" t="s">
        <v>1848</v>
      </c>
      <c r="B200" s="580"/>
      <c r="C200" s="580" t="s">
        <v>1623</v>
      </c>
      <c r="D200" s="580" t="s">
        <v>1849</v>
      </c>
      <c r="E200" s="582">
        <v>30250</v>
      </c>
      <c r="F200" s="582">
        <v>30250</v>
      </c>
      <c r="G200" s="580" t="s">
        <v>1845</v>
      </c>
      <c r="H200" s="580" t="s">
        <v>252</v>
      </c>
      <c r="I200" s="581" t="s">
        <v>8793</v>
      </c>
      <c r="J200" s="581" t="s">
        <v>8794</v>
      </c>
      <c r="K200" s="584" t="str">
        <f>HYPERLINK("https://okcountyrecords.com/detail/roger+mills/1982-011144","OKCountyRecords: 1982-011144")</f>
        <v>OKCountyRecords: 1982-011144</v>
      </c>
    </row>
    <row r="201" spans="1:11" s="8" customFormat="1" x14ac:dyDescent="0.25">
      <c r="A201" s="360" t="s">
        <v>1850</v>
      </c>
      <c r="B201" s="360"/>
      <c r="C201" s="603" t="s">
        <v>8795</v>
      </c>
      <c r="D201" s="360" t="s">
        <v>1851</v>
      </c>
      <c r="E201" s="460">
        <v>30369</v>
      </c>
      <c r="F201" s="361">
        <v>30369</v>
      </c>
      <c r="G201" s="360" t="s">
        <v>1604</v>
      </c>
      <c r="H201" s="603" t="s">
        <v>4285</v>
      </c>
      <c r="I201" s="360" t="s">
        <v>1012</v>
      </c>
      <c r="J201" s="603" t="s">
        <v>8795</v>
      </c>
      <c r="K201" s="427" t="str">
        <f>HYPERLINK("https://okcountyrecords.com/detail/roger+mills/1983-001668","OKCountyRecords: 1983-001668")</f>
        <v>OKCountyRecords: 1983-001668</v>
      </c>
    </row>
    <row r="202" spans="1:11" s="596" customFormat="1" x14ac:dyDescent="0.25">
      <c r="A202" s="580" t="s">
        <v>1852</v>
      </c>
      <c r="B202" s="580"/>
      <c r="C202" s="580" t="s">
        <v>1623</v>
      </c>
      <c r="D202" s="580" t="s">
        <v>1853</v>
      </c>
      <c r="E202" s="582">
        <v>30369</v>
      </c>
      <c r="F202" s="582">
        <v>30369</v>
      </c>
      <c r="G202" s="581" t="s">
        <v>8796</v>
      </c>
      <c r="H202" s="580" t="s">
        <v>1855</v>
      </c>
      <c r="I202" s="581" t="s">
        <v>8793</v>
      </c>
      <c r="J202" s="581" t="s">
        <v>8797</v>
      </c>
      <c r="K202" s="584" t="str">
        <f>HYPERLINK("https://okcountyrecords.com/detail/roger+mills/1983-001669","OKCountyRecords: 1983-001669")</f>
        <v>OKCountyRecords: 1983-001669</v>
      </c>
    </row>
    <row r="203" spans="1:11" s="596" customFormat="1" x14ac:dyDescent="0.25">
      <c r="A203" s="580" t="s">
        <v>1856</v>
      </c>
      <c r="B203" s="580"/>
      <c r="C203" s="580" t="s">
        <v>1274</v>
      </c>
      <c r="D203" s="580" t="s">
        <v>1857</v>
      </c>
      <c r="E203" s="582">
        <v>30369</v>
      </c>
      <c r="F203" s="582">
        <v>30369</v>
      </c>
      <c r="G203" s="581" t="s">
        <v>8798</v>
      </c>
      <c r="H203" s="581" t="s">
        <v>8799</v>
      </c>
      <c r="I203" s="605" t="s">
        <v>8815</v>
      </c>
      <c r="J203" s="581" t="s">
        <v>973</v>
      </c>
      <c r="K203" s="584" t="str">
        <f>HYPERLINK("https://okcountyrecords.com/detail/roger+mills/1983-001671","OKCountyRecords: 1983-001671")</f>
        <v>OKCountyRecords: 1983-001671</v>
      </c>
    </row>
    <row r="204" spans="1:11" s="604" customFormat="1" x14ac:dyDescent="0.25">
      <c r="A204" s="360" t="s">
        <v>1860</v>
      </c>
      <c r="B204" s="360"/>
      <c r="C204" s="360" t="s">
        <v>1091</v>
      </c>
      <c r="D204" s="360" t="s">
        <v>1861</v>
      </c>
      <c r="E204" s="460">
        <v>30375</v>
      </c>
      <c r="F204" s="361">
        <v>30375</v>
      </c>
      <c r="G204" s="360" t="s">
        <v>1391</v>
      </c>
      <c r="H204" s="360" t="s">
        <v>436</v>
      </c>
      <c r="I204" s="360" t="s">
        <v>1012</v>
      </c>
      <c r="J204" s="360" t="s">
        <v>1095</v>
      </c>
      <c r="K204" s="427" t="str">
        <f>HYPERLINK("https://okcountyrecords.com/detail/roger+mills/1983-001869","OKCountyRecords: 1983-001869")</f>
        <v>OKCountyRecords: 1983-001869</v>
      </c>
    </row>
    <row r="205" spans="1:11" s="596" customFormat="1" x14ac:dyDescent="0.25">
      <c r="A205" s="580" t="s">
        <v>1862</v>
      </c>
      <c r="B205" s="580"/>
      <c r="C205" s="580" t="s">
        <v>1623</v>
      </c>
      <c r="D205" s="580" t="s">
        <v>1863</v>
      </c>
      <c r="E205" s="582">
        <v>30388</v>
      </c>
      <c r="F205" s="582">
        <v>30388</v>
      </c>
      <c r="G205" s="580" t="s">
        <v>1855</v>
      </c>
      <c r="H205" s="580" t="s">
        <v>438</v>
      </c>
      <c r="I205" s="581" t="s">
        <v>8793</v>
      </c>
      <c r="J205" s="581" t="s">
        <v>8794</v>
      </c>
      <c r="K205" s="584" t="str">
        <f>HYPERLINK("https://okcountyrecords.com/detail/roger+mills/1983-002348","OKCountyRecords: 1983-002348")</f>
        <v>OKCountyRecords: 1983-002348</v>
      </c>
    </row>
    <row r="206" spans="1:11" s="596" customFormat="1" x14ac:dyDescent="0.25">
      <c r="A206" s="580" t="s">
        <v>1864</v>
      </c>
      <c r="B206" s="580"/>
      <c r="C206" s="580" t="s">
        <v>1623</v>
      </c>
      <c r="D206" s="580" t="s">
        <v>1865</v>
      </c>
      <c r="E206" s="582">
        <v>30388</v>
      </c>
      <c r="F206" s="582">
        <v>30388</v>
      </c>
      <c r="G206" s="580" t="s">
        <v>1855</v>
      </c>
      <c r="H206" s="580" t="s">
        <v>1866</v>
      </c>
      <c r="I206" s="581" t="s">
        <v>8793</v>
      </c>
      <c r="J206" s="581" t="s">
        <v>8794</v>
      </c>
      <c r="K206" s="584" t="str">
        <f>HYPERLINK("https://okcountyrecords.com/detail/roger+mills/1983-002349","OKCountyRecords: 1983-002349")</f>
        <v>OKCountyRecords: 1983-002349</v>
      </c>
    </row>
    <row r="207" spans="1:11" s="596" customFormat="1" x14ac:dyDescent="0.25">
      <c r="A207" s="580" t="s">
        <v>1867</v>
      </c>
      <c r="B207" s="580"/>
      <c r="C207" s="580" t="s">
        <v>1623</v>
      </c>
      <c r="D207" s="580" t="s">
        <v>1868</v>
      </c>
      <c r="E207" s="582">
        <v>30388</v>
      </c>
      <c r="F207" s="582">
        <v>30388</v>
      </c>
      <c r="G207" s="580" t="s">
        <v>1855</v>
      </c>
      <c r="H207" s="580" t="s">
        <v>430</v>
      </c>
      <c r="I207" s="581" t="s">
        <v>8793</v>
      </c>
      <c r="J207" s="581" t="s">
        <v>8794</v>
      </c>
      <c r="K207" s="584" t="str">
        <f>HYPERLINK("https://okcountyrecords.com/detail/roger+mills/1983-002350","OKCountyRecords: 1983-002350")</f>
        <v>OKCountyRecords: 1983-002350</v>
      </c>
    </row>
    <row r="208" spans="1:11" s="596" customFormat="1" x14ac:dyDescent="0.25">
      <c r="A208" s="580" t="s">
        <v>1869</v>
      </c>
      <c r="B208" s="580"/>
      <c r="C208" s="580" t="s">
        <v>1623</v>
      </c>
      <c r="D208" s="580" t="s">
        <v>1870</v>
      </c>
      <c r="E208" s="582">
        <v>30388</v>
      </c>
      <c r="F208" s="582">
        <v>30388</v>
      </c>
      <c r="G208" s="580" t="s">
        <v>1855</v>
      </c>
      <c r="H208" s="580" t="s">
        <v>247</v>
      </c>
      <c r="I208" s="581" t="s">
        <v>8793</v>
      </c>
      <c r="J208" s="581" t="s">
        <v>8794</v>
      </c>
      <c r="K208" s="584" t="str">
        <f>HYPERLINK("https://okcountyrecords.com/detail/roger+mills/1983-002351","OKCountyRecords: 1983-002351")</f>
        <v>OKCountyRecords: 1983-002351</v>
      </c>
    </row>
    <row r="209" spans="1:11" s="596" customFormat="1" x14ac:dyDescent="0.25">
      <c r="A209" s="580" t="s">
        <v>1871</v>
      </c>
      <c r="B209" s="580"/>
      <c r="C209" s="580" t="s">
        <v>1623</v>
      </c>
      <c r="D209" s="580" t="s">
        <v>1872</v>
      </c>
      <c r="E209" s="582">
        <v>30388</v>
      </c>
      <c r="F209" s="582">
        <v>30388</v>
      </c>
      <c r="G209" s="580" t="s">
        <v>1855</v>
      </c>
      <c r="H209" s="580" t="s">
        <v>437</v>
      </c>
      <c r="I209" s="581" t="s">
        <v>8793</v>
      </c>
      <c r="J209" s="581" t="s">
        <v>8800</v>
      </c>
      <c r="K209" s="584" t="str">
        <f>HYPERLINK("https://okcountyrecords.com/detail/roger+mills/1983-002352","OKCountyRecords: 1983-002352")</f>
        <v>OKCountyRecords: 1983-002352</v>
      </c>
    </row>
    <row r="210" spans="1:11" s="8" customFormat="1" hidden="1" x14ac:dyDescent="0.25">
      <c r="A210" s="355" t="s">
        <v>1873</v>
      </c>
      <c r="B210" s="355"/>
      <c r="C210" s="355" t="s">
        <v>309</v>
      </c>
      <c r="D210" s="355" t="s">
        <v>1874</v>
      </c>
      <c r="E210" s="460">
        <v>30391</v>
      </c>
      <c r="F210" s="356">
        <v>30391</v>
      </c>
      <c r="G210" s="355" t="s">
        <v>407</v>
      </c>
      <c r="H210" s="355" t="s">
        <v>383</v>
      </c>
      <c r="I210" s="357" t="s">
        <v>313</v>
      </c>
      <c r="J210" s="357" t="s">
        <v>996</v>
      </c>
      <c r="K210" s="426" t="str">
        <f>HYPERLINK("https://okcountyrecords.com/detail/roger+mills/1983-002495","OKCountyRecords: 1983-002495")</f>
        <v>OKCountyRecords: 1983-002495</v>
      </c>
    </row>
    <row r="211" spans="1:11" s="8" customFormat="1" hidden="1" x14ac:dyDescent="0.25">
      <c r="A211" s="355" t="s">
        <v>1875</v>
      </c>
      <c r="B211" s="355"/>
      <c r="C211" s="355" t="s">
        <v>309</v>
      </c>
      <c r="D211" s="355" t="s">
        <v>1876</v>
      </c>
      <c r="E211" s="460">
        <v>30396</v>
      </c>
      <c r="F211" s="356">
        <v>30396</v>
      </c>
      <c r="G211" s="355" t="s">
        <v>407</v>
      </c>
      <c r="H211" s="355" t="s">
        <v>383</v>
      </c>
      <c r="I211" s="357" t="s">
        <v>313</v>
      </c>
      <c r="J211" s="357" t="s">
        <v>996</v>
      </c>
      <c r="K211" s="426" t="str">
        <f>HYPERLINK("https://okcountyrecords.com/detail/roger+mills/1983-002623","OKCountyRecords: 1983-002623")</f>
        <v>OKCountyRecords: 1983-002623</v>
      </c>
    </row>
    <row r="212" spans="1:11" s="8" customFormat="1" ht="25.5" hidden="1" x14ac:dyDescent="0.25">
      <c r="A212" s="355" t="s">
        <v>1877</v>
      </c>
      <c r="B212" s="355"/>
      <c r="C212" s="355" t="s">
        <v>114</v>
      </c>
      <c r="D212" s="355" t="s">
        <v>1878</v>
      </c>
      <c r="E212" s="460">
        <v>30411</v>
      </c>
      <c r="F212" s="356">
        <v>30411</v>
      </c>
      <c r="G212" s="357" t="s">
        <v>1879</v>
      </c>
      <c r="H212" s="355" t="s">
        <v>1880</v>
      </c>
      <c r="I212" s="357" t="s">
        <v>1012</v>
      </c>
      <c r="J212" s="357" t="s">
        <v>996</v>
      </c>
      <c r="K212" s="426" t="str">
        <f>HYPERLINK("https://okcountyrecords.com/detail/roger+mills/1983-003111","OKCountyRecords: 1983-003111")</f>
        <v>OKCountyRecords: 1983-003111</v>
      </c>
    </row>
    <row r="213" spans="1:11" s="8" customFormat="1" hidden="1" x14ac:dyDescent="0.25">
      <c r="A213" s="355" t="s">
        <v>1881</v>
      </c>
      <c r="B213" s="355"/>
      <c r="C213" s="355" t="s">
        <v>114</v>
      </c>
      <c r="D213" s="355" t="s">
        <v>1882</v>
      </c>
      <c r="E213" s="460">
        <v>30433</v>
      </c>
      <c r="F213" s="356">
        <v>30433</v>
      </c>
      <c r="G213" s="355" t="s">
        <v>1883</v>
      </c>
      <c r="H213" s="355" t="s">
        <v>1884</v>
      </c>
      <c r="I213" s="357" t="s">
        <v>1003</v>
      </c>
      <c r="J213" s="357" t="s">
        <v>996</v>
      </c>
      <c r="K213" s="426" t="str">
        <f>HYPERLINK("https://okcountyrecords.com/detail/roger+mills/1983-003752","OKCountyRecords: 1983-003752")</f>
        <v>OKCountyRecords: 1983-003752</v>
      </c>
    </row>
    <row r="214" spans="1:11" s="8" customFormat="1" ht="25.5" hidden="1" x14ac:dyDescent="0.25">
      <c r="A214" s="355" t="s">
        <v>1885</v>
      </c>
      <c r="B214" s="355"/>
      <c r="C214" s="355" t="s">
        <v>309</v>
      </c>
      <c r="D214" s="355" t="s">
        <v>1886</v>
      </c>
      <c r="E214" s="460">
        <v>30438</v>
      </c>
      <c r="F214" s="356">
        <v>30438</v>
      </c>
      <c r="G214" s="357" t="s">
        <v>348</v>
      </c>
      <c r="H214" s="355" t="s">
        <v>856</v>
      </c>
      <c r="I214" s="357" t="s">
        <v>308</v>
      </c>
      <c r="J214" s="357" t="s">
        <v>996</v>
      </c>
      <c r="K214" s="426" t="str">
        <f>HYPERLINK("https://okcountyrecords.com/detail/roger+mills/1983-003792","OKCountyRecords: 1983-003792")</f>
        <v>OKCountyRecords: 1983-003792</v>
      </c>
    </row>
    <row r="215" spans="1:11" s="8" customFormat="1" hidden="1" x14ac:dyDescent="0.25">
      <c r="A215" s="355" t="s">
        <v>1887</v>
      </c>
      <c r="B215" s="355"/>
      <c r="C215" s="355" t="s">
        <v>309</v>
      </c>
      <c r="D215" s="355" t="s">
        <v>1888</v>
      </c>
      <c r="E215" s="460">
        <v>30438</v>
      </c>
      <c r="F215" s="356">
        <v>30438</v>
      </c>
      <c r="G215" s="355" t="s">
        <v>340</v>
      </c>
      <c r="H215" s="355" t="s">
        <v>856</v>
      </c>
      <c r="I215" s="357" t="s">
        <v>313</v>
      </c>
      <c r="J215" s="357" t="s">
        <v>996</v>
      </c>
      <c r="K215" s="426" t="str">
        <f>HYPERLINK("https://okcountyrecords.com/detail/roger+mills/1983-003793","OKCountyRecords: 1983-003793")</f>
        <v>OKCountyRecords: 1983-003793</v>
      </c>
    </row>
    <row r="216" spans="1:11" s="8" customFormat="1" ht="25.5" hidden="1" x14ac:dyDescent="0.25">
      <c r="A216" s="355" t="s">
        <v>1889</v>
      </c>
      <c r="B216" s="355"/>
      <c r="C216" s="355" t="s">
        <v>309</v>
      </c>
      <c r="D216" s="355" t="s">
        <v>1890</v>
      </c>
      <c r="E216" s="460">
        <v>30445</v>
      </c>
      <c r="F216" s="356">
        <v>30445</v>
      </c>
      <c r="G216" s="357" t="s">
        <v>345</v>
      </c>
      <c r="H216" s="355" t="s">
        <v>856</v>
      </c>
      <c r="I216" s="357" t="s">
        <v>313</v>
      </c>
      <c r="J216" s="357" t="s">
        <v>996</v>
      </c>
      <c r="K216" s="426" t="str">
        <f>HYPERLINK("https://okcountyrecords.com/detail/roger+mills/1983-003961","OKCountyRecords: 1983-003961")</f>
        <v>OKCountyRecords: 1983-003961</v>
      </c>
    </row>
    <row r="217" spans="1:11" s="8" customFormat="1" hidden="1" x14ac:dyDescent="0.25">
      <c r="A217" s="355" t="s">
        <v>1891</v>
      </c>
      <c r="B217" s="355"/>
      <c r="C217" s="355" t="s">
        <v>309</v>
      </c>
      <c r="D217" s="355" t="s">
        <v>1892</v>
      </c>
      <c r="E217" s="460">
        <v>30445</v>
      </c>
      <c r="F217" s="356">
        <v>30445</v>
      </c>
      <c r="G217" s="355" t="s">
        <v>420</v>
      </c>
      <c r="H217" s="355" t="s">
        <v>856</v>
      </c>
      <c r="I217" s="357" t="s">
        <v>313</v>
      </c>
      <c r="J217" s="357" t="s">
        <v>996</v>
      </c>
      <c r="K217" s="426" t="str">
        <f>HYPERLINK("https://okcountyrecords.com/detail/roger+mills/1983-003962","OKCountyRecords: 1983-003962")</f>
        <v>OKCountyRecords: 1983-003962</v>
      </c>
    </row>
    <row r="218" spans="1:11" s="8" customFormat="1" ht="38.25" hidden="1" x14ac:dyDescent="0.25">
      <c r="A218" s="355" t="s">
        <v>1893</v>
      </c>
      <c r="B218" s="355"/>
      <c r="C218" s="355" t="s">
        <v>114</v>
      </c>
      <c r="D218" s="355" t="s">
        <v>1894</v>
      </c>
      <c r="E218" s="460">
        <v>30490</v>
      </c>
      <c r="F218" s="356">
        <v>30490</v>
      </c>
      <c r="G218" s="355" t="s">
        <v>1895</v>
      </c>
      <c r="H218" s="357" t="s">
        <v>1896</v>
      </c>
      <c r="I218" s="357" t="s">
        <v>242</v>
      </c>
      <c r="J218" s="357" t="s">
        <v>996</v>
      </c>
      <c r="K218" s="426" t="str">
        <f>HYPERLINK("https://okcountyrecords.com/detail/roger+mills/1983-005001","OKCountyRecords: 1983-005001")</f>
        <v>OKCountyRecords: 1983-005001</v>
      </c>
    </row>
    <row r="219" spans="1:11" s="8" customFormat="1" ht="25.5" hidden="1" x14ac:dyDescent="0.25">
      <c r="A219" s="355" t="s">
        <v>1897</v>
      </c>
      <c r="B219" s="355"/>
      <c r="C219" s="355" t="s">
        <v>309</v>
      </c>
      <c r="D219" s="355" t="s">
        <v>1898</v>
      </c>
      <c r="E219" s="460">
        <v>30536</v>
      </c>
      <c r="F219" s="356">
        <v>30536</v>
      </c>
      <c r="G219" s="357" t="s">
        <v>421</v>
      </c>
      <c r="H219" s="355" t="s">
        <v>862</v>
      </c>
      <c r="I219" s="357" t="s">
        <v>313</v>
      </c>
      <c r="J219" s="357" t="s">
        <v>996</v>
      </c>
      <c r="K219" s="426" t="str">
        <f>HYPERLINK("https://okcountyrecords.com/detail/roger+mills/1983-005956","OKCountyRecords: 1983-005956")</f>
        <v>OKCountyRecords: 1983-005956</v>
      </c>
    </row>
    <row r="220" spans="1:11" s="8" customFormat="1" ht="25.5" hidden="1" x14ac:dyDescent="0.25">
      <c r="A220" s="355" t="s">
        <v>1899</v>
      </c>
      <c r="B220" s="355"/>
      <c r="C220" s="355" t="s">
        <v>114</v>
      </c>
      <c r="D220" s="355" t="s">
        <v>1900</v>
      </c>
      <c r="E220" s="460">
        <v>30536</v>
      </c>
      <c r="F220" s="356">
        <v>30536</v>
      </c>
      <c r="G220" s="355" t="s">
        <v>1901</v>
      </c>
      <c r="H220" s="355" t="s">
        <v>1784</v>
      </c>
      <c r="I220" s="357" t="s">
        <v>242</v>
      </c>
      <c r="J220" s="428" t="s">
        <v>1902</v>
      </c>
      <c r="K220" s="426" t="str">
        <f>HYPERLINK("https://okcountyrecords.com/detail/roger+mills/1983-005957","OKCountyRecords: 1983-005957")</f>
        <v>OKCountyRecords: 1983-005957</v>
      </c>
    </row>
    <row r="221" spans="1:11" s="8" customFormat="1" ht="25.5" hidden="1" x14ac:dyDescent="0.25">
      <c r="A221" s="355" t="s">
        <v>1903</v>
      </c>
      <c r="B221" s="355"/>
      <c r="C221" s="355" t="s">
        <v>309</v>
      </c>
      <c r="D221" s="355" t="s">
        <v>1904</v>
      </c>
      <c r="E221" s="460">
        <v>30536</v>
      </c>
      <c r="F221" s="356">
        <v>30536</v>
      </c>
      <c r="G221" s="357" t="s">
        <v>423</v>
      </c>
      <c r="H221" s="355" t="s">
        <v>862</v>
      </c>
      <c r="I221" s="357" t="s">
        <v>313</v>
      </c>
      <c r="J221" s="357" t="s">
        <v>996</v>
      </c>
      <c r="K221" s="426" t="str">
        <f>HYPERLINK("https://okcountyrecords.com/detail/roger+mills/1983-005958","OKCountyRecords: 1983-005958")</f>
        <v>OKCountyRecords: 1983-005958</v>
      </c>
    </row>
    <row r="222" spans="1:11" s="8" customFormat="1" ht="25.5" hidden="1" x14ac:dyDescent="0.25">
      <c r="A222" s="355" t="s">
        <v>1905</v>
      </c>
      <c r="B222" s="355"/>
      <c r="C222" s="355" t="s">
        <v>114</v>
      </c>
      <c r="D222" s="355" t="s">
        <v>1906</v>
      </c>
      <c r="E222" s="460">
        <v>30536</v>
      </c>
      <c r="F222" s="356">
        <v>30536</v>
      </c>
      <c r="G222" s="355" t="s">
        <v>1901</v>
      </c>
      <c r="H222" s="355" t="s">
        <v>1784</v>
      </c>
      <c r="I222" s="357" t="s">
        <v>242</v>
      </c>
      <c r="J222" s="428" t="s">
        <v>1902</v>
      </c>
      <c r="K222" s="426" t="str">
        <f>HYPERLINK("https://okcountyrecords.com/detail/roger+mills/1983-005959","OKCountyRecords: 1983-005959")</f>
        <v>OKCountyRecords: 1983-005959</v>
      </c>
    </row>
    <row r="223" spans="1:11" s="8" customFormat="1" ht="51" hidden="1" x14ac:dyDescent="0.25">
      <c r="A223" s="355" t="s">
        <v>1907</v>
      </c>
      <c r="B223" s="355"/>
      <c r="C223" s="355" t="s">
        <v>993</v>
      </c>
      <c r="D223" s="355" t="s">
        <v>1908</v>
      </c>
      <c r="E223" s="460">
        <v>30557</v>
      </c>
      <c r="F223" s="356">
        <v>30557</v>
      </c>
      <c r="G223" s="357" t="s">
        <v>1909</v>
      </c>
      <c r="H223" s="357" t="s">
        <v>1910</v>
      </c>
      <c r="I223" s="357" t="s">
        <v>1689</v>
      </c>
      <c r="J223" s="357" t="s">
        <v>996</v>
      </c>
      <c r="K223" s="426" t="str">
        <f>HYPERLINK("https://okcountyrecords.com/detail/roger+mills/1983-006435","OKCountyRecords: 1983-006435")</f>
        <v>OKCountyRecords: 1983-006435</v>
      </c>
    </row>
    <row r="224" spans="1:11" s="8" customFormat="1" hidden="1" x14ac:dyDescent="0.25">
      <c r="A224" s="355" t="s">
        <v>1911</v>
      </c>
      <c r="B224" s="355"/>
      <c r="C224" s="355" t="s">
        <v>309</v>
      </c>
      <c r="D224" s="355" t="s">
        <v>1912</v>
      </c>
      <c r="E224" s="460">
        <v>30656</v>
      </c>
      <c r="F224" s="356">
        <v>30656</v>
      </c>
      <c r="G224" s="355" t="s">
        <v>286</v>
      </c>
      <c r="H224" s="355" t="s">
        <v>383</v>
      </c>
      <c r="I224" s="357" t="s">
        <v>313</v>
      </c>
      <c r="J224" s="357" t="s">
        <v>996</v>
      </c>
      <c r="K224" s="426" t="str">
        <f>HYPERLINK("https://okcountyrecords.com/detail/roger+mills/1983-009092","OKCountyRecords: 1983-009092")</f>
        <v>OKCountyRecords: 1983-009092</v>
      </c>
    </row>
    <row r="225" spans="1:11" s="8" customFormat="1" hidden="1" x14ac:dyDescent="0.25">
      <c r="A225" s="355" t="s">
        <v>1913</v>
      </c>
      <c r="B225" s="355"/>
      <c r="C225" s="355" t="s">
        <v>309</v>
      </c>
      <c r="D225" s="355" t="s">
        <v>1914</v>
      </c>
      <c r="E225" s="460">
        <v>30656</v>
      </c>
      <c r="F225" s="356">
        <v>30656</v>
      </c>
      <c r="G225" s="355" t="s">
        <v>404</v>
      </c>
      <c r="H225" s="355" t="s">
        <v>383</v>
      </c>
      <c r="I225" s="357" t="s">
        <v>313</v>
      </c>
      <c r="J225" s="357" t="s">
        <v>996</v>
      </c>
      <c r="K225" s="426" t="str">
        <f>HYPERLINK("https://okcountyrecords.com/detail/roger+mills/1983-009093","OKCountyRecords: 1983-009093")</f>
        <v>OKCountyRecords: 1983-009093</v>
      </c>
    </row>
    <row r="226" spans="1:11" s="604" customFormat="1" x14ac:dyDescent="0.25">
      <c r="A226" s="360" t="s">
        <v>1915</v>
      </c>
      <c r="B226" s="360"/>
      <c r="C226" s="360" t="s">
        <v>1317</v>
      </c>
      <c r="D226" s="360" t="s">
        <v>1916</v>
      </c>
      <c r="E226" s="460">
        <v>30666</v>
      </c>
      <c r="F226" s="361">
        <v>30666</v>
      </c>
      <c r="G226" s="360" t="s">
        <v>1917</v>
      </c>
      <c r="H226" s="360" t="s">
        <v>1110</v>
      </c>
      <c r="I226" s="360" t="s">
        <v>242</v>
      </c>
      <c r="J226" s="360" t="s">
        <v>1095</v>
      </c>
      <c r="K226" s="427" t="str">
        <f>HYPERLINK("https://okcountyrecords.com/detail/roger+mills/1983-009331","OKCountyRecords: 1983-009331")</f>
        <v>OKCountyRecords: 1983-009331</v>
      </c>
    </row>
    <row r="227" spans="1:11" s="8" customFormat="1" hidden="1" x14ac:dyDescent="0.25">
      <c r="A227" s="355" t="s">
        <v>1918</v>
      </c>
      <c r="B227" s="355"/>
      <c r="C227" s="355" t="s">
        <v>309</v>
      </c>
      <c r="D227" s="355" t="s">
        <v>1919</v>
      </c>
      <c r="E227" s="460">
        <v>30726</v>
      </c>
      <c r="F227" s="356">
        <v>30726</v>
      </c>
      <c r="G227" s="355" t="s">
        <v>1920</v>
      </c>
      <c r="H227" s="355" t="s">
        <v>383</v>
      </c>
      <c r="I227" s="357" t="s">
        <v>313</v>
      </c>
      <c r="J227" s="357" t="s">
        <v>996</v>
      </c>
      <c r="K227" s="426" t="str">
        <f>HYPERLINK("https://okcountyrecords.com/detail/roger+mills/1984-001299","OKCountyRecords: 1984-001299")</f>
        <v>OKCountyRecords: 1984-001299</v>
      </c>
    </row>
    <row r="228" spans="1:11" s="8" customFormat="1" ht="51" hidden="1" x14ac:dyDescent="0.25">
      <c r="A228" s="355" t="s">
        <v>1921</v>
      </c>
      <c r="B228" s="355"/>
      <c r="C228" s="355" t="s">
        <v>309</v>
      </c>
      <c r="D228" s="355" t="s">
        <v>1922</v>
      </c>
      <c r="E228" s="460">
        <v>30728</v>
      </c>
      <c r="F228" s="356">
        <v>30728</v>
      </c>
      <c r="G228" s="357" t="s">
        <v>425</v>
      </c>
      <c r="H228" s="355" t="s">
        <v>426</v>
      </c>
      <c r="I228" s="357" t="s">
        <v>308</v>
      </c>
      <c r="J228" s="357" t="s">
        <v>996</v>
      </c>
      <c r="K228" s="426" t="str">
        <f>HYPERLINK("https://okcountyrecords.com/detail/roger+mills/1984-001346","OKCountyRecords: 1984-001346")</f>
        <v>OKCountyRecords: 1984-001346</v>
      </c>
    </row>
    <row r="229" spans="1:11" s="8" customFormat="1" hidden="1" x14ac:dyDescent="0.25">
      <c r="A229" s="355" t="s">
        <v>1923</v>
      </c>
      <c r="B229" s="355"/>
      <c r="C229" s="355" t="s">
        <v>309</v>
      </c>
      <c r="D229" s="355" t="s">
        <v>1924</v>
      </c>
      <c r="E229" s="460">
        <v>30736</v>
      </c>
      <c r="F229" s="356">
        <v>30736</v>
      </c>
      <c r="G229" s="355" t="s">
        <v>247</v>
      </c>
      <c r="H229" s="355" t="s">
        <v>383</v>
      </c>
      <c r="I229" s="357" t="s">
        <v>313</v>
      </c>
      <c r="J229" s="357" t="s">
        <v>996</v>
      </c>
      <c r="K229" s="426" t="str">
        <f>HYPERLINK("https://okcountyrecords.com/detail/roger+mills/1984-001673","OKCountyRecords: 1984-001673")</f>
        <v>OKCountyRecords: 1984-001673</v>
      </c>
    </row>
    <row r="230" spans="1:11" s="8" customFormat="1" hidden="1" x14ac:dyDescent="0.25">
      <c r="A230" s="355" t="s">
        <v>1925</v>
      </c>
      <c r="B230" s="355"/>
      <c r="C230" s="355" t="s">
        <v>309</v>
      </c>
      <c r="D230" s="355" t="s">
        <v>1926</v>
      </c>
      <c r="E230" s="460">
        <v>30736</v>
      </c>
      <c r="F230" s="356">
        <v>30736</v>
      </c>
      <c r="G230" s="355" t="s">
        <v>428</v>
      </c>
      <c r="H230" s="355" t="s">
        <v>383</v>
      </c>
      <c r="I230" s="357" t="s">
        <v>313</v>
      </c>
      <c r="J230" s="357" t="s">
        <v>996</v>
      </c>
      <c r="K230" s="426" t="str">
        <f>HYPERLINK("https://okcountyrecords.com/detail/roger+mills/1984-001674","OKCountyRecords: 1984-001674")</f>
        <v>OKCountyRecords: 1984-001674</v>
      </c>
    </row>
    <row r="231" spans="1:11" s="8" customFormat="1" hidden="1" x14ac:dyDescent="0.25">
      <c r="A231" s="355" t="s">
        <v>1927</v>
      </c>
      <c r="B231" s="355"/>
      <c r="C231" s="355" t="s">
        <v>309</v>
      </c>
      <c r="D231" s="355" t="s">
        <v>1928</v>
      </c>
      <c r="E231" s="460">
        <v>30736</v>
      </c>
      <c r="F231" s="356">
        <v>30736</v>
      </c>
      <c r="G231" s="355" t="s">
        <v>430</v>
      </c>
      <c r="H231" s="355" t="s">
        <v>383</v>
      </c>
      <c r="I231" s="357" t="s">
        <v>313</v>
      </c>
      <c r="J231" s="357" t="s">
        <v>996</v>
      </c>
      <c r="K231" s="426" t="str">
        <f>HYPERLINK("https://okcountyrecords.com/detail/roger+mills/1984-001675","OKCountyRecords: 1984-001675")</f>
        <v>OKCountyRecords: 1984-001675</v>
      </c>
    </row>
    <row r="232" spans="1:11" s="8" customFormat="1" hidden="1" x14ac:dyDescent="0.25">
      <c r="A232" s="355" t="s">
        <v>1929</v>
      </c>
      <c r="B232" s="355"/>
      <c r="C232" s="355" t="s">
        <v>309</v>
      </c>
      <c r="D232" s="355" t="s">
        <v>1930</v>
      </c>
      <c r="E232" s="460">
        <v>30736</v>
      </c>
      <c r="F232" s="356">
        <v>30736</v>
      </c>
      <c r="G232" s="355" t="s">
        <v>252</v>
      </c>
      <c r="H232" s="355" t="s">
        <v>383</v>
      </c>
      <c r="I232" s="357" t="s">
        <v>313</v>
      </c>
      <c r="J232" s="357" t="s">
        <v>996</v>
      </c>
      <c r="K232" s="426" t="str">
        <f>HYPERLINK("https://okcountyrecords.com/detail/roger+mills/1984-001676","OKCountyRecords: 1984-001676")</f>
        <v>OKCountyRecords: 1984-001676</v>
      </c>
    </row>
    <row r="233" spans="1:11" s="8" customFormat="1" hidden="1" x14ac:dyDescent="0.25">
      <c r="A233" s="355" t="s">
        <v>1931</v>
      </c>
      <c r="B233" s="355"/>
      <c r="C233" s="355" t="s">
        <v>309</v>
      </c>
      <c r="D233" s="355" t="s">
        <v>1932</v>
      </c>
      <c r="E233" s="460">
        <v>30736</v>
      </c>
      <c r="F233" s="356">
        <v>30736</v>
      </c>
      <c r="G233" s="355" t="s">
        <v>263</v>
      </c>
      <c r="H233" s="355" t="s">
        <v>383</v>
      </c>
      <c r="I233" s="357" t="s">
        <v>313</v>
      </c>
      <c r="J233" s="357" t="s">
        <v>996</v>
      </c>
      <c r="K233" s="426" t="str">
        <f>HYPERLINK("https://okcountyrecords.com/detail/roger+mills/1984-001677","OKCountyRecords: 1984-001677")</f>
        <v>OKCountyRecords: 1984-001677</v>
      </c>
    </row>
    <row r="234" spans="1:11" s="8" customFormat="1" hidden="1" x14ac:dyDescent="0.25">
      <c r="A234" s="355" t="s">
        <v>1933</v>
      </c>
      <c r="B234" s="355"/>
      <c r="C234" s="355" t="s">
        <v>309</v>
      </c>
      <c r="D234" s="355" t="s">
        <v>1934</v>
      </c>
      <c r="E234" s="460">
        <v>30736</v>
      </c>
      <c r="F234" s="356">
        <v>30736</v>
      </c>
      <c r="G234" s="355" t="s">
        <v>394</v>
      </c>
      <c r="H234" s="355" t="s">
        <v>383</v>
      </c>
      <c r="I234" s="357" t="s">
        <v>313</v>
      </c>
      <c r="J234" s="357" t="s">
        <v>996</v>
      </c>
      <c r="K234" s="426" t="str">
        <f>HYPERLINK("https://okcountyrecords.com/detail/roger+mills/1984-001679","OKCountyRecords: 1984-001679")</f>
        <v>OKCountyRecords: 1984-001679</v>
      </c>
    </row>
    <row r="235" spans="1:11" s="8" customFormat="1" hidden="1" x14ac:dyDescent="0.25">
      <c r="A235" s="355" t="s">
        <v>1935</v>
      </c>
      <c r="B235" s="355"/>
      <c r="C235" s="355" t="s">
        <v>309</v>
      </c>
      <c r="D235" s="355" t="s">
        <v>1936</v>
      </c>
      <c r="E235" s="460">
        <v>30736</v>
      </c>
      <c r="F235" s="356">
        <v>30736</v>
      </c>
      <c r="G235" s="355" t="s">
        <v>396</v>
      </c>
      <c r="H235" s="355" t="s">
        <v>383</v>
      </c>
      <c r="I235" s="357" t="s">
        <v>313</v>
      </c>
      <c r="J235" s="357" t="s">
        <v>996</v>
      </c>
      <c r="K235" s="426" t="str">
        <f>HYPERLINK("https://okcountyrecords.com/detail/roger+mills/1984-001680","OKCountyRecords: 1984-001680")</f>
        <v>OKCountyRecords: 1984-001680</v>
      </c>
    </row>
    <row r="236" spans="1:11" s="8" customFormat="1" hidden="1" x14ac:dyDescent="0.25">
      <c r="A236" s="355" t="s">
        <v>1937</v>
      </c>
      <c r="B236" s="355"/>
      <c r="C236" s="355" t="s">
        <v>309</v>
      </c>
      <c r="D236" s="355" t="s">
        <v>1938</v>
      </c>
      <c r="E236" s="460">
        <v>30736</v>
      </c>
      <c r="F236" s="356">
        <v>30736</v>
      </c>
      <c r="G236" s="355" t="s">
        <v>397</v>
      </c>
      <c r="H236" s="355" t="s">
        <v>383</v>
      </c>
      <c r="I236" s="357" t="s">
        <v>313</v>
      </c>
      <c r="J236" s="357" t="s">
        <v>996</v>
      </c>
      <c r="K236" s="426" t="str">
        <f>HYPERLINK("https://okcountyrecords.com/detail/roger+mills/1984-001681","OKCountyRecords: 1984-001681")</f>
        <v>OKCountyRecords: 1984-001681</v>
      </c>
    </row>
    <row r="237" spans="1:11" s="8" customFormat="1" hidden="1" x14ac:dyDescent="0.25">
      <c r="A237" s="355" t="s">
        <v>1939</v>
      </c>
      <c r="B237" s="355"/>
      <c r="C237" s="355" t="s">
        <v>309</v>
      </c>
      <c r="D237" s="355" t="s">
        <v>1940</v>
      </c>
      <c r="E237" s="460">
        <v>30736</v>
      </c>
      <c r="F237" s="356">
        <v>30736</v>
      </c>
      <c r="G237" s="355" t="s">
        <v>1941</v>
      </c>
      <c r="H237" s="355" t="s">
        <v>383</v>
      </c>
      <c r="I237" s="357" t="s">
        <v>313</v>
      </c>
      <c r="J237" s="357" t="s">
        <v>996</v>
      </c>
      <c r="K237" s="426" t="str">
        <f>HYPERLINK("https://okcountyrecords.com/detail/roger+mills/1984-001682","OKCountyRecords: 1984-001682")</f>
        <v>OKCountyRecords: 1984-001682</v>
      </c>
    </row>
    <row r="238" spans="1:11" s="8" customFormat="1" ht="51" hidden="1" x14ac:dyDescent="0.25">
      <c r="A238" s="355" t="s">
        <v>1942</v>
      </c>
      <c r="B238" s="355"/>
      <c r="C238" s="355" t="s">
        <v>309</v>
      </c>
      <c r="D238" s="355" t="s">
        <v>1943</v>
      </c>
      <c r="E238" s="460">
        <v>30736</v>
      </c>
      <c r="F238" s="356">
        <v>30736</v>
      </c>
      <c r="G238" s="357" t="s">
        <v>1944</v>
      </c>
      <c r="H238" s="355" t="s">
        <v>383</v>
      </c>
      <c r="I238" s="357" t="s">
        <v>313</v>
      </c>
      <c r="J238" s="357" t="s">
        <v>996</v>
      </c>
      <c r="K238" s="426" t="str">
        <f>HYPERLINK("https://okcountyrecords.com/detail/roger+mills/1984-001683","OKCountyRecords: 1984-001683")</f>
        <v>OKCountyRecords: 1984-001683</v>
      </c>
    </row>
    <row r="239" spans="1:11" s="8" customFormat="1" hidden="1" x14ac:dyDescent="0.25">
      <c r="A239" s="355" t="s">
        <v>1945</v>
      </c>
      <c r="B239" s="355"/>
      <c r="C239" s="355" t="s">
        <v>309</v>
      </c>
      <c r="D239" s="355" t="s">
        <v>1946</v>
      </c>
      <c r="E239" s="460">
        <v>30739</v>
      </c>
      <c r="F239" s="356">
        <v>30739</v>
      </c>
      <c r="G239" s="355" t="s">
        <v>1947</v>
      </c>
      <c r="H239" s="355" t="s">
        <v>383</v>
      </c>
      <c r="I239" s="357" t="s">
        <v>313</v>
      </c>
      <c r="J239" s="357" t="s">
        <v>996</v>
      </c>
      <c r="K239" s="426" t="str">
        <f>HYPERLINK("https://okcountyrecords.com/detail/roger+mills/1984-001750","OKCountyRecords: 1984-001750")</f>
        <v>OKCountyRecords: 1984-001750</v>
      </c>
    </row>
    <row r="240" spans="1:11" s="8" customFormat="1" hidden="1" x14ac:dyDescent="0.25">
      <c r="A240" s="355" t="s">
        <v>1948</v>
      </c>
      <c r="B240" s="355"/>
      <c r="C240" s="355" t="s">
        <v>309</v>
      </c>
      <c r="D240" s="355" t="s">
        <v>1949</v>
      </c>
      <c r="E240" s="460">
        <v>30739</v>
      </c>
      <c r="F240" s="356">
        <v>30739</v>
      </c>
      <c r="G240" s="355" t="s">
        <v>392</v>
      </c>
      <c r="H240" s="355" t="s">
        <v>383</v>
      </c>
      <c r="I240" s="357" t="s">
        <v>313</v>
      </c>
      <c r="J240" s="357" t="s">
        <v>996</v>
      </c>
      <c r="K240" s="426" t="str">
        <f>HYPERLINK("https://okcountyrecords.com/detail/roger+mills/1984-001751","OKCountyRecords: 1984-001751")</f>
        <v>OKCountyRecords: 1984-001751</v>
      </c>
    </row>
    <row r="241" spans="1:11" s="8" customFormat="1" ht="25.5" hidden="1" x14ac:dyDescent="0.25">
      <c r="A241" s="355" t="s">
        <v>1950</v>
      </c>
      <c r="B241" s="355"/>
      <c r="C241" s="355" t="s">
        <v>309</v>
      </c>
      <c r="D241" s="355" t="s">
        <v>1951</v>
      </c>
      <c r="E241" s="460">
        <v>30739</v>
      </c>
      <c r="F241" s="356">
        <v>30739</v>
      </c>
      <c r="G241" s="357" t="s">
        <v>1854</v>
      </c>
      <c r="H241" s="355" t="s">
        <v>383</v>
      </c>
      <c r="I241" s="357" t="s">
        <v>313</v>
      </c>
      <c r="J241" s="357" t="s">
        <v>996</v>
      </c>
      <c r="K241" s="426" t="str">
        <f>HYPERLINK("https://okcountyrecords.com/detail/roger+mills/1984-001752","OKCountyRecords: 1984-001752")</f>
        <v>OKCountyRecords: 1984-001752</v>
      </c>
    </row>
    <row r="242" spans="1:11" s="8" customFormat="1" hidden="1" x14ac:dyDescent="0.25">
      <c r="A242" s="355" t="s">
        <v>1952</v>
      </c>
      <c r="B242" s="355"/>
      <c r="C242" s="355" t="s">
        <v>309</v>
      </c>
      <c r="D242" s="355" t="s">
        <v>1953</v>
      </c>
      <c r="E242" s="460">
        <v>30739</v>
      </c>
      <c r="F242" s="356">
        <v>30739</v>
      </c>
      <c r="G242" s="355" t="s">
        <v>433</v>
      </c>
      <c r="H242" s="355" t="s">
        <v>383</v>
      </c>
      <c r="I242" s="357" t="s">
        <v>313</v>
      </c>
      <c r="J242" s="357" t="s">
        <v>996</v>
      </c>
      <c r="K242" s="426" t="str">
        <f>HYPERLINK("https://okcountyrecords.com/detail/roger+mills/1984-001753","OKCountyRecords: 1984-001753")</f>
        <v>OKCountyRecords: 1984-001753</v>
      </c>
    </row>
    <row r="243" spans="1:11" s="8" customFormat="1" hidden="1" x14ac:dyDescent="0.25">
      <c r="A243" s="355" t="s">
        <v>1954</v>
      </c>
      <c r="B243" s="355"/>
      <c r="C243" s="355" t="s">
        <v>309</v>
      </c>
      <c r="D243" s="355" t="s">
        <v>1955</v>
      </c>
      <c r="E243" s="460">
        <v>30741</v>
      </c>
      <c r="F243" s="356">
        <v>30741</v>
      </c>
      <c r="G243" s="355" t="s">
        <v>400</v>
      </c>
      <c r="H243" s="355" t="s">
        <v>383</v>
      </c>
      <c r="I243" s="357" t="s">
        <v>313</v>
      </c>
      <c r="J243" s="357" t="s">
        <v>996</v>
      </c>
      <c r="K243" s="426" t="str">
        <f>HYPERLINK("https://okcountyrecords.com/detail/roger+mills/1984-001867","OKCountyRecords: 1984-001867")</f>
        <v>OKCountyRecords: 1984-001867</v>
      </c>
    </row>
    <row r="244" spans="1:11" s="596" customFormat="1" x14ac:dyDescent="0.25">
      <c r="A244" s="580" t="s">
        <v>1978</v>
      </c>
      <c r="B244" s="580"/>
      <c r="C244" s="580" t="s">
        <v>1623</v>
      </c>
      <c r="D244" s="580" t="s">
        <v>1979</v>
      </c>
      <c r="E244" s="582">
        <v>30741</v>
      </c>
      <c r="F244" s="582">
        <v>30770</v>
      </c>
      <c r="G244" s="580" t="s">
        <v>1772</v>
      </c>
      <c r="H244" s="580" t="s">
        <v>1977</v>
      </c>
      <c r="I244" s="580" t="s">
        <v>1980</v>
      </c>
      <c r="J244" s="581" t="s">
        <v>8803</v>
      </c>
      <c r="K244" s="584" t="str">
        <f>HYPERLINK("https://okcountyrecords.com/detail/roger+mills/1984-002943","OKCountyRecords: 1984-002943")</f>
        <v>OKCountyRecords: 1984-002943</v>
      </c>
    </row>
    <row r="245" spans="1:11" s="8" customFormat="1" ht="25.5" hidden="1" x14ac:dyDescent="0.25">
      <c r="A245" s="355" t="s">
        <v>1956</v>
      </c>
      <c r="B245" s="355"/>
      <c r="C245" s="355" t="s">
        <v>309</v>
      </c>
      <c r="D245" s="355" t="s">
        <v>1957</v>
      </c>
      <c r="E245" s="460">
        <v>30742</v>
      </c>
      <c r="F245" s="356">
        <v>30742</v>
      </c>
      <c r="G245" s="357" t="s">
        <v>1958</v>
      </c>
      <c r="H245" s="355" t="s">
        <v>383</v>
      </c>
      <c r="I245" s="357" t="s">
        <v>313</v>
      </c>
      <c r="J245" s="357" t="s">
        <v>996</v>
      </c>
      <c r="K245" s="426" t="str">
        <f>HYPERLINK("https://okcountyrecords.com/detail/roger+mills/1984-001901","OKCountyRecords: 1984-001901")</f>
        <v>OKCountyRecords: 1984-001901</v>
      </c>
    </row>
    <row r="246" spans="1:11" s="8" customFormat="1" hidden="1" x14ac:dyDescent="0.25">
      <c r="A246" s="355" t="s">
        <v>1959</v>
      </c>
      <c r="B246" s="355"/>
      <c r="C246" s="355" t="s">
        <v>309</v>
      </c>
      <c r="D246" s="355" t="s">
        <v>1960</v>
      </c>
      <c r="E246" s="460">
        <v>30748</v>
      </c>
      <c r="F246" s="356">
        <v>30748</v>
      </c>
      <c r="G246" s="355" t="s">
        <v>435</v>
      </c>
      <c r="H246" s="355" t="s">
        <v>383</v>
      </c>
      <c r="I246" s="357" t="s">
        <v>313</v>
      </c>
      <c r="J246" s="357" t="s">
        <v>996</v>
      </c>
      <c r="K246" s="426" t="str">
        <f>HYPERLINK("https://okcountyrecords.com/detail/roger+mills/1984-002100","OKCountyRecords: 1984-002100")</f>
        <v>OKCountyRecords: 1984-002100</v>
      </c>
    </row>
    <row r="247" spans="1:11" s="8" customFormat="1" hidden="1" x14ac:dyDescent="0.25">
      <c r="A247" s="355" t="s">
        <v>1961</v>
      </c>
      <c r="B247" s="355"/>
      <c r="C247" s="355" t="s">
        <v>309</v>
      </c>
      <c r="D247" s="355" t="s">
        <v>1962</v>
      </c>
      <c r="E247" s="460">
        <v>30749</v>
      </c>
      <c r="F247" s="356">
        <v>30749</v>
      </c>
      <c r="G247" s="355" t="s">
        <v>436</v>
      </c>
      <c r="H247" s="355" t="s">
        <v>383</v>
      </c>
      <c r="I247" s="357" t="s">
        <v>313</v>
      </c>
      <c r="J247" s="357" t="s">
        <v>996</v>
      </c>
      <c r="K247" s="426" t="str">
        <f>HYPERLINK("https://okcountyrecords.com/detail/roger+mills/1984-002212","OKCountyRecords: 1984-002212")</f>
        <v>OKCountyRecords: 1984-002212</v>
      </c>
    </row>
    <row r="248" spans="1:11" s="8" customFormat="1" hidden="1" x14ac:dyDescent="0.25">
      <c r="A248" s="355" t="s">
        <v>1963</v>
      </c>
      <c r="B248" s="355"/>
      <c r="C248" s="355" t="s">
        <v>309</v>
      </c>
      <c r="D248" s="355" t="s">
        <v>1964</v>
      </c>
      <c r="E248" s="460">
        <v>30756</v>
      </c>
      <c r="F248" s="356">
        <v>30756</v>
      </c>
      <c r="G248" s="355" t="s">
        <v>437</v>
      </c>
      <c r="H248" s="355" t="s">
        <v>383</v>
      </c>
      <c r="I248" s="357" t="s">
        <v>313</v>
      </c>
      <c r="J248" s="357" t="s">
        <v>996</v>
      </c>
      <c r="K248" s="426" t="str">
        <f>HYPERLINK("https://okcountyrecords.com/detail/roger+mills/1984-002528","OKCountyRecords: 1984-002528")</f>
        <v>OKCountyRecords: 1984-002528</v>
      </c>
    </row>
    <row r="249" spans="1:11" s="8" customFormat="1" hidden="1" x14ac:dyDescent="0.25">
      <c r="A249" s="355" t="s">
        <v>1965</v>
      </c>
      <c r="B249" s="355"/>
      <c r="C249" s="355" t="s">
        <v>309</v>
      </c>
      <c r="D249" s="355" t="s">
        <v>1966</v>
      </c>
      <c r="E249" s="460">
        <v>30756</v>
      </c>
      <c r="F249" s="356">
        <v>30756</v>
      </c>
      <c r="G249" s="355" t="s">
        <v>438</v>
      </c>
      <c r="H249" s="355" t="s">
        <v>383</v>
      </c>
      <c r="I249" s="357" t="s">
        <v>313</v>
      </c>
      <c r="J249" s="357" t="s">
        <v>996</v>
      </c>
      <c r="K249" s="426" t="str">
        <f>HYPERLINK("https://okcountyrecords.com/detail/roger+mills/1984-002529","OKCountyRecords: 1984-002529")</f>
        <v>OKCountyRecords: 1984-002529</v>
      </c>
    </row>
    <row r="250" spans="1:11" s="8" customFormat="1" hidden="1" x14ac:dyDescent="0.25">
      <c r="A250" s="355" t="s">
        <v>1967</v>
      </c>
      <c r="B250" s="355"/>
      <c r="C250" s="355" t="s">
        <v>309</v>
      </c>
      <c r="D250" s="355" t="s">
        <v>1968</v>
      </c>
      <c r="E250" s="460">
        <v>30756</v>
      </c>
      <c r="F250" s="356">
        <v>30756</v>
      </c>
      <c r="G250" s="355" t="s">
        <v>240</v>
      </c>
      <c r="H250" s="355" t="s">
        <v>383</v>
      </c>
      <c r="I250" s="357" t="s">
        <v>313</v>
      </c>
      <c r="J250" s="357" t="s">
        <v>996</v>
      </c>
      <c r="K250" s="426" t="str">
        <f>HYPERLINK("https://okcountyrecords.com/detail/roger+mills/1984-002532","OKCountyRecords: 1984-002532")</f>
        <v>OKCountyRecords: 1984-002532</v>
      </c>
    </row>
    <row r="251" spans="1:11" s="8" customFormat="1" hidden="1" x14ac:dyDescent="0.25">
      <c r="A251" s="355" t="s">
        <v>1969</v>
      </c>
      <c r="B251" s="355"/>
      <c r="C251" s="355" t="s">
        <v>114</v>
      </c>
      <c r="D251" s="355" t="s">
        <v>1970</v>
      </c>
      <c r="E251" s="460">
        <v>30757</v>
      </c>
      <c r="F251" s="356">
        <v>30757</v>
      </c>
      <c r="G251" s="355" t="s">
        <v>1628</v>
      </c>
      <c r="H251" s="355" t="s">
        <v>1971</v>
      </c>
      <c r="I251" s="357" t="s">
        <v>1003</v>
      </c>
      <c r="J251" s="357" t="s">
        <v>996</v>
      </c>
      <c r="K251" s="426" t="str">
        <f>HYPERLINK("https://okcountyrecords.com/detail/roger+mills/1984-002563","OKCountyRecords: 1984-002563")</f>
        <v>OKCountyRecords: 1984-002563</v>
      </c>
    </row>
    <row r="252" spans="1:11" s="8" customFormat="1" ht="51" hidden="1" x14ac:dyDescent="0.25">
      <c r="A252" s="355" t="s">
        <v>1972</v>
      </c>
      <c r="B252" s="355"/>
      <c r="C252" s="355" t="s">
        <v>993</v>
      </c>
      <c r="D252" s="355" t="s">
        <v>1973</v>
      </c>
      <c r="E252" s="460">
        <v>30769</v>
      </c>
      <c r="F252" s="356">
        <v>30769</v>
      </c>
      <c r="G252" s="355" t="s">
        <v>1309</v>
      </c>
      <c r="H252" s="357" t="s">
        <v>1974</v>
      </c>
      <c r="I252" s="357" t="s">
        <v>242</v>
      </c>
      <c r="J252" s="357" t="s">
        <v>996</v>
      </c>
      <c r="K252" s="426" t="str">
        <f>HYPERLINK("https://okcountyrecords.com/detail/roger+mills/1984-002940","OKCountyRecords: 1984-002940")</f>
        <v>OKCountyRecords: 1984-002940</v>
      </c>
    </row>
    <row r="253" spans="1:11" s="8" customFormat="1" hidden="1" x14ac:dyDescent="0.25">
      <c r="A253" s="355" t="s">
        <v>1975</v>
      </c>
      <c r="B253" s="355"/>
      <c r="C253" s="355" t="s">
        <v>114</v>
      </c>
      <c r="D253" s="355" t="s">
        <v>1976</v>
      </c>
      <c r="E253" s="460">
        <v>30769</v>
      </c>
      <c r="F253" s="356">
        <v>30769</v>
      </c>
      <c r="G253" s="355" t="s">
        <v>1772</v>
      </c>
      <c r="H253" s="355" t="s">
        <v>1977</v>
      </c>
      <c r="I253" s="357" t="s">
        <v>1012</v>
      </c>
      <c r="J253" s="357" t="s">
        <v>996</v>
      </c>
      <c r="K253" s="426" t="str">
        <f>HYPERLINK("https://okcountyrecords.com/detail/roger+mills/1984-002941","OKCountyRecords: 1984-002941")</f>
        <v>OKCountyRecords: 1984-002941</v>
      </c>
    </row>
    <row r="254" spans="1:11" s="596" customFormat="1" x14ac:dyDescent="0.25">
      <c r="A254" s="580" t="s">
        <v>1981</v>
      </c>
      <c r="B254" s="580"/>
      <c r="C254" s="580" t="s">
        <v>1623</v>
      </c>
      <c r="D254" s="580" t="s">
        <v>1982</v>
      </c>
      <c r="E254" s="582">
        <v>30770</v>
      </c>
      <c r="F254" s="582">
        <v>30770</v>
      </c>
      <c r="G254" s="580" t="s">
        <v>1772</v>
      </c>
      <c r="H254" s="581" t="s">
        <v>8801</v>
      </c>
      <c r="I254" s="580" t="s">
        <v>1980</v>
      </c>
      <c r="J254" s="581" t="s">
        <v>8802</v>
      </c>
      <c r="K254" s="584" t="str">
        <f>HYPERLINK("https://okcountyrecords.com/detail/roger+mills/1984-002948","OKCountyRecords: 1984-002948")</f>
        <v>OKCountyRecords: 1984-002948</v>
      </c>
    </row>
    <row r="255" spans="1:11" s="596" customFormat="1" x14ac:dyDescent="0.25">
      <c r="A255" s="580" t="s">
        <v>1984</v>
      </c>
      <c r="B255" s="580"/>
      <c r="C255" s="580" t="s">
        <v>1623</v>
      </c>
      <c r="D255" s="580" t="s">
        <v>1985</v>
      </c>
      <c r="E255" s="582">
        <v>30791</v>
      </c>
      <c r="F255" s="582">
        <v>30791</v>
      </c>
      <c r="G255" s="580" t="s">
        <v>400</v>
      </c>
      <c r="H255" s="580" t="s">
        <v>1986</v>
      </c>
      <c r="I255" s="581" t="s">
        <v>8793</v>
      </c>
      <c r="J255" s="581" t="s">
        <v>8794</v>
      </c>
      <c r="K255" s="584" t="str">
        <f>HYPERLINK("https://okcountyrecords.com/detail/roger+mills/1984-003786","OKCountyRecords: 1984-003786")</f>
        <v>OKCountyRecords: 1984-003786</v>
      </c>
    </row>
    <row r="256" spans="1:11" s="8" customFormat="1" hidden="1" x14ac:dyDescent="0.25">
      <c r="A256" s="355" t="s">
        <v>1987</v>
      </c>
      <c r="B256" s="355"/>
      <c r="C256" s="355" t="s">
        <v>114</v>
      </c>
      <c r="D256" s="355" t="s">
        <v>1988</v>
      </c>
      <c r="E256" s="460">
        <v>30937</v>
      </c>
      <c r="F256" s="356">
        <v>30937</v>
      </c>
      <c r="G256" s="355" t="s">
        <v>1585</v>
      </c>
      <c r="H256" s="355" t="s">
        <v>1989</v>
      </c>
      <c r="I256" s="357" t="s">
        <v>1003</v>
      </c>
      <c r="J256" s="357" t="s">
        <v>996</v>
      </c>
      <c r="K256" s="426" t="str">
        <f>HYPERLINK("https://okcountyrecords.com/detail/roger+mills/1984-009002","OKCountyRecords: 1984-009002")</f>
        <v>OKCountyRecords: 1984-009002</v>
      </c>
    </row>
    <row r="257" spans="1:11" s="604" customFormat="1" x14ac:dyDescent="0.25">
      <c r="A257" s="360" t="s">
        <v>1990</v>
      </c>
      <c r="B257" s="360"/>
      <c r="C257" s="360" t="s">
        <v>1091</v>
      </c>
      <c r="D257" s="360" t="s">
        <v>1991</v>
      </c>
      <c r="E257" s="460">
        <v>30967</v>
      </c>
      <c r="F257" s="361">
        <v>30967</v>
      </c>
      <c r="G257" s="360" t="s">
        <v>1992</v>
      </c>
      <c r="H257" s="360" t="s">
        <v>1110</v>
      </c>
      <c r="I257" s="360" t="s">
        <v>1012</v>
      </c>
      <c r="J257" s="360" t="s">
        <v>1095</v>
      </c>
      <c r="K257" s="427" t="str">
        <f>HYPERLINK("https://okcountyrecords.com/detail/roger+mills/1984-009873","OKCountyRecords: 1984-009873")</f>
        <v>OKCountyRecords: 1984-009873</v>
      </c>
    </row>
    <row r="258" spans="1:11" s="8" customFormat="1" hidden="1" x14ac:dyDescent="0.25">
      <c r="A258" s="355" t="s">
        <v>1993</v>
      </c>
      <c r="B258" s="355"/>
      <c r="C258" s="355" t="s">
        <v>114</v>
      </c>
      <c r="D258" s="355" t="s">
        <v>1994</v>
      </c>
      <c r="E258" s="460">
        <v>30979</v>
      </c>
      <c r="F258" s="356">
        <v>30979</v>
      </c>
      <c r="G258" s="355" t="s">
        <v>1750</v>
      </c>
      <c r="H258" s="355" t="s">
        <v>1995</v>
      </c>
      <c r="I258" s="357" t="s">
        <v>242</v>
      </c>
      <c r="J258" s="357" t="s">
        <v>996</v>
      </c>
      <c r="K258" s="426" t="str">
        <f>HYPERLINK("https://okcountyrecords.com/detail/roger+mills/1984-010210","OKCountyRecords: 1984-010210")</f>
        <v>OKCountyRecords: 1984-010210</v>
      </c>
    </row>
    <row r="259" spans="1:11" s="8" customFormat="1" hidden="1" x14ac:dyDescent="0.25">
      <c r="A259" s="355" t="s">
        <v>2038</v>
      </c>
      <c r="B259" s="355"/>
      <c r="C259" s="355" t="s">
        <v>993</v>
      </c>
      <c r="D259" s="355" t="s">
        <v>2039</v>
      </c>
      <c r="E259" s="356">
        <v>31036</v>
      </c>
      <c r="F259" s="356">
        <v>31180</v>
      </c>
      <c r="G259" s="355" t="s">
        <v>2040</v>
      </c>
      <c r="H259" s="355" t="s">
        <v>1977</v>
      </c>
      <c r="I259" s="357" t="s">
        <v>1003</v>
      </c>
      <c r="J259" s="357" t="s">
        <v>996</v>
      </c>
      <c r="K259" s="426" t="str">
        <f>HYPERLINK("https://okcountyrecords.com/detail/roger+mills/1985-003205","OKCountyRecords: 1985-003205")</f>
        <v>OKCountyRecords: 1985-003205</v>
      </c>
    </row>
    <row r="260" spans="1:11" s="8" customFormat="1" ht="25.5" hidden="1" x14ac:dyDescent="0.25">
      <c r="A260" s="355" t="s">
        <v>1996</v>
      </c>
      <c r="B260" s="355"/>
      <c r="C260" s="355" t="s">
        <v>309</v>
      </c>
      <c r="D260" s="355" t="s">
        <v>1997</v>
      </c>
      <c r="E260" s="460">
        <v>31051</v>
      </c>
      <c r="F260" s="356">
        <v>31051</v>
      </c>
      <c r="G260" s="357" t="s">
        <v>439</v>
      </c>
      <c r="H260" s="355" t="s">
        <v>896</v>
      </c>
      <c r="I260" s="357" t="s">
        <v>313</v>
      </c>
      <c r="J260" s="357" t="s">
        <v>996</v>
      </c>
      <c r="K260" s="426" t="str">
        <f>HYPERLINK("https://okcountyrecords.com/detail/roger+mills/1985-000160","OKCountyRecords: 1985-000160")</f>
        <v>OKCountyRecords: 1985-000160</v>
      </c>
    </row>
    <row r="261" spans="1:11" s="8" customFormat="1" ht="25.5" hidden="1" x14ac:dyDescent="0.25">
      <c r="A261" s="355" t="s">
        <v>1998</v>
      </c>
      <c r="B261" s="355"/>
      <c r="C261" s="355" t="s">
        <v>993</v>
      </c>
      <c r="D261" s="355" t="s">
        <v>1999</v>
      </c>
      <c r="E261" s="460">
        <v>31079</v>
      </c>
      <c r="F261" s="356">
        <v>31079</v>
      </c>
      <c r="G261" s="355" t="s">
        <v>412</v>
      </c>
      <c r="H261" s="357" t="s">
        <v>411</v>
      </c>
      <c r="I261" s="357" t="s">
        <v>242</v>
      </c>
      <c r="J261" s="357" t="s">
        <v>996</v>
      </c>
      <c r="K261" s="426" t="str">
        <f>HYPERLINK("https://okcountyrecords.com/detail/roger+mills/1985-000800","OKCountyRecords: 1985-000800")</f>
        <v>OKCountyRecords: 1985-000800</v>
      </c>
    </row>
    <row r="262" spans="1:11" s="596" customFormat="1" x14ac:dyDescent="0.25">
      <c r="A262" s="580" t="s">
        <v>2000</v>
      </c>
      <c r="B262" s="580"/>
      <c r="C262" s="581" t="s">
        <v>114</v>
      </c>
      <c r="D262" s="580" t="s">
        <v>2001</v>
      </c>
      <c r="E262" s="582">
        <v>31100</v>
      </c>
      <c r="F262" s="582">
        <v>31100</v>
      </c>
      <c r="G262" s="580" t="s">
        <v>1821</v>
      </c>
      <c r="H262" s="580" t="s">
        <v>2002</v>
      </c>
      <c r="I262" s="581" t="s">
        <v>8805</v>
      </c>
      <c r="J262" s="581" t="s">
        <v>8806</v>
      </c>
      <c r="K262" s="584" t="str">
        <f>HYPERLINK("https://okcountyrecords.com/detail/roger+mills/1985-001211","OKCountyRecords: 1985-001211")</f>
        <v>OKCountyRecords: 1985-001211</v>
      </c>
    </row>
    <row r="263" spans="1:11" s="8" customFormat="1" hidden="1" x14ac:dyDescent="0.25">
      <c r="A263" s="355" t="s">
        <v>2003</v>
      </c>
      <c r="B263" s="355"/>
      <c r="C263" s="355" t="s">
        <v>114</v>
      </c>
      <c r="D263" s="355" t="s">
        <v>2004</v>
      </c>
      <c r="E263" s="460">
        <v>31147</v>
      </c>
      <c r="F263" s="356">
        <v>31147</v>
      </c>
      <c r="G263" s="355" t="s">
        <v>896</v>
      </c>
      <c r="H263" s="355" t="s">
        <v>2005</v>
      </c>
      <c r="I263" s="357" t="s">
        <v>1012</v>
      </c>
      <c r="J263" s="357" t="s">
        <v>996</v>
      </c>
      <c r="K263" s="426" t="str">
        <f>HYPERLINK("https://okcountyrecords.com/detail/roger+mills/1985-002380","OKCountyRecords: 1985-002380")</f>
        <v>OKCountyRecords: 1985-002380</v>
      </c>
    </row>
    <row r="264" spans="1:11" s="8" customFormat="1" hidden="1" x14ac:dyDescent="0.25">
      <c r="A264" s="355" t="s">
        <v>2006</v>
      </c>
      <c r="B264" s="355"/>
      <c r="C264" s="355" t="s">
        <v>309</v>
      </c>
      <c r="D264" s="355" t="s">
        <v>2007</v>
      </c>
      <c r="E264" s="460">
        <v>31147</v>
      </c>
      <c r="F264" s="356">
        <v>31147</v>
      </c>
      <c r="G264" s="355" t="s">
        <v>392</v>
      </c>
      <c r="H264" s="355" t="s">
        <v>383</v>
      </c>
      <c r="I264" s="357" t="s">
        <v>313</v>
      </c>
      <c r="J264" s="357" t="s">
        <v>996</v>
      </c>
      <c r="K264" s="426" t="str">
        <f>HYPERLINK("https://okcountyrecords.com/detail/roger+mills/1985-002388","OKCountyRecords: 1985-002388")</f>
        <v>OKCountyRecords: 1985-002388</v>
      </c>
    </row>
    <row r="265" spans="1:11" s="8" customFormat="1" hidden="1" x14ac:dyDescent="0.25">
      <c r="A265" s="355" t="s">
        <v>2008</v>
      </c>
      <c r="B265" s="355"/>
      <c r="C265" s="355" t="s">
        <v>309</v>
      </c>
      <c r="D265" s="355" t="s">
        <v>2009</v>
      </c>
      <c r="E265" s="460">
        <v>31147</v>
      </c>
      <c r="F265" s="356">
        <v>31147</v>
      </c>
      <c r="G265" s="355" t="s">
        <v>394</v>
      </c>
      <c r="H265" s="355" t="s">
        <v>383</v>
      </c>
      <c r="I265" s="357" t="s">
        <v>313</v>
      </c>
      <c r="J265" s="357" t="s">
        <v>996</v>
      </c>
      <c r="K265" s="426" t="str">
        <f>HYPERLINK("https://okcountyrecords.com/detail/roger+mills/1985-002391","OKCountyRecords: 1985-002391")</f>
        <v>OKCountyRecords: 1985-002391</v>
      </c>
    </row>
    <row r="266" spans="1:11" s="8" customFormat="1" hidden="1" x14ac:dyDescent="0.25">
      <c r="A266" s="355" t="s">
        <v>2010</v>
      </c>
      <c r="B266" s="355"/>
      <c r="C266" s="355" t="s">
        <v>309</v>
      </c>
      <c r="D266" s="355" t="s">
        <v>2011</v>
      </c>
      <c r="E266" s="460">
        <v>31147</v>
      </c>
      <c r="F266" s="356">
        <v>31147</v>
      </c>
      <c r="G266" s="355" t="s">
        <v>396</v>
      </c>
      <c r="H266" s="355" t="s">
        <v>383</v>
      </c>
      <c r="I266" s="357" t="s">
        <v>313</v>
      </c>
      <c r="J266" s="357" t="s">
        <v>996</v>
      </c>
      <c r="K266" s="426" t="str">
        <f>HYPERLINK("https://okcountyrecords.com/detail/roger+mills/1985-002392","OKCountyRecords: 1985-002392")</f>
        <v>OKCountyRecords: 1985-002392</v>
      </c>
    </row>
    <row r="267" spans="1:11" s="8" customFormat="1" ht="25.5" hidden="1" x14ac:dyDescent="0.25">
      <c r="A267" s="355" t="s">
        <v>2012</v>
      </c>
      <c r="B267" s="355"/>
      <c r="C267" s="355" t="s">
        <v>309</v>
      </c>
      <c r="D267" s="355" t="s">
        <v>2013</v>
      </c>
      <c r="E267" s="460">
        <v>31147</v>
      </c>
      <c r="F267" s="356">
        <v>31147</v>
      </c>
      <c r="G267" s="357" t="s">
        <v>2014</v>
      </c>
      <c r="H267" s="355" t="s">
        <v>383</v>
      </c>
      <c r="I267" s="357" t="s">
        <v>313</v>
      </c>
      <c r="J267" s="357" t="s">
        <v>996</v>
      </c>
      <c r="K267" s="426" t="str">
        <f>HYPERLINK("https://okcountyrecords.com/detail/roger+mills/1985-002393","OKCountyRecords: 1985-002393")</f>
        <v>OKCountyRecords: 1985-002393</v>
      </c>
    </row>
    <row r="268" spans="1:11" s="8" customFormat="1" hidden="1" x14ac:dyDescent="0.25">
      <c r="A268" s="355" t="s">
        <v>2015</v>
      </c>
      <c r="B268" s="355"/>
      <c r="C268" s="355" t="s">
        <v>309</v>
      </c>
      <c r="D268" s="355" t="s">
        <v>2016</v>
      </c>
      <c r="E268" s="460">
        <v>31147</v>
      </c>
      <c r="F268" s="356">
        <v>31147</v>
      </c>
      <c r="G268" s="355" t="s">
        <v>433</v>
      </c>
      <c r="H268" s="355" t="s">
        <v>383</v>
      </c>
      <c r="I268" s="357" t="s">
        <v>313</v>
      </c>
      <c r="J268" s="357" t="s">
        <v>996</v>
      </c>
      <c r="K268" s="426" t="str">
        <f>HYPERLINK("https://okcountyrecords.com/detail/roger+mills/1985-002394","OKCountyRecords: 1985-002394")</f>
        <v>OKCountyRecords: 1985-002394</v>
      </c>
    </row>
    <row r="269" spans="1:11" s="8" customFormat="1" hidden="1" x14ac:dyDescent="0.25">
      <c r="A269" s="355" t="s">
        <v>2017</v>
      </c>
      <c r="B269" s="355"/>
      <c r="C269" s="355" t="s">
        <v>309</v>
      </c>
      <c r="D269" s="355" t="s">
        <v>2018</v>
      </c>
      <c r="E269" s="460">
        <v>31147</v>
      </c>
      <c r="F269" s="356">
        <v>31147</v>
      </c>
      <c r="G269" s="355" t="s">
        <v>397</v>
      </c>
      <c r="H269" s="355" t="s">
        <v>383</v>
      </c>
      <c r="I269" s="357" t="s">
        <v>313</v>
      </c>
      <c r="J269" s="357" t="s">
        <v>996</v>
      </c>
      <c r="K269" s="426" t="str">
        <f>HYPERLINK("https://okcountyrecords.com/detail/roger+mills/1985-002398","OKCountyRecords: 1985-002398")</f>
        <v>OKCountyRecords: 1985-002398</v>
      </c>
    </row>
    <row r="270" spans="1:11" s="8" customFormat="1" hidden="1" x14ac:dyDescent="0.25">
      <c r="A270" s="355" t="s">
        <v>2019</v>
      </c>
      <c r="B270" s="355"/>
      <c r="C270" s="355" t="s">
        <v>309</v>
      </c>
      <c r="D270" s="355" t="s">
        <v>2020</v>
      </c>
      <c r="E270" s="460">
        <v>31147</v>
      </c>
      <c r="F270" s="356">
        <v>31147</v>
      </c>
      <c r="G270" s="355" t="s">
        <v>395</v>
      </c>
      <c r="H270" s="355" t="s">
        <v>383</v>
      </c>
      <c r="I270" s="357" t="s">
        <v>313</v>
      </c>
      <c r="J270" s="357" t="s">
        <v>996</v>
      </c>
      <c r="K270" s="426" t="str">
        <f>HYPERLINK("https://okcountyrecords.com/detail/roger+mills/1985-002403","OKCountyRecords: 1985-002403")</f>
        <v>OKCountyRecords: 1985-002403</v>
      </c>
    </row>
    <row r="271" spans="1:11" s="8" customFormat="1" hidden="1" x14ac:dyDescent="0.25">
      <c r="A271" s="355" t="s">
        <v>2021</v>
      </c>
      <c r="B271" s="355"/>
      <c r="C271" s="355" t="s">
        <v>309</v>
      </c>
      <c r="D271" s="355" t="s">
        <v>2022</v>
      </c>
      <c r="E271" s="460">
        <v>31147</v>
      </c>
      <c r="F271" s="356">
        <v>31147</v>
      </c>
      <c r="G271" s="355" t="s">
        <v>1941</v>
      </c>
      <c r="H271" s="355" t="s">
        <v>383</v>
      </c>
      <c r="I271" s="357" t="s">
        <v>313</v>
      </c>
      <c r="J271" s="357" t="s">
        <v>996</v>
      </c>
      <c r="K271" s="426" t="str">
        <f>HYPERLINK("https://okcountyrecords.com/detail/roger+mills/1985-002405","OKCountyRecords: 1985-002405")</f>
        <v>OKCountyRecords: 1985-002405</v>
      </c>
    </row>
    <row r="272" spans="1:11" s="8" customFormat="1" ht="38.25" hidden="1" x14ac:dyDescent="0.25">
      <c r="A272" s="355" t="s">
        <v>2023</v>
      </c>
      <c r="B272" s="355"/>
      <c r="C272" s="355" t="s">
        <v>309</v>
      </c>
      <c r="D272" s="355" t="s">
        <v>2024</v>
      </c>
      <c r="E272" s="460">
        <v>31147</v>
      </c>
      <c r="F272" s="356">
        <v>31147</v>
      </c>
      <c r="G272" s="357" t="s">
        <v>2025</v>
      </c>
      <c r="H272" s="355" t="s">
        <v>383</v>
      </c>
      <c r="I272" s="357" t="s">
        <v>313</v>
      </c>
      <c r="J272" s="357" t="s">
        <v>996</v>
      </c>
      <c r="K272" s="426" t="str">
        <f>HYPERLINK("https://okcountyrecords.com/detail/roger+mills/1985-002406","OKCountyRecords: 1985-002406")</f>
        <v>OKCountyRecords: 1985-002406</v>
      </c>
    </row>
    <row r="273" spans="1:11" s="8" customFormat="1" ht="63.75" hidden="1" x14ac:dyDescent="0.25">
      <c r="A273" s="355" t="s">
        <v>2026</v>
      </c>
      <c r="B273" s="355"/>
      <c r="C273" s="355" t="s">
        <v>309</v>
      </c>
      <c r="D273" s="355" t="s">
        <v>2027</v>
      </c>
      <c r="E273" s="460">
        <v>31147</v>
      </c>
      <c r="F273" s="356">
        <v>31147</v>
      </c>
      <c r="G273" s="357" t="s">
        <v>2028</v>
      </c>
      <c r="H273" s="355" t="s">
        <v>383</v>
      </c>
      <c r="I273" s="357" t="s">
        <v>313</v>
      </c>
      <c r="J273" s="357" t="s">
        <v>996</v>
      </c>
      <c r="K273" s="426" t="str">
        <f>HYPERLINK("https://okcountyrecords.com/detail/roger+mills/1985-002407","OKCountyRecords: 1985-002407")</f>
        <v>OKCountyRecords: 1985-002407</v>
      </c>
    </row>
    <row r="274" spans="1:11" s="596" customFormat="1" x14ac:dyDescent="0.25">
      <c r="A274" s="580" t="s">
        <v>2029</v>
      </c>
      <c r="B274" s="580"/>
      <c r="C274" s="581" t="s">
        <v>8807</v>
      </c>
      <c r="D274" s="580" t="s">
        <v>2030</v>
      </c>
      <c r="E274" s="582">
        <v>31158</v>
      </c>
      <c r="F274" s="582">
        <v>31158</v>
      </c>
      <c r="G274" s="580" t="s">
        <v>1769</v>
      </c>
      <c r="H274" s="580" t="s">
        <v>2031</v>
      </c>
      <c r="I274" s="581" t="s">
        <v>8808</v>
      </c>
      <c r="J274" s="581" t="s">
        <v>973</v>
      </c>
      <c r="K274" s="584" t="str">
        <f>HYPERLINK("https://okcountyrecords.com/detail/roger+mills/1985-002650","OKCountyRecords: 1985-002650")</f>
        <v>OKCountyRecords: 1985-002650</v>
      </c>
    </row>
    <row r="275" spans="1:11" s="8" customFormat="1" ht="25.5" hidden="1" x14ac:dyDescent="0.25">
      <c r="A275" s="355" t="s">
        <v>2032</v>
      </c>
      <c r="B275" s="355"/>
      <c r="C275" s="355" t="s">
        <v>309</v>
      </c>
      <c r="D275" s="355" t="s">
        <v>2033</v>
      </c>
      <c r="E275" s="460">
        <v>31158</v>
      </c>
      <c r="F275" s="356">
        <v>31158</v>
      </c>
      <c r="G275" s="357" t="s">
        <v>1958</v>
      </c>
      <c r="H275" s="355" t="s">
        <v>383</v>
      </c>
      <c r="I275" s="357" t="s">
        <v>313</v>
      </c>
      <c r="J275" s="357" t="s">
        <v>996</v>
      </c>
      <c r="K275" s="426" t="str">
        <f>HYPERLINK("https://okcountyrecords.com/detail/roger+mills/1985-002660","OKCountyRecords: 1985-002660")</f>
        <v>OKCountyRecords: 1985-002660</v>
      </c>
    </row>
    <row r="276" spans="1:11" s="8" customFormat="1" hidden="1" x14ac:dyDescent="0.25">
      <c r="A276" s="355" t="s">
        <v>2034</v>
      </c>
      <c r="B276" s="355"/>
      <c r="C276" s="355" t="s">
        <v>309</v>
      </c>
      <c r="D276" s="355" t="s">
        <v>2035</v>
      </c>
      <c r="E276" s="460">
        <v>31158</v>
      </c>
      <c r="F276" s="356">
        <v>31158</v>
      </c>
      <c r="G276" s="355" t="s">
        <v>400</v>
      </c>
      <c r="H276" s="355" t="s">
        <v>383</v>
      </c>
      <c r="I276" s="357" t="s">
        <v>308</v>
      </c>
      <c r="J276" s="357" t="s">
        <v>996</v>
      </c>
      <c r="K276" s="426" t="str">
        <f>HYPERLINK("https://okcountyrecords.com/detail/roger+mills/1985-002661","OKCountyRecords: 1985-002661")</f>
        <v>OKCountyRecords: 1985-002661</v>
      </c>
    </row>
    <row r="277" spans="1:11" s="8" customFormat="1" hidden="1" x14ac:dyDescent="0.25">
      <c r="A277" s="355" t="s">
        <v>2036</v>
      </c>
      <c r="B277" s="355"/>
      <c r="C277" s="355" t="s">
        <v>309</v>
      </c>
      <c r="D277" s="355" t="s">
        <v>2037</v>
      </c>
      <c r="E277" s="460">
        <v>31166</v>
      </c>
      <c r="F277" s="356">
        <v>31166</v>
      </c>
      <c r="G277" s="355" t="s">
        <v>249</v>
      </c>
      <c r="H277" s="355" t="s">
        <v>383</v>
      </c>
      <c r="I277" s="357" t="s">
        <v>313</v>
      </c>
      <c r="J277" s="357" t="s">
        <v>996</v>
      </c>
      <c r="K277" s="426" t="str">
        <f>HYPERLINK("https://okcountyrecords.com/detail/roger+mills/1985-002819","OKCountyRecords: 1985-002819")</f>
        <v>OKCountyRecords: 1985-002819</v>
      </c>
    </row>
    <row r="278" spans="1:11" s="8" customFormat="1" hidden="1" x14ac:dyDescent="0.25">
      <c r="A278" s="355" t="s">
        <v>2041</v>
      </c>
      <c r="B278" s="355"/>
      <c r="C278" s="355" t="s">
        <v>309</v>
      </c>
      <c r="D278" s="355" t="s">
        <v>2042</v>
      </c>
      <c r="E278" s="460">
        <v>31226</v>
      </c>
      <c r="F278" s="356">
        <v>31226</v>
      </c>
      <c r="G278" s="355" t="s">
        <v>435</v>
      </c>
      <c r="H278" s="355" t="s">
        <v>383</v>
      </c>
      <c r="I278" s="357" t="s">
        <v>313</v>
      </c>
      <c r="J278" s="357" t="s">
        <v>996</v>
      </c>
      <c r="K278" s="426" t="str">
        <f>HYPERLINK("https://okcountyrecords.com/detail/roger+mills/1985-004439","OKCountyRecords: 1985-004439")</f>
        <v>OKCountyRecords: 1985-004439</v>
      </c>
    </row>
    <row r="279" spans="1:11" s="8" customFormat="1" hidden="1" x14ac:dyDescent="0.25">
      <c r="A279" s="355" t="s">
        <v>2043</v>
      </c>
      <c r="B279" s="355"/>
      <c r="C279" s="355" t="s">
        <v>993</v>
      </c>
      <c r="D279" s="355" t="s">
        <v>2044</v>
      </c>
      <c r="E279" s="460">
        <v>31278</v>
      </c>
      <c r="F279" s="356">
        <v>31278</v>
      </c>
      <c r="G279" s="355" t="s">
        <v>2040</v>
      </c>
      <c r="H279" s="355" t="s">
        <v>1977</v>
      </c>
      <c r="I279" s="357" t="s">
        <v>1003</v>
      </c>
      <c r="J279" s="357" t="s">
        <v>996</v>
      </c>
      <c r="K279" s="426" t="str">
        <f>HYPERLINK("https://okcountyrecords.com/detail/roger+mills/1985-005702","OKCountyRecords: 1985-005702")</f>
        <v>OKCountyRecords: 1985-005702</v>
      </c>
    </row>
    <row r="280" spans="1:11" s="596" customFormat="1" x14ac:dyDescent="0.25">
      <c r="A280" s="580" t="s">
        <v>2045</v>
      </c>
      <c r="B280" s="580"/>
      <c r="C280" s="581" t="s">
        <v>8809</v>
      </c>
      <c r="D280" s="580" t="s">
        <v>2046</v>
      </c>
      <c r="E280" s="582">
        <v>31279</v>
      </c>
      <c r="F280" s="582">
        <v>31279</v>
      </c>
      <c r="G280" s="581" t="s">
        <v>2047</v>
      </c>
      <c r="H280" s="580" t="s">
        <v>2048</v>
      </c>
      <c r="I280" s="581" t="s">
        <v>8810</v>
      </c>
      <c r="J280" s="581" t="s">
        <v>8811</v>
      </c>
      <c r="K280" s="584" t="str">
        <f>HYPERLINK("https://okcountyrecords.com/detail/roger+mills/1985-005895","OKCountyRecords: 1985-005895")</f>
        <v>OKCountyRecords: 1985-005895</v>
      </c>
    </row>
    <row r="281" spans="1:11" s="596" customFormat="1" x14ac:dyDescent="0.25">
      <c r="A281" s="580" t="s">
        <v>2049</v>
      </c>
      <c r="B281" s="580"/>
      <c r="C281" s="580" t="s">
        <v>1623</v>
      </c>
      <c r="D281" s="580" t="s">
        <v>2050</v>
      </c>
      <c r="E281" s="582">
        <v>31308</v>
      </c>
      <c r="F281" s="582">
        <v>31308</v>
      </c>
      <c r="G281" s="580" t="s">
        <v>573</v>
      </c>
      <c r="H281" s="580" t="s">
        <v>249</v>
      </c>
      <c r="I281" s="581" t="s">
        <v>8793</v>
      </c>
      <c r="J281" s="581" t="s">
        <v>8794</v>
      </c>
      <c r="K281" s="584" t="str">
        <f>HYPERLINK("https://okcountyrecords.com/detail/roger+mills/1985-006556","OKCountyRecords: 1985-006556")</f>
        <v>OKCountyRecords: 1985-006556</v>
      </c>
    </row>
    <row r="282" spans="1:11" s="596" customFormat="1" x14ac:dyDescent="0.25">
      <c r="A282" s="580" t="s">
        <v>2051</v>
      </c>
      <c r="B282" s="580"/>
      <c r="C282" s="581" t="s">
        <v>8812</v>
      </c>
      <c r="D282" s="580" t="s">
        <v>2052</v>
      </c>
      <c r="E282" s="582">
        <v>31329</v>
      </c>
      <c r="F282" s="582">
        <v>31329</v>
      </c>
      <c r="G282" s="581" t="s">
        <v>8814</v>
      </c>
      <c r="H282" s="581" t="s">
        <v>8813</v>
      </c>
      <c r="I282" s="605" t="s">
        <v>8815</v>
      </c>
      <c r="J282" s="581" t="s">
        <v>8816</v>
      </c>
      <c r="K282" s="584" t="str">
        <f>HYPERLINK("https://okcountyrecords.com/detail/roger+mills/1985-007068","OKCountyRecords: 1985-007068")</f>
        <v>OKCountyRecords: 1985-007068</v>
      </c>
    </row>
    <row r="283" spans="1:11" s="592" customFormat="1" x14ac:dyDescent="0.25">
      <c r="A283" s="580" t="s">
        <v>2055</v>
      </c>
      <c r="B283" s="580"/>
      <c r="C283" s="581" t="s">
        <v>2506</v>
      </c>
      <c r="D283" s="580" t="s">
        <v>2056</v>
      </c>
      <c r="E283" s="582">
        <v>31330</v>
      </c>
      <c r="F283" s="582">
        <v>31330</v>
      </c>
      <c r="G283" s="580" t="s">
        <v>1582</v>
      </c>
      <c r="H283" s="580" t="s">
        <v>1723</v>
      </c>
      <c r="I283" s="581" t="s">
        <v>8810</v>
      </c>
      <c r="J283" s="581" t="s">
        <v>973</v>
      </c>
      <c r="K283" s="584" t="str">
        <f>HYPERLINK("https://okcountyrecords.com/detail/roger+mills/1985-007096","OKCountyRecords: 1985-007096")</f>
        <v>OKCountyRecords: 1985-007096</v>
      </c>
    </row>
    <row r="284" spans="1:11" s="8" customFormat="1" hidden="1" x14ac:dyDescent="0.25">
      <c r="A284" s="355" t="s">
        <v>2057</v>
      </c>
      <c r="B284" s="355"/>
      <c r="C284" s="355" t="s">
        <v>309</v>
      </c>
      <c r="D284" s="355" t="s">
        <v>2058</v>
      </c>
      <c r="E284" s="460">
        <v>31347</v>
      </c>
      <c r="F284" s="356">
        <v>31347</v>
      </c>
      <c r="G284" s="355" t="s">
        <v>407</v>
      </c>
      <c r="H284" s="355" t="s">
        <v>383</v>
      </c>
      <c r="I284" s="357" t="s">
        <v>313</v>
      </c>
      <c r="J284" s="357" t="s">
        <v>996</v>
      </c>
      <c r="K284" s="426" t="str">
        <f>HYPERLINK("https://okcountyrecords.com/detail/roger+mills/1985-007545","OKCountyRecords: 1985-007545")</f>
        <v>OKCountyRecords: 1985-007545</v>
      </c>
    </row>
    <row r="285" spans="1:11" s="596" customFormat="1" x14ac:dyDescent="0.25">
      <c r="A285" s="580" t="s">
        <v>2059</v>
      </c>
      <c r="B285" s="580"/>
      <c r="C285" s="580" t="s">
        <v>1623</v>
      </c>
      <c r="D285" s="580" t="s">
        <v>2060</v>
      </c>
      <c r="E285" s="582">
        <v>31408</v>
      </c>
      <c r="F285" s="582">
        <v>31408</v>
      </c>
      <c r="G285" s="580" t="s">
        <v>400</v>
      </c>
      <c r="H285" s="580" t="s">
        <v>435</v>
      </c>
      <c r="I285" s="581" t="s">
        <v>8793</v>
      </c>
      <c r="J285" s="581" t="s">
        <v>8800</v>
      </c>
      <c r="K285" s="584" t="str">
        <f>HYPERLINK("https://okcountyrecords.com/detail/roger+mills/1985-000060","OKCountyRecords: 1985-000060")</f>
        <v>OKCountyRecords: 1985-000060</v>
      </c>
    </row>
    <row r="286" spans="1:11" s="596" customFormat="1" x14ac:dyDescent="0.25">
      <c r="A286" s="580" t="s">
        <v>2061</v>
      </c>
      <c r="B286" s="580"/>
      <c r="C286" s="580" t="s">
        <v>1623</v>
      </c>
      <c r="D286" s="580" t="s">
        <v>2062</v>
      </c>
      <c r="E286" s="582">
        <v>31408</v>
      </c>
      <c r="F286" s="582">
        <v>31408</v>
      </c>
      <c r="G286" s="580" t="s">
        <v>400</v>
      </c>
      <c r="H286" s="581" t="s">
        <v>8819</v>
      </c>
      <c r="I286" s="581" t="s">
        <v>8793</v>
      </c>
      <c r="J286" s="581" t="s">
        <v>8794</v>
      </c>
      <c r="K286" s="584" t="str">
        <f>HYPERLINK("https://okcountyrecords.com/detail/roger+mills/1985-000061","OKCountyRecords: 1985-000061")</f>
        <v>OKCountyRecords: 1985-000061</v>
      </c>
    </row>
    <row r="287" spans="1:11" s="596" customFormat="1" x14ac:dyDescent="0.25">
      <c r="A287" s="580" t="s">
        <v>2063</v>
      </c>
      <c r="B287" s="580"/>
      <c r="C287" s="580" t="s">
        <v>1623</v>
      </c>
      <c r="D287" s="580" t="s">
        <v>2064</v>
      </c>
      <c r="E287" s="582">
        <v>31418</v>
      </c>
      <c r="F287" s="582">
        <v>31418</v>
      </c>
      <c r="G287" s="581" t="s">
        <v>8817</v>
      </c>
      <c r="H287" s="580" t="s">
        <v>2065</v>
      </c>
      <c r="I287" s="581" t="s">
        <v>8705</v>
      </c>
      <c r="J287" s="581" t="s">
        <v>8818</v>
      </c>
      <c r="K287" s="584" t="str">
        <f>HYPERLINK("https://okcountyrecords.com/detail/roger+mills/1986-000268","OKCountyRecords: 1986-000268")</f>
        <v>OKCountyRecords: 1986-000268</v>
      </c>
    </row>
    <row r="288" spans="1:11" s="596" customFormat="1" x14ac:dyDescent="0.25">
      <c r="A288" s="580" t="s">
        <v>2066</v>
      </c>
      <c r="B288" s="580"/>
      <c r="C288" s="580" t="s">
        <v>1623</v>
      </c>
      <c r="D288" s="580" t="s">
        <v>2067</v>
      </c>
      <c r="E288" s="582">
        <v>31434</v>
      </c>
      <c r="F288" s="582">
        <v>31434</v>
      </c>
      <c r="G288" s="580" t="s">
        <v>1977</v>
      </c>
      <c r="H288" s="580" t="s">
        <v>2068</v>
      </c>
      <c r="I288" s="581" t="s">
        <v>717</v>
      </c>
      <c r="J288" s="581" t="s">
        <v>973</v>
      </c>
      <c r="K288" s="584" t="str">
        <f>HYPERLINK("https://okcountyrecords.com/detail/roger+mills/1986-000656","OKCountyRecords: 1986-000656")</f>
        <v>OKCountyRecords: 1986-000656</v>
      </c>
    </row>
    <row r="289" spans="1:11" s="592" customFormat="1" x14ac:dyDescent="0.25">
      <c r="A289" s="580" t="s">
        <v>2069</v>
      </c>
      <c r="B289" s="580"/>
      <c r="C289" s="580" t="s">
        <v>1623</v>
      </c>
      <c r="D289" s="580" t="s">
        <v>2070</v>
      </c>
      <c r="E289" s="582">
        <v>31582</v>
      </c>
      <c r="F289" s="582">
        <v>31582</v>
      </c>
      <c r="G289" s="580" t="s">
        <v>573</v>
      </c>
      <c r="H289" s="581" t="s">
        <v>8820</v>
      </c>
      <c r="I289" s="581" t="s">
        <v>8793</v>
      </c>
      <c r="J289" s="581" t="s">
        <v>8800</v>
      </c>
      <c r="K289" s="584" t="str">
        <f>HYPERLINK("https://okcountyrecords.com/detail/roger+mills/1986-003428","OKCountyRecords: 1986-003428")</f>
        <v>OKCountyRecords: 1986-003428</v>
      </c>
    </row>
    <row r="290" spans="1:11" s="8" customFormat="1" ht="51" hidden="1" x14ac:dyDescent="0.25">
      <c r="A290" s="355" t="s">
        <v>2071</v>
      </c>
      <c r="B290" s="355"/>
      <c r="C290" s="355" t="s">
        <v>993</v>
      </c>
      <c r="D290" s="355" t="s">
        <v>2072</v>
      </c>
      <c r="E290" s="460">
        <v>31637</v>
      </c>
      <c r="F290" s="356">
        <v>31637</v>
      </c>
      <c r="G290" s="357" t="s">
        <v>2073</v>
      </c>
      <c r="H290" s="357" t="s">
        <v>2074</v>
      </c>
      <c r="I290" s="357" t="s">
        <v>1012</v>
      </c>
      <c r="J290" s="357" t="s">
        <v>996</v>
      </c>
      <c r="K290" s="426" t="str">
        <f>HYPERLINK("https://okcountyrecords.com/detail/roger+mills/1986-004245","OKCountyRecords: 1986-004245")</f>
        <v>OKCountyRecords: 1986-004245</v>
      </c>
    </row>
    <row r="291" spans="1:11" s="592" customFormat="1" x14ac:dyDescent="0.25">
      <c r="A291" s="580" t="s">
        <v>2075</v>
      </c>
      <c r="B291" s="580"/>
      <c r="C291" s="580" t="s">
        <v>1623</v>
      </c>
      <c r="D291" s="580" t="s">
        <v>2076</v>
      </c>
      <c r="E291" s="582">
        <v>31657</v>
      </c>
      <c r="F291" s="582">
        <v>31657</v>
      </c>
      <c r="G291" s="580" t="s">
        <v>573</v>
      </c>
      <c r="H291" s="580" t="s">
        <v>394</v>
      </c>
      <c r="I291" s="581" t="s">
        <v>8793</v>
      </c>
      <c r="J291" s="581" t="s">
        <v>8797</v>
      </c>
      <c r="K291" s="584" t="str">
        <f>HYPERLINK("https://okcountyrecords.com/detail/roger+mills/1986-004476","OKCountyRecords: 1986-004476")</f>
        <v>OKCountyRecords: 1986-004476</v>
      </c>
    </row>
    <row r="292" spans="1:11" s="592" customFormat="1" x14ac:dyDescent="0.25">
      <c r="A292" s="580" t="s">
        <v>2077</v>
      </c>
      <c r="B292" s="580"/>
      <c r="C292" s="580" t="s">
        <v>1623</v>
      </c>
      <c r="D292" s="580" t="s">
        <v>2078</v>
      </c>
      <c r="E292" s="582">
        <v>31684</v>
      </c>
      <c r="F292" s="582">
        <v>31684</v>
      </c>
      <c r="G292" s="580" t="s">
        <v>433</v>
      </c>
      <c r="H292" s="580" t="s">
        <v>2079</v>
      </c>
      <c r="I292" s="581" t="s">
        <v>8793</v>
      </c>
      <c r="J292" s="581" t="s">
        <v>8821</v>
      </c>
      <c r="K292" s="584" t="str">
        <f>HYPERLINK("https://okcountyrecords.com/detail/roger+mills/1986-005223","OKCountyRecords: 1986-005223")</f>
        <v>OKCountyRecords: 1986-005223</v>
      </c>
    </row>
    <row r="293" spans="1:11" s="592" customFormat="1" x14ac:dyDescent="0.25">
      <c r="A293" s="580" t="s">
        <v>2080</v>
      </c>
      <c r="B293" s="580"/>
      <c r="C293" s="580" t="s">
        <v>1623</v>
      </c>
      <c r="D293" s="580" t="s">
        <v>2081</v>
      </c>
      <c r="E293" s="582">
        <v>31723</v>
      </c>
      <c r="F293" s="582">
        <v>31723</v>
      </c>
      <c r="G293" s="580" t="s">
        <v>2068</v>
      </c>
      <c r="H293" s="580" t="s">
        <v>2082</v>
      </c>
      <c r="I293" s="581" t="s">
        <v>717</v>
      </c>
      <c r="J293" s="581" t="s">
        <v>8822</v>
      </c>
      <c r="K293" s="584" t="str">
        <f>HYPERLINK("https://okcountyrecords.com/detail/roger+mills/1986-005341","OKCountyRecords: 1986-005341")</f>
        <v>OKCountyRecords: 1986-005341</v>
      </c>
    </row>
    <row r="294" spans="1:11" s="8" customFormat="1" ht="25.5" hidden="1" x14ac:dyDescent="0.25">
      <c r="A294" s="355" t="s">
        <v>2083</v>
      </c>
      <c r="B294" s="355"/>
      <c r="C294" s="355" t="s">
        <v>309</v>
      </c>
      <c r="D294" s="355" t="s">
        <v>2084</v>
      </c>
      <c r="E294" s="460">
        <v>31755</v>
      </c>
      <c r="F294" s="356">
        <v>31755</v>
      </c>
      <c r="G294" s="357" t="s">
        <v>411</v>
      </c>
      <c r="H294" s="355" t="s">
        <v>444</v>
      </c>
      <c r="I294" s="357" t="s">
        <v>313</v>
      </c>
      <c r="J294" s="357" t="s">
        <v>996</v>
      </c>
      <c r="K294" s="426" t="str">
        <f>HYPERLINK("https://okcountyrecords.com/detail/roger+mills/1986-005971","OKCountyRecords: 1986-005971")</f>
        <v>OKCountyRecords: 1986-005971</v>
      </c>
    </row>
    <row r="295" spans="1:11" s="8" customFormat="1" x14ac:dyDescent="0.25">
      <c r="A295" s="360" t="s">
        <v>2085</v>
      </c>
      <c r="B295" s="360"/>
      <c r="C295" s="360" t="s">
        <v>1091</v>
      </c>
      <c r="D295" s="360" t="s">
        <v>2086</v>
      </c>
      <c r="E295" s="460">
        <v>31803</v>
      </c>
      <c r="F295" s="361">
        <v>31803</v>
      </c>
      <c r="G295" s="360" t="s">
        <v>463</v>
      </c>
      <c r="H295" s="360" t="s">
        <v>1110</v>
      </c>
      <c r="I295" s="360" t="s">
        <v>1012</v>
      </c>
      <c r="J295" s="360" t="s">
        <v>1095</v>
      </c>
      <c r="K295" s="427" t="str">
        <f>HYPERLINK("https://okcountyrecords.com/detail/roger+mills/1987-000496","OKCountyRecords: 1987-000496")</f>
        <v>OKCountyRecords: 1987-000496</v>
      </c>
    </row>
    <row r="296" spans="1:11" s="592" customFormat="1" x14ac:dyDescent="0.25">
      <c r="A296" s="580" t="s">
        <v>2087</v>
      </c>
      <c r="B296" s="580"/>
      <c r="C296" s="580" t="s">
        <v>1623</v>
      </c>
      <c r="D296" s="580" t="s">
        <v>2088</v>
      </c>
      <c r="E296" s="582">
        <v>31917</v>
      </c>
      <c r="F296" s="582">
        <v>31917</v>
      </c>
      <c r="G296" s="580" t="s">
        <v>573</v>
      </c>
      <c r="H296" s="580" t="s">
        <v>2089</v>
      </c>
      <c r="I296" s="581" t="s">
        <v>8793</v>
      </c>
      <c r="J296" s="581" t="s">
        <v>8800</v>
      </c>
      <c r="K296" s="584" t="str">
        <f>HYPERLINK("https://okcountyrecords.com/detail/roger+mills/1987-002610","OKCountyRecords: 1987-002610")</f>
        <v>OKCountyRecords: 1987-002610</v>
      </c>
    </row>
    <row r="297" spans="1:11" s="8" customFormat="1" hidden="1" x14ac:dyDescent="0.25">
      <c r="A297" s="355" t="s">
        <v>2090</v>
      </c>
      <c r="B297" s="355"/>
      <c r="C297" s="355" t="s">
        <v>114</v>
      </c>
      <c r="D297" s="355" t="s">
        <v>2091</v>
      </c>
      <c r="E297" s="460">
        <v>31964</v>
      </c>
      <c r="F297" s="356">
        <v>31964</v>
      </c>
      <c r="G297" s="355" t="s">
        <v>2031</v>
      </c>
      <c r="H297" s="355" t="s">
        <v>2092</v>
      </c>
      <c r="I297" s="357" t="s">
        <v>1012</v>
      </c>
      <c r="J297" s="357" t="s">
        <v>996</v>
      </c>
      <c r="K297" s="426" t="str">
        <f>HYPERLINK("https://okcountyrecords.com/detail/roger+mills/1987-003826","OKCountyRecords: 1987-003826")</f>
        <v>OKCountyRecords: 1987-003826</v>
      </c>
    </row>
    <row r="298" spans="1:11" s="8" customFormat="1" hidden="1" x14ac:dyDescent="0.25">
      <c r="A298" s="355" t="s">
        <v>2093</v>
      </c>
      <c r="B298" s="355"/>
      <c r="C298" s="355" t="s">
        <v>309</v>
      </c>
      <c r="D298" s="355" t="s">
        <v>2094</v>
      </c>
      <c r="E298" s="460">
        <v>31971</v>
      </c>
      <c r="F298" s="356">
        <v>31971</v>
      </c>
      <c r="G298" s="355" t="s">
        <v>436</v>
      </c>
      <c r="H298" s="355" t="s">
        <v>445</v>
      </c>
      <c r="I298" s="357" t="s">
        <v>313</v>
      </c>
      <c r="J298" s="357" t="s">
        <v>996</v>
      </c>
      <c r="K298" s="426" t="str">
        <f>HYPERLINK("https://okcountyrecords.com/detail/roger+mills/1987-003977","OKCountyRecords: 1987-003977")</f>
        <v>OKCountyRecords: 1987-003977</v>
      </c>
    </row>
    <row r="299" spans="1:11" s="8" customFormat="1" hidden="1" x14ac:dyDescent="0.25">
      <c r="A299" s="355" t="s">
        <v>2095</v>
      </c>
      <c r="B299" s="355"/>
      <c r="C299" s="355" t="s">
        <v>309</v>
      </c>
      <c r="D299" s="355" t="s">
        <v>2096</v>
      </c>
      <c r="E299" s="460">
        <v>31971</v>
      </c>
      <c r="F299" s="356">
        <v>31971</v>
      </c>
      <c r="G299" s="355" t="s">
        <v>446</v>
      </c>
      <c r="H299" s="355" t="s">
        <v>445</v>
      </c>
      <c r="I299" s="357" t="s">
        <v>313</v>
      </c>
      <c r="J299" s="357" t="s">
        <v>996</v>
      </c>
      <c r="K299" s="426" t="str">
        <f>HYPERLINK("https://okcountyrecords.com/detail/roger+mills/1987-003978","OKCountyRecords: 1987-003978")</f>
        <v>OKCountyRecords: 1987-003978</v>
      </c>
    </row>
    <row r="300" spans="1:11" s="8" customFormat="1" hidden="1" x14ac:dyDescent="0.25">
      <c r="A300" s="355" t="s">
        <v>2097</v>
      </c>
      <c r="B300" s="355"/>
      <c r="C300" s="355" t="s">
        <v>309</v>
      </c>
      <c r="D300" s="355" t="s">
        <v>2098</v>
      </c>
      <c r="E300" s="460">
        <v>32002</v>
      </c>
      <c r="F300" s="356">
        <v>32002</v>
      </c>
      <c r="G300" s="355" t="s">
        <v>407</v>
      </c>
      <c r="H300" s="355" t="s">
        <v>447</v>
      </c>
      <c r="I300" s="357" t="s">
        <v>313</v>
      </c>
      <c r="J300" s="357" t="s">
        <v>996</v>
      </c>
      <c r="K300" s="426" t="str">
        <f>HYPERLINK("https://okcountyrecords.com/detail/roger+mills/1987-004839","OKCountyRecords: 1987-004839")</f>
        <v>OKCountyRecords: 1987-004839</v>
      </c>
    </row>
    <row r="301" spans="1:11" s="8" customFormat="1" hidden="1" x14ac:dyDescent="0.25">
      <c r="A301" s="355" t="s">
        <v>2099</v>
      </c>
      <c r="B301" s="355"/>
      <c r="C301" s="355" t="s">
        <v>114</v>
      </c>
      <c r="D301" s="355" t="s">
        <v>2100</v>
      </c>
      <c r="E301" s="460">
        <v>32009</v>
      </c>
      <c r="F301" s="356">
        <v>32009</v>
      </c>
      <c r="G301" s="355" t="s">
        <v>445</v>
      </c>
      <c r="H301" s="355" t="s">
        <v>2101</v>
      </c>
      <c r="I301" s="357" t="s">
        <v>242</v>
      </c>
      <c r="J301" s="357" t="s">
        <v>996</v>
      </c>
      <c r="K301" s="426" t="str">
        <f>HYPERLINK("https://okcountyrecords.com/detail/roger+mills/1987-005035","OKCountyRecords: 1987-005035")</f>
        <v>OKCountyRecords: 1987-005035</v>
      </c>
    </row>
    <row r="302" spans="1:11" s="8" customFormat="1" hidden="1" x14ac:dyDescent="0.25">
      <c r="A302" s="355" t="s">
        <v>2102</v>
      </c>
      <c r="B302" s="355"/>
      <c r="C302" s="355" t="s">
        <v>114</v>
      </c>
      <c r="D302" s="355" t="s">
        <v>2103</v>
      </c>
      <c r="E302" s="460">
        <v>32009</v>
      </c>
      <c r="F302" s="356">
        <v>32009</v>
      </c>
      <c r="G302" s="355" t="s">
        <v>445</v>
      </c>
      <c r="H302" s="355" t="s">
        <v>2101</v>
      </c>
      <c r="I302" s="357" t="s">
        <v>242</v>
      </c>
      <c r="J302" s="357" t="s">
        <v>996</v>
      </c>
      <c r="K302" s="426" t="str">
        <f>HYPERLINK("https://okcountyrecords.com/detail/roger+mills/1987-005036","OKCountyRecords: 1987-005036")</f>
        <v>OKCountyRecords: 1987-005036</v>
      </c>
    </row>
    <row r="303" spans="1:11" s="8" customFormat="1" hidden="1" x14ac:dyDescent="0.25">
      <c r="A303" s="355" t="s">
        <v>2104</v>
      </c>
      <c r="B303" s="355"/>
      <c r="C303" s="355" t="s">
        <v>309</v>
      </c>
      <c r="D303" s="355" t="s">
        <v>2105</v>
      </c>
      <c r="E303" s="460">
        <v>32010</v>
      </c>
      <c r="F303" s="356">
        <v>32010</v>
      </c>
      <c r="G303" s="355" t="s">
        <v>446</v>
      </c>
      <c r="H303" s="355" t="s">
        <v>447</v>
      </c>
      <c r="I303" s="357" t="s">
        <v>313</v>
      </c>
      <c r="J303" s="357" t="s">
        <v>996</v>
      </c>
      <c r="K303" s="426" t="str">
        <f>HYPERLINK("https://okcountyrecords.com/detail/roger+mills/1987-005038","OKCountyRecords: 1987-005038")</f>
        <v>OKCountyRecords: 1987-005038</v>
      </c>
    </row>
    <row r="304" spans="1:11" s="592" customFormat="1" x14ac:dyDescent="0.25">
      <c r="A304" s="580" t="s">
        <v>2106</v>
      </c>
      <c r="B304" s="580"/>
      <c r="C304" s="580" t="s">
        <v>1623</v>
      </c>
      <c r="D304" s="580" t="s">
        <v>2107</v>
      </c>
      <c r="E304" s="582">
        <v>32031</v>
      </c>
      <c r="F304" s="582">
        <v>32031</v>
      </c>
      <c r="G304" s="580" t="s">
        <v>2108</v>
      </c>
      <c r="H304" s="580" t="s">
        <v>2109</v>
      </c>
      <c r="I304" s="581" t="s">
        <v>8793</v>
      </c>
      <c r="J304" s="581" t="s">
        <v>8794</v>
      </c>
      <c r="K304" s="584" t="str">
        <f>HYPERLINK("https://okcountyrecords.com/detail/roger+mills/1987-005625","OKCountyRecords: 1987-005625")</f>
        <v>OKCountyRecords: 1987-005625</v>
      </c>
    </row>
    <row r="305" spans="1:11" s="592" customFormat="1" x14ac:dyDescent="0.25">
      <c r="A305" s="580" t="s">
        <v>2110</v>
      </c>
      <c r="B305" s="580"/>
      <c r="C305" s="580" t="s">
        <v>1107</v>
      </c>
      <c r="D305" s="580" t="s">
        <v>2111</v>
      </c>
      <c r="E305" s="582">
        <v>32072</v>
      </c>
      <c r="F305" s="582">
        <v>32072</v>
      </c>
      <c r="G305" s="580" t="s">
        <v>2112</v>
      </c>
      <c r="H305" s="580" t="s">
        <v>1110</v>
      </c>
      <c r="I305" s="581" t="s">
        <v>8793</v>
      </c>
      <c r="J305" s="581" t="s">
        <v>8823</v>
      </c>
      <c r="K305" s="584" t="str">
        <f>HYPERLINK("https://okcountyrecords.com/detail/roger+mills/1987-006730","OKCountyRecords: 1987-006730")</f>
        <v>OKCountyRecords: 1987-006730</v>
      </c>
    </row>
    <row r="306" spans="1:11" s="592" customFormat="1" x14ac:dyDescent="0.25">
      <c r="A306" s="580" t="s">
        <v>2113</v>
      </c>
      <c r="B306" s="580"/>
      <c r="C306" s="580" t="s">
        <v>1623</v>
      </c>
      <c r="D306" s="580" t="s">
        <v>2114</v>
      </c>
      <c r="E306" s="582">
        <v>32072</v>
      </c>
      <c r="F306" s="582">
        <v>32072</v>
      </c>
      <c r="G306" s="580" t="s">
        <v>240</v>
      </c>
      <c r="H306" s="580" t="s">
        <v>2115</v>
      </c>
      <c r="I306" s="581" t="s">
        <v>8793</v>
      </c>
      <c r="J306" s="581" t="s">
        <v>8824</v>
      </c>
      <c r="K306" s="584" t="str">
        <f>HYPERLINK("https://okcountyrecords.com/detail/roger+mills/1987-006731","OKCountyRecords: 1987-006731")</f>
        <v>OKCountyRecords: 1987-006731</v>
      </c>
    </row>
    <row r="307" spans="1:11" s="592" customFormat="1" x14ac:dyDescent="0.25">
      <c r="A307" s="580" t="s">
        <v>2116</v>
      </c>
      <c r="B307" s="580"/>
      <c r="C307" s="580" t="s">
        <v>1623</v>
      </c>
      <c r="D307" s="580" t="s">
        <v>2117</v>
      </c>
      <c r="E307" s="582">
        <v>32072</v>
      </c>
      <c r="F307" s="582">
        <v>32072</v>
      </c>
      <c r="G307" s="580" t="s">
        <v>240</v>
      </c>
      <c r="H307" s="580" t="s">
        <v>2115</v>
      </c>
      <c r="I307" s="581" t="s">
        <v>8793</v>
      </c>
      <c r="J307" s="581" t="s">
        <v>8794</v>
      </c>
      <c r="K307" s="584" t="str">
        <f>HYPERLINK("https://okcountyrecords.com/detail/roger+mills/1987-006732","OKCountyRecords: 1987-006732")</f>
        <v>OKCountyRecords: 1987-006732</v>
      </c>
    </row>
    <row r="308" spans="1:11" s="8" customFormat="1" hidden="1" x14ac:dyDescent="0.25">
      <c r="A308" s="355" t="s">
        <v>2121</v>
      </c>
      <c r="B308" s="355"/>
      <c r="C308" s="355" t="s">
        <v>114</v>
      </c>
      <c r="D308" s="355" t="s">
        <v>2122</v>
      </c>
      <c r="E308" s="460">
        <v>32106</v>
      </c>
      <c r="F308" s="356">
        <v>32106</v>
      </c>
      <c r="G308" s="355" t="s">
        <v>2101</v>
      </c>
      <c r="H308" s="355" t="s">
        <v>2120</v>
      </c>
      <c r="I308" s="357" t="s">
        <v>242</v>
      </c>
      <c r="J308" s="357" t="s">
        <v>996</v>
      </c>
      <c r="K308" s="426" t="str">
        <f>HYPERLINK("https://okcountyrecords.com/detail/roger+mills/1987-007492","OKCountyRecords: 1987-007492")</f>
        <v>OKCountyRecords: 1987-007492</v>
      </c>
    </row>
    <row r="309" spans="1:11" s="8" customFormat="1" hidden="1" x14ac:dyDescent="0.25">
      <c r="A309" s="355" t="s">
        <v>2123</v>
      </c>
      <c r="B309" s="355"/>
      <c r="C309" s="355" t="s">
        <v>114</v>
      </c>
      <c r="D309" s="355" t="s">
        <v>2124</v>
      </c>
      <c r="E309" s="460">
        <v>32106</v>
      </c>
      <c r="F309" s="356">
        <v>32106</v>
      </c>
      <c r="G309" s="355" t="s">
        <v>2120</v>
      </c>
      <c r="H309" s="355" t="s">
        <v>2125</v>
      </c>
      <c r="I309" s="357" t="s">
        <v>242</v>
      </c>
      <c r="J309" s="357" t="s">
        <v>996</v>
      </c>
      <c r="K309" s="426" t="str">
        <f>HYPERLINK("https://okcountyrecords.com/detail/roger+mills/1987-007493","OKCountyRecords: 1987-007493")</f>
        <v>OKCountyRecords: 1987-007493</v>
      </c>
    </row>
    <row r="310" spans="1:11" s="8" customFormat="1" hidden="1" x14ac:dyDescent="0.25">
      <c r="A310" s="355" t="s">
        <v>2118</v>
      </c>
      <c r="B310" s="355"/>
      <c r="C310" s="355" t="s">
        <v>114</v>
      </c>
      <c r="D310" s="355" t="s">
        <v>2119</v>
      </c>
      <c r="E310" s="460">
        <v>32106</v>
      </c>
      <c r="F310" s="356">
        <v>32106</v>
      </c>
      <c r="G310" s="355" t="s">
        <v>2101</v>
      </c>
      <c r="H310" s="355" t="s">
        <v>2120</v>
      </c>
      <c r="I310" s="357" t="s">
        <v>242</v>
      </c>
      <c r="J310" s="357" t="s">
        <v>996</v>
      </c>
      <c r="K310" s="426" t="str">
        <f>HYPERLINK("https://okcountyrecords.com/detail/roger+mills/1987-007491","OKCountyRecords: 1987-007491")</f>
        <v>OKCountyRecords: 1987-007491</v>
      </c>
    </row>
    <row r="311" spans="1:11" s="592" customFormat="1" x14ac:dyDescent="0.25">
      <c r="A311" s="580" t="s">
        <v>2126</v>
      </c>
      <c r="B311" s="580"/>
      <c r="C311" s="580" t="s">
        <v>1623</v>
      </c>
      <c r="D311" s="580" t="s">
        <v>2127</v>
      </c>
      <c r="E311" s="582">
        <v>32118</v>
      </c>
      <c r="F311" s="582">
        <v>32118</v>
      </c>
      <c r="G311" s="580" t="s">
        <v>394</v>
      </c>
      <c r="H311" s="580" t="s">
        <v>433</v>
      </c>
      <c r="I311" s="581" t="s">
        <v>8793</v>
      </c>
      <c r="J311" s="581" t="s">
        <v>8797</v>
      </c>
      <c r="K311" s="584" t="str">
        <f>HYPERLINK("https://okcountyrecords.com/detail/roger+mills/1987-007680","OKCountyRecords: 1987-007680")</f>
        <v>OKCountyRecords: 1987-007680</v>
      </c>
    </row>
    <row r="312" spans="1:11" s="8" customFormat="1" hidden="1" x14ac:dyDescent="0.25">
      <c r="A312" s="355" t="s">
        <v>2128</v>
      </c>
      <c r="B312" s="355"/>
      <c r="C312" s="355" t="s">
        <v>309</v>
      </c>
      <c r="D312" s="355" t="s">
        <v>2129</v>
      </c>
      <c r="E312" s="460">
        <v>32129</v>
      </c>
      <c r="F312" s="356">
        <v>32129</v>
      </c>
      <c r="G312" s="355" t="s">
        <v>446</v>
      </c>
      <c r="H312" s="355" t="s">
        <v>445</v>
      </c>
      <c r="I312" s="357" t="s">
        <v>313</v>
      </c>
      <c r="J312" s="357" t="s">
        <v>996</v>
      </c>
      <c r="K312" s="426" t="str">
        <f>HYPERLINK("https://okcountyrecords.com/detail/roger+mills/1987-007920","OKCountyRecords: 1987-007920")</f>
        <v>OKCountyRecords: 1987-007920</v>
      </c>
    </row>
    <row r="313" spans="1:11" s="8" customFormat="1" ht="25.5" hidden="1" x14ac:dyDescent="0.25">
      <c r="A313" s="355" t="s">
        <v>2130</v>
      </c>
      <c r="B313" s="355"/>
      <c r="C313" s="355" t="s">
        <v>309</v>
      </c>
      <c r="D313" s="355" t="s">
        <v>2131</v>
      </c>
      <c r="E313" s="460">
        <v>32155</v>
      </c>
      <c r="F313" s="356">
        <v>32155</v>
      </c>
      <c r="G313" s="357" t="s">
        <v>413</v>
      </c>
      <c r="H313" s="355" t="s">
        <v>448</v>
      </c>
      <c r="I313" s="357" t="s">
        <v>313</v>
      </c>
      <c r="J313" s="357" t="s">
        <v>996</v>
      </c>
      <c r="K313" s="426" t="str">
        <f>HYPERLINK("https://okcountyrecords.com/detail/roger+mills/1988-000257","OKCountyRecords: 1988-000257")</f>
        <v>OKCountyRecords: 1988-000257</v>
      </c>
    </row>
    <row r="314" spans="1:11" s="592" customFormat="1" x14ac:dyDescent="0.25">
      <c r="A314" s="580" t="s">
        <v>2132</v>
      </c>
      <c r="B314" s="580"/>
      <c r="C314" s="580" t="s">
        <v>1623</v>
      </c>
      <c r="D314" s="580" t="s">
        <v>2133</v>
      </c>
      <c r="E314" s="582">
        <v>32177</v>
      </c>
      <c r="F314" s="582">
        <v>32177</v>
      </c>
      <c r="G314" s="580" t="s">
        <v>1775</v>
      </c>
      <c r="H314" s="580" t="s">
        <v>2134</v>
      </c>
      <c r="I314" s="581" t="s">
        <v>1980</v>
      </c>
      <c r="J314" s="581" t="s">
        <v>973</v>
      </c>
      <c r="K314" s="584" t="str">
        <f>HYPERLINK("https://okcountyrecords.com/detail/roger+mills/1988-000762","OKCountyRecords: 1988-000762")</f>
        <v>OKCountyRecords: 1988-000762</v>
      </c>
    </row>
    <row r="315" spans="1:11" s="592" customFormat="1" x14ac:dyDescent="0.25">
      <c r="A315" s="580" t="s">
        <v>2137</v>
      </c>
      <c r="B315" s="580"/>
      <c r="C315" s="581" t="s">
        <v>8825</v>
      </c>
      <c r="D315" s="580" t="s">
        <v>2138</v>
      </c>
      <c r="E315" s="582">
        <v>32216</v>
      </c>
      <c r="F315" s="582">
        <v>32329</v>
      </c>
      <c r="G315" s="581" t="s">
        <v>5714</v>
      </c>
      <c r="H315" s="581" t="s">
        <v>8826</v>
      </c>
      <c r="I315" s="580" t="s">
        <v>2140</v>
      </c>
      <c r="J315" s="581" t="s">
        <v>8827</v>
      </c>
      <c r="K315" s="584" t="str">
        <f>HYPERLINK("https://okcountyrecords.com/detail/roger+mills/1988-004185","OKCountyRecords: 1988-004185")</f>
        <v>OKCountyRecords: 1988-004185</v>
      </c>
    </row>
    <row r="316" spans="1:11" s="593" customFormat="1" x14ac:dyDescent="0.25">
      <c r="A316" s="586" t="s">
        <v>2135</v>
      </c>
      <c r="B316" s="586"/>
      <c r="C316" s="587" t="s">
        <v>2430</v>
      </c>
      <c r="D316" s="586" t="s">
        <v>2136</v>
      </c>
      <c r="E316" s="588">
        <v>32255</v>
      </c>
      <c r="F316" s="588">
        <v>32255</v>
      </c>
      <c r="G316" s="587" t="s">
        <v>8830</v>
      </c>
      <c r="H316" s="586" t="s">
        <v>436</v>
      </c>
      <c r="I316" s="587" t="s">
        <v>8829</v>
      </c>
      <c r="J316" s="587" t="s">
        <v>8828</v>
      </c>
      <c r="K316" s="589" t="str">
        <f>HYPERLINK("https://okcountyrecords.com/detail/roger+mills/1988-002747","OKCountyRecords: 1988-002747")</f>
        <v>OKCountyRecords: 1988-002747</v>
      </c>
    </row>
    <row r="317" spans="1:11" s="8" customFormat="1" hidden="1" x14ac:dyDescent="0.25">
      <c r="A317" s="355" t="s">
        <v>2141</v>
      </c>
      <c r="B317" s="355"/>
      <c r="C317" s="355" t="s">
        <v>309</v>
      </c>
      <c r="D317" s="355" t="s">
        <v>2142</v>
      </c>
      <c r="E317" s="460">
        <v>32335</v>
      </c>
      <c r="F317" s="356">
        <v>32335</v>
      </c>
      <c r="G317" s="355" t="s">
        <v>420</v>
      </c>
      <c r="H317" s="355" t="s">
        <v>925</v>
      </c>
      <c r="I317" s="357" t="s">
        <v>313</v>
      </c>
      <c r="J317" s="357" t="s">
        <v>996</v>
      </c>
      <c r="K317" s="426" t="str">
        <f>HYPERLINK("https://okcountyrecords.com/detail/roger+mills/1988-004266","OKCountyRecords: 1988-004266")</f>
        <v>OKCountyRecords: 1988-004266</v>
      </c>
    </row>
    <row r="318" spans="1:11" s="8" customFormat="1" hidden="1" x14ac:dyDescent="0.25">
      <c r="A318" s="355" t="s">
        <v>2143</v>
      </c>
      <c r="B318" s="355"/>
      <c r="C318" s="355" t="s">
        <v>309</v>
      </c>
      <c r="D318" s="355" t="s">
        <v>2144</v>
      </c>
      <c r="E318" s="460">
        <v>32335</v>
      </c>
      <c r="F318" s="356">
        <v>32335</v>
      </c>
      <c r="G318" s="355" t="s">
        <v>449</v>
      </c>
      <c r="H318" s="355" t="s">
        <v>923</v>
      </c>
      <c r="I318" s="357" t="s">
        <v>313</v>
      </c>
      <c r="J318" s="357" t="s">
        <v>996</v>
      </c>
      <c r="K318" s="426" t="str">
        <f>HYPERLINK("https://okcountyrecords.com/detail/roger+mills/1988-004268","OKCountyRecords: 1988-004268")</f>
        <v>OKCountyRecords: 1988-004268</v>
      </c>
    </row>
    <row r="319" spans="1:11" s="8" customFormat="1" ht="38.25" hidden="1" x14ac:dyDescent="0.25">
      <c r="A319" s="355" t="s">
        <v>2145</v>
      </c>
      <c r="B319" s="355"/>
      <c r="C319" s="355" t="s">
        <v>309</v>
      </c>
      <c r="D319" s="355" t="s">
        <v>2146</v>
      </c>
      <c r="E319" s="460">
        <v>32342</v>
      </c>
      <c r="F319" s="356">
        <v>32342</v>
      </c>
      <c r="G319" s="357" t="s">
        <v>2147</v>
      </c>
      <c r="H319" s="355" t="s">
        <v>923</v>
      </c>
      <c r="I319" s="357" t="s">
        <v>313</v>
      </c>
      <c r="J319" s="357" t="s">
        <v>996</v>
      </c>
      <c r="K319" s="426" t="str">
        <f>HYPERLINK("https://okcountyrecords.com/detail/roger+mills/1988-004401","OKCountyRecords: 1988-004401")</f>
        <v>OKCountyRecords: 1988-004401</v>
      </c>
    </row>
    <row r="320" spans="1:11" s="592" customFormat="1" x14ac:dyDescent="0.25">
      <c r="A320" s="580" t="s">
        <v>2148</v>
      </c>
      <c r="B320" s="580"/>
      <c r="C320" s="580" t="s">
        <v>1623</v>
      </c>
      <c r="D320" s="580" t="s">
        <v>2149</v>
      </c>
      <c r="E320" s="582">
        <v>32344</v>
      </c>
      <c r="F320" s="582">
        <v>32344</v>
      </c>
      <c r="G320" s="580" t="s">
        <v>394</v>
      </c>
      <c r="H320" s="580" t="s">
        <v>589</v>
      </c>
      <c r="I320" s="581" t="s">
        <v>8793</v>
      </c>
      <c r="J320" s="581" t="s">
        <v>8800</v>
      </c>
      <c r="K320" s="584" t="str">
        <f>HYPERLINK("https://okcountyrecords.com/detail/roger+mills/1988-004480","OKCountyRecords: 1988-004480")</f>
        <v>OKCountyRecords: 1988-004480</v>
      </c>
    </row>
    <row r="321" spans="1:11" s="592" customFormat="1" x14ac:dyDescent="0.25">
      <c r="A321" s="580" t="s">
        <v>2150</v>
      </c>
      <c r="B321" s="580"/>
      <c r="C321" s="580" t="s">
        <v>1623</v>
      </c>
      <c r="D321" s="580" t="s">
        <v>2151</v>
      </c>
      <c r="E321" s="582">
        <v>32344</v>
      </c>
      <c r="F321" s="582">
        <v>32344</v>
      </c>
      <c r="G321" s="580" t="s">
        <v>394</v>
      </c>
      <c r="H321" s="580" t="s">
        <v>2152</v>
      </c>
      <c r="I321" s="581" t="s">
        <v>8793</v>
      </c>
      <c r="J321" s="581" t="s">
        <v>8800</v>
      </c>
      <c r="K321" s="584" t="str">
        <f>HYPERLINK("https://okcountyrecords.com/detail/roger+mills/1988-004481","OKCountyRecords: 1988-004481")</f>
        <v>OKCountyRecords: 1988-004481</v>
      </c>
    </row>
    <row r="322" spans="1:11" s="592" customFormat="1" x14ac:dyDescent="0.25">
      <c r="A322" s="580" t="s">
        <v>2153</v>
      </c>
      <c r="B322" s="580"/>
      <c r="C322" s="580" t="s">
        <v>1623</v>
      </c>
      <c r="D322" s="580" t="s">
        <v>2154</v>
      </c>
      <c r="E322" s="582">
        <v>32344</v>
      </c>
      <c r="F322" s="582">
        <v>32344</v>
      </c>
      <c r="G322" s="580" t="s">
        <v>394</v>
      </c>
      <c r="H322" s="580" t="s">
        <v>591</v>
      </c>
      <c r="I322" s="581" t="s">
        <v>8793</v>
      </c>
      <c r="J322" s="581" t="s">
        <v>8800</v>
      </c>
      <c r="K322" s="584" t="str">
        <f>HYPERLINK("https://okcountyrecords.com/detail/roger+mills/1988-004482","OKCountyRecords: 1988-004482")</f>
        <v>OKCountyRecords: 1988-004482</v>
      </c>
    </row>
    <row r="323" spans="1:11" s="592" customFormat="1" x14ac:dyDescent="0.25">
      <c r="A323" s="580" t="s">
        <v>2155</v>
      </c>
      <c r="B323" s="580"/>
      <c r="C323" s="580" t="s">
        <v>1623</v>
      </c>
      <c r="D323" s="580" t="s">
        <v>2156</v>
      </c>
      <c r="E323" s="582">
        <v>32344</v>
      </c>
      <c r="F323" s="582">
        <v>32344</v>
      </c>
      <c r="G323" s="580" t="s">
        <v>394</v>
      </c>
      <c r="H323" s="580" t="s">
        <v>2157</v>
      </c>
      <c r="I323" s="581" t="s">
        <v>8793</v>
      </c>
      <c r="J323" s="581" t="s">
        <v>8800</v>
      </c>
      <c r="K323" s="584" t="str">
        <f>HYPERLINK("https://okcountyrecords.com/detail/roger+mills/1988-004483","OKCountyRecords: 1988-004483")</f>
        <v>OKCountyRecords: 1988-004483</v>
      </c>
    </row>
    <row r="324" spans="1:11" s="592" customFormat="1" ht="51" x14ac:dyDescent="0.25">
      <c r="A324" s="580" t="s">
        <v>2158</v>
      </c>
      <c r="B324" s="580"/>
      <c r="C324" s="581" t="s">
        <v>8712</v>
      </c>
      <c r="D324" s="580" t="s">
        <v>2159</v>
      </c>
      <c r="E324" s="582">
        <v>32350</v>
      </c>
      <c r="F324" s="582">
        <v>32350</v>
      </c>
      <c r="G324" s="583" t="s">
        <v>8831</v>
      </c>
      <c r="H324" s="581" t="s">
        <v>8832</v>
      </c>
      <c r="I324" s="581" t="s">
        <v>2526</v>
      </c>
      <c r="J324" s="581" t="s">
        <v>8833</v>
      </c>
      <c r="K324" s="584" t="str">
        <f>HYPERLINK("https://okcountyrecords.com/detail/roger+mills/1988-004635","OKCountyRecords: 1988-004635")</f>
        <v>OKCountyRecords: 1988-004635</v>
      </c>
    </row>
    <row r="325" spans="1:11" s="8" customFormat="1" hidden="1" x14ac:dyDescent="0.25">
      <c r="A325" s="355" t="s">
        <v>2162</v>
      </c>
      <c r="B325" s="355"/>
      <c r="C325" s="355" t="s">
        <v>993</v>
      </c>
      <c r="D325" s="355" t="s">
        <v>2163</v>
      </c>
      <c r="E325" s="460">
        <v>32350</v>
      </c>
      <c r="F325" s="356">
        <v>32350</v>
      </c>
      <c r="G325" s="355" t="s">
        <v>2164</v>
      </c>
      <c r="H325" s="355" t="s">
        <v>2165</v>
      </c>
      <c r="I325" s="357" t="s">
        <v>1012</v>
      </c>
      <c r="J325" s="357" t="s">
        <v>996</v>
      </c>
      <c r="K325" s="426" t="str">
        <f>HYPERLINK("https://okcountyrecords.com/detail/roger+mills/1988-004637","OKCountyRecords: 1988-004637")</f>
        <v>OKCountyRecords: 1988-004637</v>
      </c>
    </row>
    <row r="326" spans="1:11" s="8" customFormat="1" hidden="1" x14ac:dyDescent="0.25">
      <c r="A326" s="355" t="s">
        <v>2166</v>
      </c>
      <c r="B326" s="355"/>
      <c r="C326" s="355" t="s">
        <v>993</v>
      </c>
      <c r="D326" s="355" t="s">
        <v>2167</v>
      </c>
      <c r="E326" s="460">
        <v>32398</v>
      </c>
      <c r="F326" s="356">
        <v>32398</v>
      </c>
      <c r="G326" s="355" t="s">
        <v>383</v>
      </c>
      <c r="H326" s="355" t="s">
        <v>407</v>
      </c>
      <c r="I326" s="357" t="s">
        <v>1012</v>
      </c>
      <c r="J326" s="357" t="s">
        <v>996</v>
      </c>
      <c r="K326" s="426" t="str">
        <f>HYPERLINK("https://okcountyrecords.com/detail/roger+mills/1988-005491","OKCountyRecords: 1988-005491")</f>
        <v>OKCountyRecords: 1988-005491</v>
      </c>
    </row>
    <row r="327" spans="1:11" s="592" customFormat="1" x14ac:dyDescent="0.25">
      <c r="A327" s="580" t="s">
        <v>2168</v>
      </c>
      <c r="B327" s="580"/>
      <c r="C327" s="580" t="s">
        <v>1623</v>
      </c>
      <c r="D327" s="580" t="s">
        <v>2169</v>
      </c>
      <c r="E327" s="582">
        <v>32405</v>
      </c>
      <c r="F327" s="582">
        <v>32405</v>
      </c>
      <c r="G327" s="580" t="s">
        <v>2170</v>
      </c>
      <c r="H327" s="581" t="s">
        <v>5725</v>
      </c>
      <c r="I327" s="581" t="s">
        <v>8808</v>
      </c>
      <c r="J327" s="581" t="s">
        <v>973</v>
      </c>
      <c r="K327" s="584" t="str">
        <f>HYPERLINK("https://okcountyrecords.com/detail/roger+mills/1988-005620","OKCountyRecords: 1988-005620")</f>
        <v>OKCountyRecords: 1988-005620</v>
      </c>
    </row>
    <row r="328" spans="1:11" s="592" customFormat="1" x14ac:dyDescent="0.25">
      <c r="A328" s="580" t="s">
        <v>2172</v>
      </c>
      <c r="B328" s="580"/>
      <c r="C328" s="580" t="s">
        <v>1623</v>
      </c>
      <c r="D328" s="580" t="s">
        <v>2173</v>
      </c>
      <c r="E328" s="582">
        <v>32449</v>
      </c>
      <c r="F328" s="582">
        <v>32449</v>
      </c>
      <c r="G328" s="580" t="s">
        <v>397</v>
      </c>
      <c r="H328" s="581" t="s">
        <v>8835</v>
      </c>
      <c r="I328" s="581" t="s">
        <v>8751</v>
      </c>
      <c r="J328" s="581" t="s">
        <v>8834</v>
      </c>
      <c r="K328" s="584" t="str">
        <f>HYPERLINK("https://okcountyrecords.com/detail/roger+mills/1988-006565","OKCountyRecords: 1988-006565")</f>
        <v>OKCountyRecords: 1988-006565</v>
      </c>
    </row>
    <row r="329" spans="1:11" s="8" customFormat="1" hidden="1" x14ac:dyDescent="0.25">
      <c r="A329" s="355" t="s">
        <v>2174</v>
      </c>
      <c r="B329" s="355"/>
      <c r="C329" s="355" t="s">
        <v>309</v>
      </c>
      <c r="D329" s="355" t="s">
        <v>2175</v>
      </c>
      <c r="E329" s="460">
        <v>32525</v>
      </c>
      <c r="F329" s="356">
        <v>32525</v>
      </c>
      <c r="G329" s="355" t="s">
        <v>454</v>
      </c>
      <c r="H329" s="355" t="s">
        <v>928</v>
      </c>
      <c r="I329" s="357" t="s">
        <v>313</v>
      </c>
      <c r="J329" s="357" t="s">
        <v>996</v>
      </c>
      <c r="K329" s="426" t="str">
        <f>HYPERLINK("https://okcountyrecords.com/detail/roger+mills/1989-000319","OKCountyRecords: 1989-000319")</f>
        <v>OKCountyRecords: 1989-000319</v>
      </c>
    </row>
    <row r="330" spans="1:11" s="8" customFormat="1" hidden="1" x14ac:dyDescent="0.25">
      <c r="A330" s="355" t="s">
        <v>2176</v>
      </c>
      <c r="B330" s="355"/>
      <c r="C330" s="355" t="s">
        <v>309</v>
      </c>
      <c r="D330" s="355" t="s">
        <v>2177</v>
      </c>
      <c r="E330" s="460">
        <v>32525</v>
      </c>
      <c r="F330" s="356">
        <v>32525</v>
      </c>
      <c r="G330" s="355" t="s">
        <v>1941</v>
      </c>
      <c r="H330" s="355" t="s">
        <v>928</v>
      </c>
      <c r="I330" s="357" t="s">
        <v>313</v>
      </c>
      <c r="J330" s="357" t="s">
        <v>996</v>
      </c>
      <c r="K330" s="426" t="str">
        <f>HYPERLINK("https://okcountyrecords.com/detail/roger+mills/1989-000320","OKCountyRecords: 1989-000320")</f>
        <v>OKCountyRecords: 1989-000320</v>
      </c>
    </row>
    <row r="331" spans="1:11" s="8" customFormat="1" hidden="1" x14ac:dyDescent="0.25">
      <c r="A331" s="355" t="s">
        <v>2178</v>
      </c>
      <c r="B331" s="355"/>
      <c r="C331" s="355" t="s">
        <v>309</v>
      </c>
      <c r="D331" s="355" t="s">
        <v>2179</v>
      </c>
      <c r="E331" s="460">
        <v>32525</v>
      </c>
      <c r="F331" s="356">
        <v>32525</v>
      </c>
      <c r="G331" s="355" t="s">
        <v>1941</v>
      </c>
      <c r="H331" s="355" t="s">
        <v>928</v>
      </c>
      <c r="I331" s="357" t="s">
        <v>313</v>
      </c>
      <c r="J331" s="357" t="s">
        <v>996</v>
      </c>
      <c r="K331" s="426" t="str">
        <f>HYPERLINK("https://okcountyrecords.com/detail/roger+mills/1989-000321","OKCountyRecords: 1989-000321")</f>
        <v>OKCountyRecords: 1989-000321</v>
      </c>
    </row>
    <row r="332" spans="1:11" s="8" customFormat="1" hidden="1" x14ac:dyDescent="0.25">
      <c r="A332" s="355" t="s">
        <v>2180</v>
      </c>
      <c r="B332" s="355"/>
      <c r="C332" s="355" t="s">
        <v>309</v>
      </c>
      <c r="D332" s="355" t="s">
        <v>2181</v>
      </c>
      <c r="E332" s="460">
        <v>32525</v>
      </c>
      <c r="F332" s="356">
        <v>32525</v>
      </c>
      <c r="G332" s="355" t="s">
        <v>395</v>
      </c>
      <c r="H332" s="355" t="s">
        <v>928</v>
      </c>
      <c r="I332" s="357" t="s">
        <v>313</v>
      </c>
      <c r="J332" s="357" t="s">
        <v>996</v>
      </c>
      <c r="K332" s="426" t="str">
        <f>HYPERLINK("https://okcountyrecords.com/detail/roger+mills/1989-000322","OKCountyRecords: 1989-000322")</f>
        <v>OKCountyRecords: 1989-000322</v>
      </c>
    </row>
    <row r="333" spans="1:11" s="8" customFormat="1" hidden="1" x14ac:dyDescent="0.25">
      <c r="A333" s="355" t="s">
        <v>2182</v>
      </c>
      <c r="B333" s="355"/>
      <c r="C333" s="355" t="s">
        <v>309</v>
      </c>
      <c r="D333" s="355" t="s">
        <v>2183</v>
      </c>
      <c r="E333" s="460">
        <v>32525</v>
      </c>
      <c r="F333" s="356">
        <v>32525</v>
      </c>
      <c r="G333" s="355" t="s">
        <v>460</v>
      </c>
      <c r="H333" s="355" t="s">
        <v>928</v>
      </c>
      <c r="I333" s="357" t="s">
        <v>313</v>
      </c>
      <c r="J333" s="357" t="s">
        <v>996</v>
      </c>
      <c r="K333" s="426" t="str">
        <f>HYPERLINK("https://okcountyrecords.com/detail/roger+mills/1989-000323","OKCountyRecords: 1989-000323")</f>
        <v>OKCountyRecords: 1989-000323</v>
      </c>
    </row>
    <row r="334" spans="1:11" s="8" customFormat="1" x14ac:dyDescent="0.25">
      <c r="A334" s="360" t="s">
        <v>2184</v>
      </c>
      <c r="B334" s="360"/>
      <c r="C334" s="360" t="s">
        <v>1091</v>
      </c>
      <c r="D334" s="360" t="s">
        <v>2185</v>
      </c>
      <c r="E334" s="460">
        <v>32531</v>
      </c>
      <c r="F334" s="361">
        <v>32531</v>
      </c>
      <c r="G334" s="360" t="s">
        <v>2186</v>
      </c>
      <c r="H334" s="360" t="s">
        <v>1110</v>
      </c>
      <c r="I334" s="360" t="s">
        <v>1012</v>
      </c>
      <c r="J334" s="360" t="s">
        <v>1095</v>
      </c>
      <c r="K334" s="427" t="str">
        <f>HYPERLINK("https://okcountyrecords.com/detail/roger+mills/1989-000424","OKCountyRecords: 1989-000424")</f>
        <v>OKCountyRecords: 1989-000424</v>
      </c>
    </row>
    <row r="335" spans="1:11" s="592" customFormat="1" x14ac:dyDescent="0.25">
      <c r="A335" s="580" t="s">
        <v>2200</v>
      </c>
      <c r="B335" s="580"/>
      <c r="C335" s="580" t="s">
        <v>1107</v>
      </c>
      <c r="D335" s="580" t="s">
        <v>2201</v>
      </c>
      <c r="E335" s="582">
        <v>32531</v>
      </c>
      <c r="F335" s="582">
        <v>32601</v>
      </c>
      <c r="G335" s="580" t="s">
        <v>2202</v>
      </c>
      <c r="H335" s="580" t="s">
        <v>1110</v>
      </c>
      <c r="I335" s="580" t="s">
        <v>1003</v>
      </c>
      <c r="J335" s="581" t="s">
        <v>8836</v>
      </c>
      <c r="K335" s="584" t="str">
        <f>HYPERLINK("https://okcountyrecords.com/detail/roger+mills/1989-002065","OKCountyRecords: 1989-002065")</f>
        <v>OKCountyRecords: 1989-002065</v>
      </c>
    </row>
    <row r="336" spans="1:11" s="8" customFormat="1" hidden="1" x14ac:dyDescent="0.25">
      <c r="A336" s="355" t="s">
        <v>2187</v>
      </c>
      <c r="B336" s="355"/>
      <c r="C336" s="355" t="s">
        <v>309</v>
      </c>
      <c r="D336" s="355" t="s">
        <v>2188</v>
      </c>
      <c r="E336" s="460">
        <v>32560</v>
      </c>
      <c r="F336" s="356">
        <v>32560</v>
      </c>
      <c r="G336" s="355" t="s">
        <v>392</v>
      </c>
      <c r="H336" s="355" t="s">
        <v>928</v>
      </c>
      <c r="I336" s="357" t="s">
        <v>313</v>
      </c>
      <c r="J336" s="357" t="s">
        <v>996</v>
      </c>
      <c r="K336" s="426" t="str">
        <f>HYPERLINK("https://okcountyrecords.com/detail/roger+mills/1989-001061","OKCountyRecords: 1989-001061")</f>
        <v>OKCountyRecords: 1989-001061</v>
      </c>
    </row>
    <row r="337" spans="1:11" s="592" customFormat="1" x14ac:dyDescent="0.25">
      <c r="A337" s="580" t="s">
        <v>2189</v>
      </c>
      <c r="B337" s="580"/>
      <c r="C337" s="580" t="s">
        <v>1623</v>
      </c>
      <c r="D337" s="580" t="s">
        <v>2190</v>
      </c>
      <c r="E337" s="582">
        <v>32566</v>
      </c>
      <c r="F337" s="582">
        <v>32566</v>
      </c>
      <c r="G337" s="581" t="s">
        <v>465</v>
      </c>
      <c r="H337" s="580" t="s">
        <v>2191</v>
      </c>
      <c r="I337" s="581" t="s">
        <v>2526</v>
      </c>
      <c r="J337" s="581" t="s">
        <v>8837</v>
      </c>
      <c r="K337" s="584" t="str">
        <f>HYPERLINK("https://okcountyrecords.com/detail/roger+mills/1989-001220","OKCountyRecords: 1989-001220")</f>
        <v>OKCountyRecords: 1989-001220</v>
      </c>
    </row>
    <row r="338" spans="1:11" s="592" customFormat="1" x14ac:dyDescent="0.25">
      <c r="A338" s="580" t="s">
        <v>2192</v>
      </c>
      <c r="B338" s="580"/>
      <c r="C338" s="580" t="s">
        <v>1274</v>
      </c>
      <c r="D338" s="580" t="s">
        <v>2193</v>
      </c>
      <c r="E338" s="582">
        <v>32579</v>
      </c>
      <c r="F338" s="582">
        <v>32579</v>
      </c>
      <c r="G338" s="581" t="s">
        <v>8838</v>
      </c>
      <c r="H338" s="580" t="s">
        <v>2195</v>
      </c>
      <c r="I338" s="581" t="s">
        <v>2526</v>
      </c>
      <c r="J338" s="581" t="s">
        <v>8833</v>
      </c>
      <c r="K338" s="584" t="str">
        <f>HYPERLINK("https://okcountyrecords.com/detail/roger+mills/1989-001559","OKCountyRecords: 1989-001559")</f>
        <v>OKCountyRecords: 1989-001559</v>
      </c>
    </row>
    <row r="339" spans="1:11" s="8" customFormat="1" ht="89.25" hidden="1" x14ac:dyDescent="0.25">
      <c r="A339" s="355" t="s">
        <v>2196</v>
      </c>
      <c r="B339" s="355"/>
      <c r="C339" s="355" t="s">
        <v>993</v>
      </c>
      <c r="D339" s="355" t="s">
        <v>2197</v>
      </c>
      <c r="E339" s="460">
        <v>32590</v>
      </c>
      <c r="F339" s="356">
        <v>32590</v>
      </c>
      <c r="G339" s="355" t="s">
        <v>2198</v>
      </c>
      <c r="H339" s="357" t="s">
        <v>2199</v>
      </c>
      <c r="I339" s="357" t="s">
        <v>1012</v>
      </c>
      <c r="J339" s="357" t="s">
        <v>996</v>
      </c>
      <c r="K339" s="426" t="str">
        <f>HYPERLINK("https://okcountyrecords.com/detail/roger+mills/1989-001842","OKCountyRecords: 1989-001842")</f>
        <v>OKCountyRecords: 1989-001842</v>
      </c>
    </row>
    <row r="340" spans="1:11" s="596" customFormat="1" x14ac:dyDescent="0.25">
      <c r="A340" s="580" t="s">
        <v>2203</v>
      </c>
      <c r="B340" s="580"/>
      <c r="C340" s="580" t="s">
        <v>1623</v>
      </c>
      <c r="D340" s="580" t="s">
        <v>2204</v>
      </c>
      <c r="E340" s="582">
        <v>32612</v>
      </c>
      <c r="F340" s="582">
        <v>32612</v>
      </c>
      <c r="G340" s="580" t="s">
        <v>394</v>
      </c>
      <c r="H340" s="580" t="s">
        <v>589</v>
      </c>
      <c r="I340" s="581" t="s">
        <v>8793</v>
      </c>
      <c r="J340" s="581" t="s">
        <v>8797</v>
      </c>
      <c r="K340" s="584" t="str">
        <f>HYPERLINK("https://okcountyrecords.com/detail/roger+mills/1989-002320","OKCountyRecords: 1989-002320")</f>
        <v>OKCountyRecords: 1989-002320</v>
      </c>
    </row>
    <row r="341" spans="1:11" s="596" customFormat="1" x14ac:dyDescent="0.25">
      <c r="A341" s="580" t="s">
        <v>2205</v>
      </c>
      <c r="B341" s="580"/>
      <c r="C341" s="580" t="s">
        <v>1623</v>
      </c>
      <c r="D341" s="580" t="s">
        <v>2206</v>
      </c>
      <c r="E341" s="582">
        <v>32612</v>
      </c>
      <c r="F341" s="582">
        <v>32612</v>
      </c>
      <c r="G341" s="580" t="s">
        <v>394</v>
      </c>
      <c r="H341" s="580" t="s">
        <v>591</v>
      </c>
      <c r="I341" s="581" t="s">
        <v>8793</v>
      </c>
      <c r="J341" s="581" t="s">
        <v>8797</v>
      </c>
      <c r="K341" s="584" t="str">
        <f>HYPERLINK("https://okcountyrecords.com/detail/roger+mills/1989-002321","OKCountyRecords: 1989-002321")</f>
        <v>OKCountyRecords: 1989-002321</v>
      </c>
    </row>
    <row r="342" spans="1:11" s="596" customFormat="1" x14ac:dyDescent="0.25">
      <c r="A342" s="580" t="s">
        <v>2207</v>
      </c>
      <c r="B342" s="580"/>
      <c r="C342" s="580" t="s">
        <v>1623</v>
      </c>
      <c r="D342" s="580" t="s">
        <v>2208</v>
      </c>
      <c r="E342" s="582">
        <v>32612</v>
      </c>
      <c r="F342" s="582">
        <v>32612</v>
      </c>
      <c r="G342" s="580" t="s">
        <v>394</v>
      </c>
      <c r="H342" s="580" t="s">
        <v>2152</v>
      </c>
      <c r="I342" s="581" t="s">
        <v>8793</v>
      </c>
      <c r="J342" s="581" t="s">
        <v>8797</v>
      </c>
      <c r="K342" s="584" t="str">
        <f>HYPERLINK("https://okcountyrecords.com/detail/roger+mills/1989-002322","OKCountyRecords: 1989-002322")</f>
        <v>OKCountyRecords: 1989-002322</v>
      </c>
    </row>
    <row r="343" spans="1:11" s="596" customFormat="1" x14ac:dyDescent="0.25">
      <c r="A343" s="580" t="s">
        <v>2209</v>
      </c>
      <c r="B343" s="580"/>
      <c r="C343" s="580" t="s">
        <v>1623</v>
      </c>
      <c r="D343" s="580" t="s">
        <v>2210</v>
      </c>
      <c r="E343" s="582">
        <v>32612</v>
      </c>
      <c r="F343" s="582">
        <v>32612</v>
      </c>
      <c r="G343" s="580" t="s">
        <v>394</v>
      </c>
      <c r="H343" s="580" t="s">
        <v>2157</v>
      </c>
      <c r="I343" s="581" t="s">
        <v>8793</v>
      </c>
      <c r="J343" s="581" t="s">
        <v>8797</v>
      </c>
      <c r="K343" s="584" t="str">
        <f>HYPERLINK("https://okcountyrecords.com/detail/roger+mills/1989-002323","OKCountyRecords: 1989-002323")</f>
        <v>OKCountyRecords: 1989-002323</v>
      </c>
    </row>
    <row r="344" spans="1:11" s="8" customFormat="1" hidden="1" x14ac:dyDescent="0.25">
      <c r="A344" s="355" t="s">
        <v>2211</v>
      </c>
      <c r="B344" s="355"/>
      <c r="C344" s="355" t="s">
        <v>993</v>
      </c>
      <c r="D344" s="355" t="s">
        <v>2212</v>
      </c>
      <c r="E344" s="460">
        <v>32622</v>
      </c>
      <c r="F344" s="356">
        <v>32622</v>
      </c>
      <c r="G344" s="355" t="s">
        <v>383</v>
      </c>
      <c r="H344" s="355" t="s">
        <v>407</v>
      </c>
      <c r="I344" s="357" t="s">
        <v>242</v>
      </c>
      <c r="J344" s="357" t="s">
        <v>996</v>
      </c>
      <c r="K344" s="426" t="str">
        <f>HYPERLINK("https://okcountyrecords.com/detail/roger+mills/1989-002559","OKCountyRecords: 1989-002559")</f>
        <v>OKCountyRecords: 1989-002559</v>
      </c>
    </row>
    <row r="345" spans="1:11" s="8" customFormat="1" ht="25.5" hidden="1" x14ac:dyDescent="0.25">
      <c r="A345" s="355" t="s">
        <v>2213</v>
      </c>
      <c r="B345" s="355"/>
      <c r="C345" s="355" t="s">
        <v>309</v>
      </c>
      <c r="D345" s="355" t="s">
        <v>2214</v>
      </c>
      <c r="E345" s="460">
        <v>32653</v>
      </c>
      <c r="F345" s="356">
        <v>32653</v>
      </c>
      <c r="G345" s="357" t="s">
        <v>463</v>
      </c>
      <c r="H345" s="355" t="s">
        <v>928</v>
      </c>
      <c r="I345" s="357" t="s">
        <v>313</v>
      </c>
      <c r="J345" s="357" t="s">
        <v>996</v>
      </c>
      <c r="K345" s="426" t="str">
        <f>HYPERLINK("https://okcountyrecords.com/detail/roger+mills/1989-003258","OKCountyRecords: 1989-003258")</f>
        <v>OKCountyRecords: 1989-003258</v>
      </c>
    </row>
    <row r="346" spans="1:11" s="8" customFormat="1" hidden="1" x14ac:dyDescent="0.25">
      <c r="A346" s="355" t="s">
        <v>2215</v>
      </c>
      <c r="B346" s="355"/>
      <c r="C346" s="355" t="s">
        <v>114</v>
      </c>
      <c r="D346" s="355" t="s">
        <v>2216</v>
      </c>
      <c r="E346" s="460">
        <v>32674</v>
      </c>
      <c r="F346" s="356">
        <v>32674</v>
      </c>
      <c r="G346" s="355" t="s">
        <v>1766</v>
      </c>
      <c r="H346" s="355" t="s">
        <v>2217</v>
      </c>
      <c r="I346" s="357" t="s">
        <v>1012</v>
      </c>
      <c r="J346" s="357" t="s">
        <v>996</v>
      </c>
      <c r="K346" s="426" t="str">
        <f>HYPERLINK("https://okcountyrecords.com/detail/roger+mills/1989-003645","OKCountyRecords: 1989-003645")</f>
        <v>OKCountyRecords: 1989-003645</v>
      </c>
    </row>
    <row r="347" spans="1:11" s="8" customFormat="1" hidden="1" x14ac:dyDescent="0.25">
      <c r="A347" s="355" t="s">
        <v>2218</v>
      </c>
      <c r="B347" s="355"/>
      <c r="C347" s="355" t="s">
        <v>309</v>
      </c>
      <c r="D347" s="355" t="s">
        <v>2219</v>
      </c>
      <c r="E347" s="460">
        <v>32678</v>
      </c>
      <c r="F347" s="356">
        <v>32678</v>
      </c>
      <c r="G347" s="355" t="s">
        <v>465</v>
      </c>
      <c r="H347" s="355" t="s">
        <v>466</v>
      </c>
      <c r="I347" s="357" t="s">
        <v>308</v>
      </c>
      <c r="J347" s="357" t="s">
        <v>996</v>
      </c>
      <c r="K347" s="426" t="str">
        <f>HYPERLINK("https://okcountyrecords.com/detail/roger+mills/1989-003715","OKCountyRecords: 1989-003715")</f>
        <v>OKCountyRecords: 1989-003715</v>
      </c>
    </row>
    <row r="348" spans="1:11" s="596" customFormat="1" x14ac:dyDescent="0.25">
      <c r="A348" s="580" t="s">
        <v>2223</v>
      </c>
      <c r="B348" s="580"/>
      <c r="C348" s="580" t="s">
        <v>1623</v>
      </c>
      <c r="D348" s="580" t="s">
        <v>2224</v>
      </c>
      <c r="E348" s="582">
        <v>32706</v>
      </c>
      <c r="F348" s="582">
        <v>32706</v>
      </c>
      <c r="G348" s="581" t="s">
        <v>8839</v>
      </c>
      <c r="H348" s="580" t="s">
        <v>433</v>
      </c>
      <c r="I348" s="581" t="s">
        <v>8751</v>
      </c>
      <c r="J348" s="581" t="s">
        <v>8840</v>
      </c>
      <c r="K348" s="584" t="str">
        <f>HYPERLINK("https://okcountyrecords.com/detail/roger+mills/1989-004248","OKCountyRecords: 1989-004248")</f>
        <v>OKCountyRecords: 1989-004248</v>
      </c>
    </row>
    <row r="349" spans="1:11" s="596" customFormat="1" x14ac:dyDescent="0.25">
      <c r="A349" s="580" t="s">
        <v>2225</v>
      </c>
      <c r="B349" s="580"/>
      <c r="C349" s="580" t="s">
        <v>1623</v>
      </c>
      <c r="D349" s="580" t="s">
        <v>2226</v>
      </c>
      <c r="E349" s="582">
        <v>32706</v>
      </c>
      <c r="F349" s="582">
        <v>32706</v>
      </c>
      <c r="G349" s="581" t="s">
        <v>8839</v>
      </c>
      <c r="H349" s="580" t="s">
        <v>2227</v>
      </c>
      <c r="I349" s="581" t="s">
        <v>8751</v>
      </c>
      <c r="J349" s="581" t="s">
        <v>8840</v>
      </c>
      <c r="K349" s="584" t="str">
        <f>HYPERLINK("https://okcountyrecords.com/detail/roger+mills/1989-004249","OKCountyRecords: 1989-004249")</f>
        <v>OKCountyRecords: 1989-004249</v>
      </c>
    </row>
    <row r="350" spans="1:11" s="596" customFormat="1" x14ac:dyDescent="0.25">
      <c r="A350" s="580" t="s">
        <v>2228</v>
      </c>
      <c r="B350" s="580"/>
      <c r="C350" s="580" t="s">
        <v>1623</v>
      </c>
      <c r="D350" s="580" t="s">
        <v>2229</v>
      </c>
      <c r="E350" s="582">
        <v>32706</v>
      </c>
      <c r="F350" s="582">
        <v>32706</v>
      </c>
      <c r="G350" s="581" t="s">
        <v>8839</v>
      </c>
      <c r="H350" s="580" t="s">
        <v>2230</v>
      </c>
      <c r="I350" s="581" t="s">
        <v>8751</v>
      </c>
      <c r="J350" s="581" t="s">
        <v>8840</v>
      </c>
      <c r="K350" s="584" t="str">
        <f>HYPERLINK("https://okcountyrecords.com/detail/roger+mills/1989-004250","OKCountyRecords: 1989-004250")</f>
        <v>OKCountyRecords: 1989-004250</v>
      </c>
    </row>
    <row r="351" spans="1:11" s="596" customFormat="1" x14ac:dyDescent="0.25">
      <c r="A351" s="580" t="s">
        <v>2231</v>
      </c>
      <c r="B351" s="580"/>
      <c r="C351" s="580" t="s">
        <v>1623</v>
      </c>
      <c r="D351" s="580" t="s">
        <v>2232</v>
      </c>
      <c r="E351" s="582">
        <v>32706</v>
      </c>
      <c r="F351" s="582">
        <v>32706</v>
      </c>
      <c r="G351" s="581" t="s">
        <v>8839</v>
      </c>
      <c r="H351" s="580" t="s">
        <v>1941</v>
      </c>
      <c r="I351" s="581" t="s">
        <v>8751</v>
      </c>
      <c r="J351" s="581" t="s">
        <v>8840</v>
      </c>
      <c r="K351" s="584" t="str">
        <f>HYPERLINK("https://okcountyrecords.com/detail/roger+mills/1989-004251","OKCountyRecords: 1989-004251")</f>
        <v>OKCountyRecords: 1989-004251</v>
      </c>
    </row>
    <row r="352" spans="1:11" s="596" customFormat="1" x14ac:dyDescent="0.25">
      <c r="A352" s="580" t="s">
        <v>2220</v>
      </c>
      <c r="B352" s="580"/>
      <c r="C352" s="580" t="s">
        <v>1623</v>
      </c>
      <c r="D352" s="580" t="s">
        <v>2221</v>
      </c>
      <c r="E352" s="582">
        <v>32706</v>
      </c>
      <c r="F352" s="582">
        <v>32706</v>
      </c>
      <c r="G352" s="581" t="s">
        <v>8839</v>
      </c>
      <c r="H352" s="580" t="s">
        <v>2222</v>
      </c>
      <c r="I352" s="581" t="s">
        <v>8751</v>
      </c>
      <c r="J352" s="581" t="s">
        <v>8840</v>
      </c>
      <c r="K352" s="584" t="str">
        <f>HYPERLINK("https://okcountyrecords.com/detail/roger+mills/1989-004252","OKCountyRecords: 1989-004252")</f>
        <v>OKCountyRecords: 1989-004252</v>
      </c>
    </row>
    <row r="353" spans="1:11" s="596" customFormat="1" x14ac:dyDescent="0.25">
      <c r="A353" s="580" t="s">
        <v>2233</v>
      </c>
      <c r="B353" s="580"/>
      <c r="C353" s="580" t="s">
        <v>1623</v>
      </c>
      <c r="D353" s="580" t="s">
        <v>2234</v>
      </c>
      <c r="E353" s="582">
        <v>32706</v>
      </c>
      <c r="F353" s="582">
        <v>32706</v>
      </c>
      <c r="G353" s="581" t="s">
        <v>8839</v>
      </c>
      <c r="H353" s="580" t="s">
        <v>2235</v>
      </c>
      <c r="I353" s="581" t="s">
        <v>8751</v>
      </c>
      <c r="J353" s="581" t="s">
        <v>8840</v>
      </c>
      <c r="K353" s="584" t="str">
        <f>HYPERLINK("https://okcountyrecords.com/detail/roger+mills/1989-004253","OKCountyRecords: 1989-004253")</f>
        <v>OKCountyRecords: 1989-004253</v>
      </c>
    </row>
    <row r="354" spans="1:11" s="596" customFormat="1" x14ac:dyDescent="0.25">
      <c r="A354" s="580" t="s">
        <v>2236</v>
      </c>
      <c r="B354" s="580"/>
      <c r="C354" s="580" t="s">
        <v>1623</v>
      </c>
      <c r="D354" s="580" t="s">
        <v>2237</v>
      </c>
      <c r="E354" s="582">
        <v>32706</v>
      </c>
      <c r="F354" s="582">
        <v>32706</v>
      </c>
      <c r="G354" s="581" t="s">
        <v>8839</v>
      </c>
      <c r="H354" s="580" t="s">
        <v>2238</v>
      </c>
      <c r="I354" s="581" t="s">
        <v>8751</v>
      </c>
      <c r="J354" s="581" t="s">
        <v>8840</v>
      </c>
      <c r="K354" s="584" t="str">
        <f>HYPERLINK("https://okcountyrecords.com/detail/roger+mills/1989-004254","OKCountyRecords: 1989-004254")</f>
        <v>OKCountyRecords: 1989-004254</v>
      </c>
    </row>
    <row r="355" spans="1:11" s="596" customFormat="1" x14ac:dyDescent="0.25">
      <c r="A355" s="580" t="s">
        <v>2239</v>
      </c>
      <c r="B355" s="580"/>
      <c r="C355" s="580" t="s">
        <v>1623</v>
      </c>
      <c r="D355" s="580" t="s">
        <v>2240</v>
      </c>
      <c r="E355" s="582">
        <v>32706</v>
      </c>
      <c r="F355" s="582">
        <v>32706</v>
      </c>
      <c r="G355" s="581" t="s">
        <v>8839</v>
      </c>
      <c r="H355" s="580" t="s">
        <v>2241</v>
      </c>
      <c r="I355" s="581" t="s">
        <v>8751</v>
      </c>
      <c r="J355" s="581" t="s">
        <v>8840</v>
      </c>
      <c r="K355" s="584" t="str">
        <f>HYPERLINK("https://okcountyrecords.com/detail/roger+mills/1989-004255","OKCountyRecords: 1989-004255")</f>
        <v>OKCountyRecords: 1989-004255</v>
      </c>
    </row>
    <row r="356" spans="1:11" s="596" customFormat="1" x14ac:dyDescent="0.25">
      <c r="A356" s="580" t="s">
        <v>2242</v>
      </c>
      <c r="B356" s="580"/>
      <c r="C356" s="580" t="s">
        <v>1623</v>
      </c>
      <c r="D356" s="580" t="s">
        <v>2243</v>
      </c>
      <c r="E356" s="582">
        <v>32706</v>
      </c>
      <c r="F356" s="582">
        <v>32706</v>
      </c>
      <c r="G356" s="581" t="s">
        <v>8839</v>
      </c>
      <c r="H356" s="580" t="s">
        <v>2244</v>
      </c>
      <c r="I356" s="581" t="s">
        <v>8751</v>
      </c>
      <c r="J356" s="581" t="s">
        <v>8840</v>
      </c>
      <c r="K356" s="584" t="str">
        <f>HYPERLINK("https://okcountyrecords.com/detail/roger+mills/1989-004256","OKCountyRecords: 1989-004256")</f>
        <v>OKCountyRecords: 1989-004256</v>
      </c>
    </row>
    <row r="357" spans="1:11" s="8" customFormat="1" ht="63.75" hidden="1" x14ac:dyDescent="0.25">
      <c r="A357" s="355" t="s">
        <v>2245</v>
      </c>
      <c r="B357" s="355"/>
      <c r="C357" s="355" t="s">
        <v>993</v>
      </c>
      <c r="D357" s="355" t="s">
        <v>2246</v>
      </c>
      <c r="E357" s="460">
        <v>32709</v>
      </c>
      <c r="F357" s="356">
        <v>32709</v>
      </c>
      <c r="G357" s="355" t="s">
        <v>2247</v>
      </c>
      <c r="H357" s="357" t="s">
        <v>2248</v>
      </c>
      <c r="I357" s="357" t="s">
        <v>1012</v>
      </c>
      <c r="J357" s="357" t="s">
        <v>996</v>
      </c>
      <c r="K357" s="426" t="str">
        <f>HYPERLINK("https://okcountyrecords.com/detail/roger+mills/1989-004295","OKCountyRecords: 1989-004295")</f>
        <v>OKCountyRecords: 1989-004295</v>
      </c>
    </row>
    <row r="358" spans="1:11" s="8" customFormat="1" hidden="1" x14ac:dyDescent="0.25">
      <c r="A358" s="355" t="s">
        <v>2249</v>
      </c>
      <c r="B358" s="355"/>
      <c r="C358" s="355" t="s">
        <v>114</v>
      </c>
      <c r="D358" s="355" t="s">
        <v>2250</v>
      </c>
      <c r="E358" s="460">
        <v>32713</v>
      </c>
      <c r="F358" s="356">
        <v>32713</v>
      </c>
      <c r="G358" s="355" t="s">
        <v>2251</v>
      </c>
      <c r="H358" s="355" t="s">
        <v>2252</v>
      </c>
      <c r="I358" s="357" t="s">
        <v>1012</v>
      </c>
      <c r="J358" s="357" t="s">
        <v>996</v>
      </c>
      <c r="K358" s="426" t="str">
        <f>HYPERLINK("https://okcountyrecords.com/detail/roger+mills/1989-004361","OKCountyRecords: 1989-004361")</f>
        <v>OKCountyRecords: 1989-004361</v>
      </c>
    </row>
    <row r="359" spans="1:11" s="8" customFormat="1" ht="409.5" hidden="1" x14ac:dyDescent="0.25">
      <c r="A359" s="355" t="s">
        <v>2253</v>
      </c>
      <c r="B359" s="355"/>
      <c r="C359" s="355" t="s">
        <v>993</v>
      </c>
      <c r="D359" s="355" t="s">
        <v>2254</v>
      </c>
      <c r="E359" s="460">
        <v>32787</v>
      </c>
      <c r="F359" s="356">
        <v>32787</v>
      </c>
      <c r="G359" s="355" t="s">
        <v>2031</v>
      </c>
      <c r="H359" s="357" t="s">
        <v>2255</v>
      </c>
      <c r="I359" s="357" t="s">
        <v>1012</v>
      </c>
      <c r="J359" s="357" t="s">
        <v>996</v>
      </c>
      <c r="K359" s="426" t="str">
        <f>HYPERLINK("https://okcountyrecords.com/detail/roger+mills/1989-005584","OKCountyRecords: 1989-005584")</f>
        <v>OKCountyRecords: 1989-005584</v>
      </c>
    </row>
    <row r="360" spans="1:11" s="8" customFormat="1" hidden="1" x14ac:dyDescent="0.25">
      <c r="A360" s="355" t="s">
        <v>2256</v>
      </c>
      <c r="B360" s="355"/>
      <c r="C360" s="355" t="s">
        <v>114</v>
      </c>
      <c r="D360" s="355" t="s">
        <v>2257</v>
      </c>
      <c r="E360" s="460">
        <v>32787</v>
      </c>
      <c r="F360" s="356">
        <v>32787</v>
      </c>
      <c r="G360" s="355" t="s">
        <v>2031</v>
      </c>
      <c r="H360" s="355" t="s">
        <v>2258</v>
      </c>
      <c r="I360" s="357" t="s">
        <v>1012</v>
      </c>
      <c r="J360" s="357" t="s">
        <v>996</v>
      </c>
      <c r="K360" s="426" t="str">
        <f>HYPERLINK("https://okcountyrecords.com/detail/roger+mills/1989-005585","OKCountyRecords: 1989-005585")</f>
        <v>OKCountyRecords: 1989-005585</v>
      </c>
    </row>
    <row r="361" spans="1:11" s="596" customFormat="1" x14ac:dyDescent="0.25">
      <c r="A361" s="580" t="s">
        <v>2259</v>
      </c>
      <c r="B361" s="580"/>
      <c r="C361" s="580" t="s">
        <v>1274</v>
      </c>
      <c r="D361" s="580" t="s">
        <v>2260</v>
      </c>
      <c r="E361" s="582">
        <v>32794</v>
      </c>
      <c r="F361" s="582">
        <v>32794</v>
      </c>
      <c r="G361" s="581" t="s">
        <v>8841</v>
      </c>
      <c r="H361" s="581" t="s">
        <v>433</v>
      </c>
      <c r="I361" s="581" t="s">
        <v>8751</v>
      </c>
      <c r="J361" s="581" t="s">
        <v>973</v>
      </c>
      <c r="K361" s="584" t="str">
        <f>HYPERLINK("https://okcountyrecords.com/detail/roger+mills/1989-005656","OKCountyRecords: 1989-005656")</f>
        <v>OKCountyRecords: 1989-005656</v>
      </c>
    </row>
    <row r="362" spans="1:11" s="8" customFormat="1" ht="25.5" hidden="1" x14ac:dyDescent="0.25">
      <c r="A362" s="355" t="s">
        <v>2263</v>
      </c>
      <c r="B362" s="355"/>
      <c r="C362" s="355" t="s">
        <v>309</v>
      </c>
      <c r="D362" s="355" t="s">
        <v>2264</v>
      </c>
      <c r="E362" s="460">
        <v>32800</v>
      </c>
      <c r="F362" s="356">
        <v>32800</v>
      </c>
      <c r="G362" s="357" t="s">
        <v>411</v>
      </c>
      <c r="H362" s="355" t="s">
        <v>266</v>
      </c>
      <c r="I362" s="357" t="s">
        <v>313</v>
      </c>
      <c r="J362" s="357" t="s">
        <v>996</v>
      </c>
      <c r="K362" s="426" t="str">
        <f>HYPERLINK("https://okcountyrecords.com/detail/roger+mills/1989-005730","OKCountyRecords: 1989-005730")</f>
        <v>OKCountyRecords: 1989-005730</v>
      </c>
    </row>
    <row r="363" spans="1:11" s="8" customFormat="1" ht="38.25" hidden="1" x14ac:dyDescent="0.25">
      <c r="A363" s="355" t="s">
        <v>2265</v>
      </c>
      <c r="B363" s="355"/>
      <c r="C363" s="355" t="s">
        <v>114</v>
      </c>
      <c r="D363" s="355" t="s">
        <v>2266</v>
      </c>
      <c r="E363" s="460">
        <v>32800</v>
      </c>
      <c r="F363" s="356">
        <v>32800</v>
      </c>
      <c r="G363" s="355" t="s">
        <v>266</v>
      </c>
      <c r="H363" s="357" t="s">
        <v>2267</v>
      </c>
      <c r="I363" s="357" t="s">
        <v>242</v>
      </c>
      <c r="J363" s="357" t="s">
        <v>996</v>
      </c>
      <c r="K363" s="426" t="str">
        <f>HYPERLINK("https://okcountyrecords.com/detail/roger+mills/1989-005731","OKCountyRecords: 1989-005731")</f>
        <v>OKCountyRecords: 1989-005731</v>
      </c>
    </row>
    <row r="364" spans="1:11" s="604" customFormat="1" x14ac:dyDescent="0.25">
      <c r="A364" s="360" t="s">
        <v>2268</v>
      </c>
      <c r="B364" s="360"/>
      <c r="C364" s="603" t="s">
        <v>3730</v>
      </c>
      <c r="D364" s="360" t="s">
        <v>2269</v>
      </c>
      <c r="E364" s="460">
        <v>32806</v>
      </c>
      <c r="F364" s="361">
        <v>32806</v>
      </c>
      <c r="G364" s="360" t="s">
        <v>712</v>
      </c>
      <c r="H364" s="603" t="s">
        <v>1110</v>
      </c>
      <c r="I364" s="360" t="s">
        <v>1012</v>
      </c>
      <c r="J364" s="360" t="s">
        <v>1095</v>
      </c>
      <c r="K364" s="427" t="str">
        <f>HYPERLINK("https://okcountyrecords.com/detail/roger+mills/1989-005860","OKCountyRecords: 1989-005860")</f>
        <v>OKCountyRecords: 1989-005860</v>
      </c>
    </row>
    <row r="365" spans="1:11" s="596" customFormat="1" x14ac:dyDescent="0.25">
      <c r="A365" s="580" t="s">
        <v>2270</v>
      </c>
      <c r="B365" s="580"/>
      <c r="C365" s="580" t="s">
        <v>1623</v>
      </c>
      <c r="D365" s="580" t="s">
        <v>2271</v>
      </c>
      <c r="E365" s="582">
        <v>32847</v>
      </c>
      <c r="F365" s="582">
        <v>32847</v>
      </c>
      <c r="G365" s="580" t="s">
        <v>2065</v>
      </c>
      <c r="H365" s="581" t="s">
        <v>2272</v>
      </c>
      <c r="I365" s="581" t="s">
        <v>8705</v>
      </c>
      <c r="J365" s="581" t="s">
        <v>8746</v>
      </c>
      <c r="K365" s="584" t="str">
        <f>HYPERLINK("https://okcountyrecords.com/detail/roger+mills/1989-006590","OKCountyRecords: 1989-006590")</f>
        <v>OKCountyRecords: 1989-006590</v>
      </c>
    </row>
    <row r="366" spans="1:11" s="8" customFormat="1" hidden="1" x14ac:dyDescent="0.25">
      <c r="A366" s="355" t="s">
        <v>2273</v>
      </c>
      <c r="B366" s="355"/>
      <c r="C366" s="355" t="s">
        <v>309</v>
      </c>
      <c r="D366" s="355" t="s">
        <v>2274</v>
      </c>
      <c r="E366" s="460">
        <v>32864</v>
      </c>
      <c r="F366" s="356">
        <v>32864</v>
      </c>
      <c r="G366" s="355" t="s">
        <v>286</v>
      </c>
      <c r="H366" s="355" t="s">
        <v>928</v>
      </c>
      <c r="I366" s="357" t="s">
        <v>313</v>
      </c>
      <c r="J366" s="357" t="s">
        <v>996</v>
      </c>
      <c r="K366" s="426" t="str">
        <f>HYPERLINK("https://okcountyrecords.com/detail/roger+mills/1989-006908","OKCountyRecords: 1989-006908")</f>
        <v>OKCountyRecords: 1989-006908</v>
      </c>
    </row>
    <row r="367" spans="1:11" s="8" customFormat="1" ht="25.5" hidden="1" x14ac:dyDescent="0.25">
      <c r="A367" s="355" t="s">
        <v>2275</v>
      </c>
      <c r="B367" s="355"/>
      <c r="C367" s="355" t="s">
        <v>309</v>
      </c>
      <c r="D367" s="355" t="s">
        <v>2276</v>
      </c>
      <c r="E367" s="460">
        <v>32864</v>
      </c>
      <c r="F367" s="356">
        <v>32864</v>
      </c>
      <c r="G367" s="357" t="s">
        <v>470</v>
      </c>
      <c r="H367" s="355" t="s">
        <v>928</v>
      </c>
      <c r="I367" s="357" t="s">
        <v>313</v>
      </c>
      <c r="J367" s="357" t="s">
        <v>996</v>
      </c>
      <c r="K367" s="426" t="str">
        <f>HYPERLINK("https://okcountyrecords.com/detail/roger+mills/1989-006910","OKCountyRecords: 1989-006910")</f>
        <v>OKCountyRecords: 1989-006910</v>
      </c>
    </row>
    <row r="368" spans="1:11" s="596" customFormat="1" x14ac:dyDescent="0.25">
      <c r="A368" s="580" t="s">
        <v>2277</v>
      </c>
      <c r="B368" s="580"/>
      <c r="C368" s="580" t="s">
        <v>1623</v>
      </c>
      <c r="D368" s="580" t="s">
        <v>2278</v>
      </c>
      <c r="E368" s="582">
        <v>32869</v>
      </c>
      <c r="F368" s="582">
        <v>32869</v>
      </c>
      <c r="G368" s="581" t="s">
        <v>8842</v>
      </c>
      <c r="H368" s="580" t="s">
        <v>577</v>
      </c>
      <c r="I368" s="581" t="s">
        <v>8751</v>
      </c>
      <c r="J368" s="581" t="s">
        <v>8848</v>
      </c>
      <c r="K368" s="584" t="str">
        <f>HYPERLINK("https://okcountyrecords.com/detail/roger+mills/1989-007000","OKCountyRecords: 1989-007000")</f>
        <v>OKCountyRecords: 1989-007000</v>
      </c>
    </row>
    <row r="369" spans="1:11" s="596" customFormat="1" x14ac:dyDescent="0.25">
      <c r="A369" s="580" t="s">
        <v>2280</v>
      </c>
      <c r="B369" s="580"/>
      <c r="C369" s="580" t="s">
        <v>1623</v>
      </c>
      <c r="D369" s="580" t="s">
        <v>2281</v>
      </c>
      <c r="E369" s="582">
        <v>32869</v>
      </c>
      <c r="F369" s="582">
        <v>32869</v>
      </c>
      <c r="G369" s="581" t="s">
        <v>8842</v>
      </c>
      <c r="H369" s="580" t="s">
        <v>571</v>
      </c>
      <c r="I369" s="581" t="s">
        <v>8751</v>
      </c>
      <c r="J369" s="581" t="s">
        <v>8848</v>
      </c>
      <c r="K369" s="584" t="str">
        <f>HYPERLINK("https://okcountyrecords.com/detail/roger+mills/1989-007001","OKCountyRecords: 1989-007001")</f>
        <v>OKCountyRecords: 1989-007001</v>
      </c>
    </row>
    <row r="370" spans="1:11" s="8" customFormat="1" ht="127.5" hidden="1" x14ac:dyDescent="0.25">
      <c r="A370" s="355" t="s">
        <v>2282</v>
      </c>
      <c r="B370" s="355"/>
      <c r="C370" s="355" t="s">
        <v>993</v>
      </c>
      <c r="D370" s="355" t="s">
        <v>2283</v>
      </c>
      <c r="E370" s="460">
        <v>32897</v>
      </c>
      <c r="F370" s="356">
        <v>32897</v>
      </c>
      <c r="G370" s="357" t="s">
        <v>2284</v>
      </c>
      <c r="H370" s="357" t="s">
        <v>2285</v>
      </c>
      <c r="I370" s="357" t="s">
        <v>1012</v>
      </c>
      <c r="J370" s="357" t="s">
        <v>996</v>
      </c>
      <c r="K370" s="426" t="str">
        <f>HYPERLINK("https://okcountyrecords.com/detail/roger+mills/1990-000386","OKCountyRecords: 1990-000386")</f>
        <v>OKCountyRecords: 1990-000386</v>
      </c>
    </row>
    <row r="371" spans="1:11" s="8" customFormat="1" hidden="1" x14ac:dyDescent="0.25">
      <c r="A371" s="355" t="s">
        <v>2286</v>
      </c>
      <c r="B371" s="355"/>
      <c r="C371" s="355" t="s">
        <v>114</v>
      </c>
      <c r="D371" s="355" t="s">
        <v>2287</v>
      </c>
      <c r="E371" s="460">
        <v>32903</v>
      </c>
      <c r="F371" s="356">
        <v>32903</v>
      </c>
      <c r="G371" s="355" t="s">
        <v>928</v>
      </c>
      <c r="H371" s="355" t="s">
        <v>2288</v>
      </c>
      <c r="I371" s="357" t="s">
        <v>1012</v>
      </c>
      <c r="J371" s="357" t="s">
        <v>996</v>
      </c>
      <c r="K371" s="426" t="str">
        <f>HYPERLINK("https://okcountyrecords.com/detail/roger+mills/1990-000534","OKCountyRecords: 1990-000534")</f>
        <v>OKCountyRecords: 1990-000534</v>
      </c>
    </row>
    <row r="372" spans="1:11" s="8" customFormat="1" hidden="1" x14ac:dyDescent="0.25">
      <c r="A372" s="355" t="s">
        <v>2289</v>
      </c>
      <c r="B372" s="355"/>
      <c r="C372" s="355" t="s">
        <v>309</v>
      </c>
      <c r="D372" s="355" t="s">
        <v>2290</v>
      </c>
      <c r="E372" s="460">
        <v>32903</v>
      </c>
      <c r="F372" s="356">
        <v>32903</v>
      </c>
      <c r="G372" s="355" t="s">
        <v>1941</v>
      </c>
      <c r="H372" s="355" t="s">
        <v>928</v>
      </c>
      <c r="I372" s="357" t="s">
        <v>308</v>
      </c>
      <c r="J372" s="357" t="s">
        <v>996</v>
      </c>
      <c r="K372" s="426" t="str">
        <f>HYPERLINK("https://okcountyrecords.com/detail/roger+mills/1990-000535","OKCountyRecords: 1990-000535")</f>
        <v>OKCountyRecords: 1990-000535</v>
      </c>
    </row>
    <row r="373" spans="1:11" s="8" customFormat="1" hidden="1" x14ac:dyDescent="0.25">
      <c r="A373" s="355" t="s">
        <v>2291</v>
      </c>
      <c r="B373" s="355"/>
      <c r="C373" s="355" t="s">
        <v>309</v>
      </c>
      <c r="D373" s="355" t="s">
        <v>2292</v>
      </c>
      <c r="E373" s="460">
        <v>32903</v>
      </c>
      <c r="F373" s="356">
        <v>32903</v>
      </c>
      <c r="G373" s="355" t="s">
        <v>478</v>
      </c>
      <c r="H373" s="355" t="s">
        <v>2293</v>
      </c>
      <c r="I373" s="357" t="s">
        <v>313</v>
      </c>
      <c r="J373" s="357" t="s">
        <v>996</v>
      </c>
      <c r="K373" s="426" t="str">
        <f>HYPERLINK("https://okcountyrecords.com/detail/roger+mills/1990-000536","OKCountyRecords: 1990-000536")</f>
        <v>OKCountyRecords: 1990-000536</v>
      </c>
    </row>
    <row r="374" spans="1:11" s="8" customFormat="1" hidden="1" x14ac:dyDescent="0.25">
      <c r="A374" s="355" t="s">
        <v>2294</v>
      </c>
      <c r="B374" s="355"/>
      <c r="C374" s="355" t="s">
        <v>309</v>
      </c>
      <c r="D374" s="355" t="s">
        <v>2295</v>
      </c>
      <c r="E374" s="460">
        <v>32903</v>
      </c>
      <c r="F374" s="356">
        <v>32903</v>
      </c>
      <c r="G374" s="355" t="s">
        <v>480</v>
      </c>
      <c r="H374" s="355" t="s">
        <v>2293</v>
      </c>
      <c r="I374" s="357" t="s">
        <v>313</v>
      </c>
      <c r="J374" s="357" t="s">
        <v>996</v>
      </c>
      <c r="K374" s="426" t="str">
        <f>HYPERLINK("https://okcountyrecords.com/detail/roger+mills/1990-000537","OKCountyRecords: 1990-000537")</f>
        <v>OKCountyRecords: 1990-000537</v>
      </c>
    </row>
    <row r="375" spans="1:11" s="8" customFormat="1" hidden="1" x14ac:dyDescent="0.25">
      <c r="A375" s="355" t="s">
        <v>2296</v>
      </c>
      <c r="B375" s="355"/>
      <c r="C375" s="355" t="s">
        <v>309</v>
      </c>
      <c r="D375" s="355" t="s">
        <v>2297</v>
      </c>
      <c r="E375" s="460">
        <v>32903</v>
      </c>
      <c r="F375" s="356">
        <v>32903</v>
      </c>
      <c r="G375" s="355" t="s">
        <v>482</v>
      </c>
      <c r="H375" s="355" t="s">
        <v>2293</v>
      </c>
      <c r="I375" s="357" t="s">
        <v>313</v>
      </c>
      <c r="J375" s="357" t="s">
        <v>996</v>
      </c>
      <c r="K375" s="426" t="str">
        <f>HYPERLINK("https://okcountyrecords.com/detail/roger+mills/1990-000538","OKCountyRecords: 1990-000538")</f>
        <v>OKCountyRecords: 1990-000538</v>
      </c>
    </row>
    <row r="376" spans="1:11" s="8" customFormat="1" hidden="1" x14ac:dyDescent="0.25">
      <c r="A376" s="355" t="s">
        <v>2298</v>
      </c>
      <c r="B376" s="355"/>
      <c r="C376" s="355" t="s">
        <v>309</v>
      </c>
      <c r="D376" s="355" t="s">
        <v>2299</v>
      </c>
      <c r="E376" s="460">
        <v>32903</v>
      </c>
      <c r="F376" s="356">
        <v>32903</v>
      </c>
      <c r="G376" s="355" t="s">
        <v>472</v>
      </c>
      <c r="H376" s="355" t="s">
        <v>2293</v>
      </c>
      <c r="I376" s="357" t="s">
        <v>313</v>
      </c>
      <c r="J376" s="357" t="s">
        <v>996</v>
      </c>
      <c r="K376" s="426" t="str">
        <f>HYPERLINK("https://okcountyrecords.com/detail/roger+mills/1990-000539","OKCountyRecords: 1990-000539")</f>
        <v>OKCountyRecords: 1990-000539</v>
      </c>
    </row>
    <row r="377" spans="1:11" s="8" customFormat="1" hidden="1" x14ac:dyDescent="0.25">
      <c r="A377" s="355" t="s">
        <v>2300</v>
      </c>
      <c r="B377" s="355"/>
      <c r="C377" s="355" t="s">
        <v>309</v>
      </c>
      <c r="D377" s="355" t="s">
        <v>2301</v>
      </c>
      <c r="E377" s="460">
        <v>32903</v>
      </c>
      <c r="F377" s="356">
        <v>32903</v>
      </c>
      <c r="G377" s="355" t="s">
        <v>475</v>
      </c>
      <c r="H377" s="355" t="s">
        <v>928</v>
      </c>
      <c r="I377" s="357" t="s">
        <v>308</v>
      </c>
      <c r="J377" s="357" t="s">
        <v>996</v>
      </c>
      <c r="K377" s="426" t="str">
        <f>HYPERLINK("https://okcountyrecords.com/detail/roger+mills/1990-000540","OKCountyRecords: 1990-000540")</f>
        <v>OKCountyRecords: 1990-000540</v>
      </c>
    </row>
    <row r="378" spans="1:11" s="8" customFormat="1" hidden="1" x14ac:dyDescent="0.25">
      <c r="A378" s="355" t="s">
        <v>2302</v>
      </c>
      <c r="B378" s="355"/>
      <c r="C378" s="355" t="s">
        <v>114</v>
      </c>
      <c r="D378" s="355" t="s">
        <v>2303</v>
      </c>
      <c r="E378" s="460">
        <v>32904</v>
      </c>
      <c r="F378" s="356">
        <v>32904</v>
      </c>
      <c r="G378" s="355" t="s">
        <v>923</v>
      </c>
      <c r="H378" s="355" t="s">
        <v>928</v>
      </c>
      <c r="I378" s="357" t="s">
        <v>1012</v>
      </c>
      <c r="J378" s="357" t="s">
        <v>996</v>
      </c>
      <c r="K378" s="426" t="str">
        <f>HYPERLINK("https://okcountyrecords.com/detail/roger+mills/1990-000549","OKCountyRecords: 1990-000549")</f>
        <v>OKCountyRecords: 1990-000549</v>
      </c>
    </row>
    <row r="379" spans="1:11" s="8" customFormat="1" hidden="1" x14ac:dyDescent="0.25">
      <c r="A379" s="355" t="s">
        <v>2304</v>
      </c>
      <c r="B379" s="355"/>
      <c r="C379" s="355" t="s">
        <v>114</v>
      </c>
      <c r="D379" s="355" t="s">
        <v>2305</v>
      </c>
      <c r="E379" s="460">
        <v>32904</v>
      </c>
      <c r="F379" s="356">
        <v>32904</v>
      </c>
      <c r="G379" s="355" t="s">
        <v>925</v>
      </c>
      <c r="H379" s="355" t="s">
        <v>928</v>
      </c>
      <c r="I379" s="357" t="s">
        <v>242</v>
      </c>
      <c r="J379" s="357" t="s">
        <v>996</v>
      </c>
      <c r="K379" s="426" t="str">
        <f>HYPERLINK("https://okcountyrecords.com/detail/roger+mills/1990-000550","OKCountyRecords: 1990-000550")</f>
        <v>OKCountyRecords: 1990-000550</v>
      </c>
    </row>
    <row r="380" spans="1:11" s="8" customFormat="1" hidden="1" x14ac:dyDescent="0.25">
      <c r="A380" s="355" t="s">
        <v>2306</v>
      </c>
      <c r="B380" s="355"/>
      <c r="C380" s="355" t="s">
        <v>309</v>
      </c>
      <c r="D380" s="355" t="s">
        <v>2307</v>
      </c>
      <c r="E380" s="460">
        <v>32904</v>
      </c>
      <c r="F380" s="356">
        <v>32904</v>
      </c>
      <c r="G380" s="355" t="s">
        <v>392</v>
      </c>
      <c r="H380" s="355" t="s">
        <v>928</v>
      </c>
      <c r="I380" s="357" t="s">
        <v>313</v>
      </c>
      <c r="J380" s="357" t="s">
        <v>996</v>
      </c>
      <c r="K380" s="426" t="str">
        <f>HYPERLINK("https://okcountyrecords.com/detail/roger+mills/1990-000551","OKCountyRecords: 1990-000551")</f>
        <v>OKCountyRecords: 1990-000551</v>
      </c>
    </row>
    <row r="381" spans="1:11" s="8" customFormat="1" ht="25.5" hidden="1" x14ac:dyDescent="0.25">
      <c r="A381" s="355" t="s">
        <v>2308</v>
      </c>
      <c r="B381" s="355"/>
      <c r="C381" s="355" t="s">
        <v>309</v>
      </c>
      <c r="D381" s="355" t="s">
        <v>2309</v>
      </c>
      <c r="E381" s="460">
        <v>32904</v>
      </c>
      <c r="F381" s="356">
        <v>32904</v>
      </c>
      <c r="G381" s="357" t="s">
        <v>2310</v>
      </c>
      <c r="H381" s="355" t="s">
        <v>928</v>
      </c>
      <c r="I381" s="357" t="s">
        <v>313</v>
      </c>
      <c r="J381" s="357" t="s">
        <v>996</v>
      </c>
      <c r="K381" s="426" t="str">
        <f>HYPERLINK("https://okcountyrecords.com/detail/roger+mills/1990-000553","OKCountyRecords: 1990-000553")</f>
        <v>OKCountyRecords: 1990-000553</v>
      </c>
    </row>
    <row r="382" spans="1:11" s="8" customFormat="1" hidden="1" x14ac:dyDescent="0.25">
      <c r="A382" s="355" t="s">
        <v>2311</v>
      </c>
      <c r="B382" s="355"/>
      <c r="C382" s="355" t="s">
        <v>114</v>
      </c>
      <c r="D382" s="355" t="s">
        <v>2312</v>
      </c>
      <c r="E382" s="460">
        <v>32911</v>
      </c>
      <c r="F382" s="356">
        <v>32911</v>
      </c>
      <c r="G382" s="355" t="s">
        <v>2313</v>
      </c>
      <c r="H382" s="355" t="s">
        <v>2217</v>
      </c>
      <c r="I382" s="357" t="s">
        <v>242</v>
      </c>
      <c r="J382" s="357" t="s">
        <v>996</v>
      </c>
      <c r="K382" s="426" t="str">
        <f>HYPERLINK("https://okcountyrecords.com/detail/roger+mills/1990-000712","OKCountyRecords: 1990-000712")</f>
        <v>OKCountyRecords: 1990-000712</v>
      </c>
    </row>
    <row r="383" spans="1:11" s="596" customFormat="1" x14ac:dyDescent="0.25">
      <c r="A383" s="580" t="s">
        <v>2314</v>
      </c>
      <c r="B383" s="580"/>
      <c r="C383" s="581" t="s">
        <v>8844</v>
      </c>
      <c r="D383" s="580" t="s">
        <v>2315</v>
      </c>
      <c r="E383" s="582">
        <v>32920</v>
      </c>
      <c r="F383" s="582">
        <v>32920</v>
      </c>
      <c r="G383" s="581" t="s">
        <v>8843</v>
      </c>
      <c r="H383" s="580" t="s">
        <v>400</v>
      </c>
      <c r="I383" s="581" t="s">
        <v>8751</v>
      </c>
      <c r="J383" s="581" t="s">
        <v>8845</v>
      </c>
      <c r="K383" s="584" t="str">
        <f>HYPERLINK("https://okcountyrecords.com/detail/roger+mills/1990-000905","OKCountyRecords: 1990-000905")</f>
        <v>OKCountyRecords: 1990-000905</v>
      </c>
    </row>
    <row r="384" spans="1:11" s="596" customFormat="1" x14ac:dyDescent="0.25">
      <c r="A384" s="580" t="s">
        <v>2316</v>
      </c>
      <c r="B384" s="580"/>
      <c r="C384" s="581" t="s">
        <v>8844</v>
      </c>
      <c r="D384" s="580" t="s">
        <v>2317</v>
      </c>
      <c r="E384" s="582">
        <v>32920</v>
      </c>
      <c r="F384" s="582">
        <v>32920</v>
      </c>
      <c r="G384" s="581" t="s">
        <v>8843</v>
      </c>
      <c r="H384" s="580" t="s">
        <v>1737</v>
      </c>
      <c r="I384" s="581" t="s">
        <v>8751</v>
      </c>
      <c r="J384" s="581" t="s">
        <v>8845</v>
      </c>
      <c r="K384" s="584" t="str">
        <f>HYPERLINK("https://okcountyrecords.com/detail/roger+mills/1990-000906","OKCountyRecords: 1990-000906")</f>
        <v>OKCountyRecords: 1990-000906</v>
      </c>
    </row>
    <row r="385" spans="1:20" s="596" customFormat="1" x14ac:dyDescent="0.25">
      <c r="A385" s="580" t="s">
        <v>2318</v>
      </c>
      <c r="B385" s="580"/>
      <c r="C385" s="581" t="s">
        <v>8844</v>
      </c>
      <c r="D385" s="580" t="s">
        <v>2319</v>
      </c>
      <c r="E385" s="582">
        <v>32920</v>
      </c>
      <c r="F385" s="582">
        <v>32920</v>
      </c>
      <c r="G385" s="581" t="s">
        <v>8843</v>
      </c>
      <c r="H385" s="580" t="s">
        <v>395</v>
      </c>
      <c r="I385" s="581" t="s">
        <v>8751</v>
      </c>
      <c r="J385" s="581" t="s">
        <v>8845</v>
      </c>
      <c r="K385" s="584" t="str">
        <f>HYPERLINK("https://okcountyrecords.com/detail/roger+mills/1990-000907","OKCountyRecords: 1990-000907")</f>
        <v>OKCountyRecords: 1990-000907</v>
      </c>
    </row>
    <row r="386" spans="1:20" s="596" customFormat="1" x14ac:dyDescent="0.25">
      <c r="A386" s="580" t="s">
        <v>2320</v>
      </c>
      <c r="B386" s="580"/>
      <c r="C386" s="581" t="s">
        <v>8844</v>
      </c>
      <c r="D386" s="580" t="s">
        <v>2321</v>
      </c>
      <c r="E386" s="582">
        <v>32920</v>
      </c>
      <c r="F386" s="582">
        <v>32920</v>
      </c>
      <c r="G386" s="581" t="s">
        <v>8843</v>
      </c>
      <c r="H386" s="580" t="s">
        <v>392</v>
      </c>
      <c r="I386" s="581" t="s">
        <v>8751</v>
      </c>
      <c r="J386" s="581" t="s">
        <v>8845</v>
      </c>
      <c r="K386" s="584" t="str">
        <f>HYPERLINK("https://okcountyrecords.com/detail/roger+mills/1990-000908","OKCountyRecords: 1990-000908")</f>
        <v>OKCountyRecords: 1990-000908</v>
      </c>
    </row>
    <row r="387" spans="1:20" s="596" customFormat="1" x14ac:dyDescent="0.25">
      <c r="A387" s="580" t="s">
        <v>2322</v>
      </c>
      <c r="B387" s="580"/>
      <c r="C387" s="581" t="s">
        <v>8844</v>
      </c>
      <c r="D387" s="580" t="s">
        <v>2323</v>
      </c>
      <c r="E387" s="582">
        <v>32920</v>
      </c>
      <c r="F387" s="582">
        <v>32920</v>
      </c>
      <c r="G387" s="581" t="s">
        <v>8843</v>
      </c>
      <c r="H387" s="580" t="s">
        <v>1604</v>
      </c>
      <c r="I387" s="581" t="s">
        <v>8751</v>
      </c>
      <c r="J387" s="581" t="s">
        <v>8845</v>
      </c>
      <c r="K387" s="584" t="str">
        <f>HYPERLINK("https://okcountyrecords.com/detail/roger+mills/1990-000909","OKCountyRecords: 1990-000909")</f>
        <v>OKCountyRecords: 1990-000909</v>
      </c>
    </row>
    <row r="388" spans="1:20" s="596" customFormat="1" x14ac:dyDescent="0.25">
      <c r="A388" s="580" t="s">
        <v>2324</v>
      </c>
      <c r="B388" s="580"/>
      <c r="C388" s="581" t="s">
        <v>8844</v>
      </c>
      <c r="D388" s="580" t="s">
        <v>2325</v>
      </c>
      <c r="E388" s="582">
        <v>32920</v>
      </c>
      <c r="F388" s="582">
        <v>32920</v>
      </c>
      <c r="G388" s="581" t="s">
        <v>8843</v>
      </c>
      <c r="H388" s="580" t="s">
        <v>397</v>
      </c>
      <c r="I388" s="581" t="s">
        <v>8751</v>
      </c>
      <c r="J388" s="581" t="s">
        <v>8845</v>
      </c>
      <c r="K388" s="584" t="str">
        <f>HYPERLINK("https://okcountyrecords.com/detail/roger+mills/1990-000910","OKCountyRecords: 1990-000910")</f>
        <v>OKCountyRecords: 1990-000910</v>
      </c>
    </row>
    <row r="389" spans="1:20" s="596" customFormat="1" x14ac:dyDescent="0.25">
      <c r="A389" s="580" t="s">
        <v>2326</v>
      </c>
      <c r="B389" s="580"/>
      <c r="C389" s="581" t="s">
        <v>8844</v>
      </c>
      <c r="D389" s="580" t="s">
        <v>2327</v>
      </c>
      <c r="E389" s="582">
        <v>32920</v>
      </c>
      <c r="F389" s="582">
        <v>32920</v>
      </c>
      <c r="G389" s="581" t="s">
        <v>8843</v>
      </c>
      <c r="H389" s="580" t="s">
        <v>573</v>
      </c>
      <c r="I389" s="581" t="s">
        <v>8751</v>
      </c>
      <c r="J389" s="581" t="s">
        <v>8845</v>
      </c>
      <c r="K389" s="584" t="str">
        <f>HYPERLINK("https://okcountyrecords.com/detail/roger+mills/1990-000911","OKCountyRecords: 1990-000911")</f>
        <v>OKCountyRecords: 1990-000911</v>
      </c>
    </row>
    <row r="390" spans="1:20" s="596" customFormat="1" x14ac:dyDescent="0.25">
      <c r="A390" s="580" t="s">
        <v>2328</v>
      </c>
      <c r="B390" s="580"/>
      <c r="C390" s="581" t="s">
        <v>8844</v>
      </c>
      <c r="D390" s="580" t="s">
        <v>2329</v>
      </c>
      <c r="E390" s="582">
        <v>32920</v>
      </c>
      <c r="F390" s="582">
        <v>32920</v>
      </c>
      <c r="G390" s="581" t="s">
        <v>8843</v>
      </c>
      <c r="H390" s="580" t="s">
        <v>394</v>
      </c>
      <c r="I390" s="581" t="s">
        <v>8751</v>
      </c>
      <c r="J390" s="581" t="s">
        <v>8845</v>
      </c>
      <c r="K390" s="584" t="str">
        <f>HYPERLINK("https://okcountyrecords.com/detail/roger+mills/1990-000912","OKCountyRecords: 1990-000912")</f>
        <v>OKCountyRecords: 1990-000912</v>
      </c>
    </row>
    <row r="391" spans="1:20" s="596" customFormat="1" x14ac:dyDescent="0.25">
      <c r="A391" s="580" t="s">
        <v>2330</v>
      </c>
      <c r="B391" s="580"/>
      <c r="C391" s="581" t="s">
        <v>8844</v>
      </c>
      <c r="D391" s="580" t="s">
        <v>2331</v>
      </c>
      <c r="E391" s="582">
        <v>32920</v>
      </c>
      <c r="F391" s="582">
        <v>32920</v>
      </c>
      <c r="G391" s="581" t="s">
        <v>8843</v>
      </c>
      <c r="H391" s="580" t="s">
        <v>396</v>
      </c>
      <c r="I391" s="581" t="s">
        <v>8751</v>
      </c>
      <c r="J391" s="581" t="s">
        <v>8845</v>
      </c>
      <c r="K391" s="584" t="str">
        <f>HYPERLINK("https://okcountyrecords.com/detail/roger+mills/1990-000913","OKCountyRecords: 1990-000913")</f>
        <v>OKCountyRecords: 1990-000913</v>
      </c>
    </row>
    <row r="392" spans="1:20" s="8" customFormat="1" hidden="1" x14ac:dyDescent="0.25">
      <c r="A392" s="355" t="s">
        <v>2332</v>
      </c>
      <c r="B392" s="355"/>
      <c r="C392" s="355" t="s">
        <v>114</v>
      </c>
      <c r="D392" s="355" t="s">
        <v>2333</v>
      </c>
      <c r="E392" s="460">
        <v>32930</v>
      </c>
      <c r="F392" s="356">
        <v>32930</v>
      </c>
      <c r="G392" s="355" t="s">
        <v>2334</v>
      </c>
      <c r="H392" s="355" t="s">
        <v>2335</v>
      </c>
      <c r="I392" s="357" t="s">
        <v>1003</v>
      </c>
      <c r="J392" s="357" t="s">
        <v>996</v>
      </c>
      <c r="K392" s="426" t="str">
        <f>HYPERLINK("https://okcountyrecords.com/detail/roger+mills/1990-001103","OKCountyRecords: 1990-001103")</f>
        <v>OKCountyRecords: 1990-001103</v>
      </c>
    </row>
    <row r="393" spans="1:20" s="596" customFormat="1" x14ac:dyDescent="0.25">
      <c r="A393" s="580" t="s">
        <v>2336</v>
      </c>
      <c r="B393" s="580"/>
      <c r="C393" s="581" t="s">
        <v>8712</v>
      </c>
      <c r="D393" s="580" t="s">
        <v>2337</v>
      </c>
      <c r="E393" s="582">
        <v>32952</v>
      </c>
      <c r="F393" s="582">
        <v>32952</v>
      </c>
      <c r="G393" s="581" t="s">
        <v>8846</v>
      </c>
      <c r="H393" s="581" t="s">
        <v>8847</v>
      </c>
      <c r="I393" s="581" t="s">
        <v>8751</v>
      </c>
      <c r="J393" s="581" t="s">
        <v>973</v>
      </c>
      <c r="K393" s="584" t="str">
        <f>HYPERLINK("https://okcountyrecords.com/detail/roger+mills/1990-001592","OKCountyRecords: 1990-001592")</f>
        <v>OKCountyRecords: 1990-001592</v>
      </c>
    </row>
    <row r="394" spans="1:20" ht="63.75" hidden="1" x14ac:dyDescent="0.25">
      <c r="A394" s="355" t="s">
        <v>2339</v>
      </c>
      <c r="B394" s="355"/>
      <c r="C394" s="355" t="s">
        <v>993</v>
      </c>
      <c r="D394" s="355" t="s">
        <v>2340</v>
      </c>
      <c r="E394" s="460">
        <v>32957</v>
      </c>
      <c r="F394" s="356">
        <v>32957</v>
      </c>
      <c r="G394" s="355" t="s">
        <v>2341</v>
      </c>
      <c r="H394" s="357" t="s">
        <v>377</v>
      </c>
      <c r="I394" s="357" t="s">
        <v>242</v>
      </c>
      <c r="J394" s="357" t="s">
        <v>996</v>
      </c>
      <c r="K394" s="426" t="str">
        <f>HYPERLINK("https://okcountyrecords.com/detail/roger+mills/1990-001651","OKCountyRecords: 1990-001651")</f>
        <v>OKCountyRecords: 1990-001651</v>
      </c>
    </row>
    <row r="395" spans="1:20" ht="63.75" hidden="1" x14ac:dyDescent="0.25">
      <c r="A395" s="355" t="s">
        <v>2342</v>
      </c>
      <c r="B395" s="355"/>
      <c r="C395" s="355" t="s">
        <v>993</v>
      </c>
      <c r="D395" s="355" t="s">
        <v>2343</v>
      </c>
      <c r="E395" s="460">
        <v>32957</v>
      </c>
      <c r="F395" s="356">
        <v>32957</v>
      </c>
      <c r="G395" s="355" t="s">
        <v>2341</v>
      </c>
      <c r="H395" s="357" t="s">
        <v>377</v>
      </c>
      <c r="I395" s="357" t="s">
        <v>242</v>
      </c>
      <c r="J395" s="357" t="s">
        <v>996</v>
      </c>
      <c r="K395" s="426" t="str">
        <f>HYPERLINK("https://okcountyrecords.com/detail/roger+mills/1990-001652","OKCountyRecords: 1990-001652")</f>
        <v>OKCountyRecords: 1990-001652</v>
      </c>
    </row>
    <row r="396" spans="1:20" ht="63.75" hidden="1" x14ac:dyDescent="0.25">
      <c r="A396" s="355" t="s">
        <v>2344</v>
      </c>
      <c r="B396" s="355"/>
      <c r="C396" s="355" t="s">
        <v>993</v>
      </c>
      <c r="D396" s="355" t="s">
        <v>2345</v>
      </c>
      <c r="E396" s="460">
        <v>32957</v>
      </c>
      <c r="F396" s="356">
        <v>32957</v>
      </c>
      <c r="G396" s="355" t="s">
        <v>2341</v>
      </c>
      <c r="H396" s="357" t="s">
        <v>2346</v>
      </c>
      <c r="I396" s="357" t="s">
        <v>242</v>
      </c>
      <c r="J396" s="357" t="s">
        <v>996</v>
      </c>
      <c r="K396" s="426" t="str">
        <f>HYPERLINK("https://okcountyrecords.com/detail/roger+mills/1990-001653","OKCountyRecords: 1990-001653")</f>
        <v>OKCountyRecords: 1990-001653</v>
      </c>
    </row>
    <row r="397" spans="1:20" ht="63.75" hidden="1" x14ac:dyDescent="0.25">
      <c r="A397" s="355" t="s">
        <v>2347</v>
      </c>
      <c r="B397" s="355"/>
      <c r="C397" s="355" t="s">
        <v>993</v>
      </c>
      <c r="D397" s="355" t="s">
        <v>2348</v>
      </c>
      <c r="E397" s="460">
        <v>32957</v>
      </c>
      <c r="F397" s="356">
        <v>32957</v>
      </c>
      <c r="G397" s="355" t="s">
        <v>2341</v>
      </c>
      <c r="H397" s="357" t="s">
        <v>2346</v>
      </c>
      <c r="I397" s="357" t="s">
        <v>242</v>
      </c>
      <c r="J397" s="357" t="s">
        <v>996</v>
      </c>
      <c r="K397" s="426" t="str">
        <f>HYPERLINK("https://okcountyrecords.com/detail/roger+mills/1990-001654","OKCountyRecords: 1990-001654")</f>
        <v>OKCountyRecords: 1990-001654</v>
      </c>
    </row>
    <row r="398" spans="1:20" s="600" customFormat="1" x14ac:dyDescent="0.25">
      <c r="A398" s="580" t="s">
        <v>2349</v>
      </c>
      <c r="B398" s="580"/>
      <c r="C398" s="581" t="s">
        <v>1623</v>
      </c>
      <c r="D398" s="580" t="s">
        <v>2350</v>
      </c>
      <c r="E398" s="582">
        <v>32957</v>
      </c>
      <c r="F398" s="582">
        <v>32957</v>
      </c>
      <c r="G398" s="581" t="s">
        <v>8842</v>
      </c>
      <c r="H398" s="580" t="s">
        <v>571</v>
      </c>
      <c r="I398" s="581" t="s">
        <v>8751</v>
      </c>
      <c r="J398" s="581" t="s">
        <v>8848</v>
      </c>
      <c r="K398" s="584" t="str">
        <f>HYPERLINK("https://okcountyrecords.com/detail/roger+mills/1990-001689","OKCountyRecords: 1990-001689")</f>
        <v>OKCountyRecords: 1990-001689</v>
      </c>
      <c r="L398" s="598"/>
      <c r="M398" s="598"/>
      <c r="N398" s="598"/>
      <c r="O398" s="598"/>
      <c r="P398" s="598"/>
      <c r="Q398" s="598"/>
      <c r="R398" s="598"/>
      <c r="S398" s="598"/>
      <c r="T398" s="598"/>
    </row>
    <row r="399" spans="1:20" s="600" customFormat="1" x14ac:dyDescent="0.25">
      <c r="A399" s="580" t="s">
        <v>2351</v>
      </c>
      <c r="B399" s="580"/>
      <c r="C399" s="581" t="s">
        <v>1623</v>
      </c>
      <c r="D399" s="580" t="s">
        <v>2352</v>
      </c>
      <c r="E399" s="582">
        <v>32957</v>
      </c>
      <c r="F399" s="582">
        <v>32957</v>
      </c>
      <c r="G399" s="581" t="s">
        <v>8842</v>
      </c>
      <c r="H399" s="580" t="s">
        <v>577</v>
      </c>
      <c r="I399" s="581" t="s">
        <v>8751</v>
      </c>
      <c r="J399" s="581" t="s">
        <v>8848</v>
      </c>
      <c r="K399" s="584" t="str">
        <f>HYPERLINK("https://okcountyrecords.com/detail/roger+mills/1990-001690","OKCountyRecords: 1990-001690")</f>
        <v>OKCountyRecords: 1990-001690</v>
      </c>
      <c r="L399" s="598"/>
      <c r="M399" s="598"/>
      <c r="N399" s="598"/>
      <c r="O399" s="598"/>
      <c r="P399" s="598"/>
      <c r="Q399" s="598"/>
      <c r="R399" s="598"/>
      <c r="S399" s="598"/>
      <c r="T399" s="598"/>
    </row>
    <row r="400" spans="1:20" s="600" customFormat="1" x14ac:dyDescent="0.25">
      <c r="A400" s="580" t="s">
        <v>2353</v>
      </c>
      <c r="B400" s="580"/>
      <c r="C400" s="581" t="s">
        <v>1623</v>
      </c>
      <c r="D400" s="580" t="s">
        <v>2354</v>
      </c>
      <c r="E400" s="582">
        <v>32960</v>
      </c>
      <c r="F400" s="582">
        <v>32960</v>
      </c>
      <c r="G400" s="580" t="s">
        <v>2235</v>
      </c>
      <c r="H400" s="580" t="s">
        <v>2355</v>
      </c>
      <c r="I400" s="581" t="s">
        <v>8751</v>
      </c>
      <c r="J400" s="581" t="s">
        <v>973</v>
      </c>
      <c r="K400" s="584" t="str">
        <f>HYPERLINK("https://okcountyrecords.com/detail/roger+mills/1990-001750","OKCountyRecords: 1990-001750")</f>
        <v>OKCountyRecords: 1990-001750</v>
      </c>
      <c r="L400" s="598"/>
      <c r="M400" s="598"/>
      <c r="N400" s="598"/>
      <c r="O400" s="598"/>
      <c r="P400" s="598"/>
      <c r="Q400" s="598"/>
      <c r="R400" s="598"/>
      <c r="S400" s="598"/>
      <c r="T400" s="598"/>
    </row>
    <row r="401" spans="1:20" s="600" customFormat="1" ht="25.5" x14ac:dyDescent="0.25">
      <c r="A401" s="580" t="s">
        <v>2359</v>
      </c>
      <c r="B401" s="580"/>
      <c r="C401" s="581" t="s">
        <v>8851</v>
      </c>
      <c r="D401" s="580" t="s">
        <v>2360</v>
      </c>
      <c r="E401" s="582">
        <v>32969</v>
      </c>
      <c r="F401" s="582">
        <v>32969</v>
      </c>
      <c r="G401" s="581" t="s">
        <v>8850</v>
      </c>
      <c r="H401" s="581" t="s">
        <v>1110</v>
      </c>
      <c r="I401" s="581" t="s">
        <v>2526</v>
      </c>
      <c r="J401" s="583" t="s">
        <v>8849</v>
      </c>
      <c r="K401" s="584" t="str">
        <f>HYPERLINK("https://okcountyrecords.com/detail/roger+mills/1990-001986","OKCountyRecords: 1990-001986")</f>
        <v>OKCountyRecords: 1990-001986</v>
      </c>
      <c r="L401" s="598"/>
      <c r="M401" s="598"/>
      <c r="N401" s="598"/>
      <c r="O401" s="598"/>
      <c r="P401" s="598"/>
      <c r="Q401" s="598"/>
      <c r="R401" s="598"/>
      <c r="S401" s="598"/>
      <c r="T401" s="598"/>
    </row>
    <row r="402" spans="1:20" s="600" customFormat="1" x14ac:dyDescent="0.25">
      <c r="A402" s="580" t="s">
        <v>2361</v>
      </c>
      <c r="B402" s="580"/>
      <c r="C402" s="581" t="s">
        <v>8852</v>
      </c>
      <c r="D402" s="580" t="s">
        <v>2362</v>
      </c>
      <c r="E402" s="582">
        <v>32969</v>
      </c>
      <c r="F402" s="582">
        <v>32969</v>
      </c>
      <c r="G402" s="581" t="s">
        <v>8850</v>
      </c>
      <c r="H402" s="581" t="s">
        <v>8853</v>
      </c>
      <c r="I402" s="581" t="s">
        <v>2526</v>
      </c>
      <c r="J402" s="581" t="s">
        <v>8849</v>
      </c>
      <c r="K402" s="584" t="str">
        <f>HYPERLINK("https://okcountyrecords.com/detail/roger+mills/1990-001987","OKCountyRecords: 1990-001987")</f>
        <v>OKCountyRecords: 1990-001987</v>
      </c>
      <c r="L402" s="598"/>
      <c r="M402" s="598"/>
      <c r="N402" s="598"/>
      <c r="O402" s="598"/>
      <c r="P402" s="598"/>
      <c r="Q402" s="598"/>
      <c r="R402" s="598"/>
      <c r="S402" s="598"/>
      <c r="T402" s="598"/>
    </row>
    <row r="403" spans="1:20" s="600" customFormat="1" x14ac:dyDescent="0.25">
      <c r="A403" s="580" t="s">
        <v>2363</v>
      </c>
      <c r="B403" s="580"/>
      <c r="C403" s="581" t="s">
        <v>8854</v>
      </c>
      <c r="D403" s="580" t="s">
        <v>2364</v>
      </c>
      <c r="E403" s="582">
        <v>32969</v>
      </c>
      <c r="F403" s="582">
        <v>32969</v>
      </c>
      <c r="G403" s="581" t="s">
        <v>8850</v>
      </c>
      <c r="H403" s="581" t="s">
        <v>8855</v>
      </c>
      <c r="I403" s="581" t="s">
        <v>2526</v>
      </c>
      <c r="J403" s="581" t="s">
        <v>8849</v>
      </c>
      <c r="K403" s="584" t="str">
        <f>HYPERLINK("https://okcountyrecords.com/detail/roger+mills/1990-001991","OKCountyRecords: 1990-001991")</f>
        <v>OKCountyRecords: 1990-001991</v>
      </c>
      <c r="L403" s="598"/>
      <c r="M403" s="598"/>
      <c r="N403" s="598"/>
      <c r="O403" s="598"/>
      <c r="P403" s="598"/>
      <c r="Q403" s="598"/>
      <c r="R403" s="598"/>
      <c r="S403" s="598"/>
      <c r="T403" s="598"/>
    </row>
    <row r="404" spans="1:20" s="600" customFormat="1" x14ac:dyDescent="0.25">
      <c r="A404" s="580" t="s">
        <v>2365</v>
      </c>
      <c r="B404" s="580"/>
      <c r="C404" s="581" t="s">
        <v>8856</v>
      </c>
      <c r="D404" s="580" t="s">
        <v>2366</v>
      </c>
      <c r="E404" s="582">
        <v>32969</v>
      </c>
      <c r="F404" s="582">
        <v>32969</v>
      </c>
      <c r="G404" s="581" t="s">
        <v>8850</v>
      </c>
      <c r="H404" s="581" t="s">
        <v>8855</v>
      </c>
      <c r="I404" s="581" t="s">
        <v>2526</v>
      </c>
      <c r="J404" s="581" t="s">
        <v>8849</v>
      </c>
      <c r="K404" s="584" t="str">
        <f>HYPERLINK("https://okcountyrecords.com/detail/roger+mills/1990-001992","OKCountyRecords: 1990-001992")</f>
        <v>OKCountyRecords: 1990-001992</v>
      </c>
      <c r="L404" s="598"/>
      <c r="M404" s="598"/>
      <c r="N404" s="598"/>
      <c r="O404" s="598"/>
      <c r="P404" s="598"/>
      <c r="Q404" s="598"/>
      <c r="R404" s="598"/>
      <c r="S404" s="598"/>
      <c r="T404" s="598"/>
    </row>
    <row r="405" spans="1:20" s="600" customFormat="1" x14ac:dyDescent="0.25">
      <c r="A405" s="580" t="s">
        <v>2367</v>
      </c>
      <c r="B405" s="580"/>
      <c r="C405" s="581" t="s">
        <v>8857</v>
      </c>
      <c r="D405" s="580" t="s">
        <v>2368</v>
      </c>
      <c r="E405" s="582">
        <v>32969</v>
      </c>
      <c r="F405" s="582">
        <v>32969</v>
      </c>
      <c r="G405" s="581" t="s">
        <v>8850</v>
      </c>
      <c r="H405" s="581" t="s">
        <v>8855</v>
      </c>
      <c r="I405" s="581" t="s">
        <v>2526</v>
      </c>
      <c r="J405" s="581" t="s">
        <v>8849</v>
      </c>
      <c r="K405" s="584" t="str">
        <f>HYPERLINK("https://okcountyrecords.com/detail/roger+mills/1990-001993","OKCountyRecords: 1990-001993")</f>
        <v>OKCountyRecords: 1990-001993</v>
      </c>
      <c r="L405" s="598"/>
      <c r="M405" s="598"/>
      <c r="N405" s="598"/>
      <c r="O405" s="598"/>
      <c r="P405" s="598"/>
      <c r="Q405" s="598"/>
      <c r="R405" s="598"/>
      <c r="S405" s="598"/>
      <c r="T405" s="598"/>
    </row>
    <row r="406" spans="1:20" s="600" customFormat="1" ht="51" x14ac:dyDescent="0.25">
      <c r="A406" s="580" t="s">
        <v>2369</v>
      </c>
      <c r="B406" s="580"/>
      <c r="C406" s="580" t="s">
        <v>1274</v>
      </c>
      <c r="D406" s="580" t="s">
        <v>2370</v>
      </c>
      <c r="E406" s="582">
        <v>32969</v>
      </c>
      <c r="F406" s="582">
        <v>32969</v>
      </c>
      <c r="G406" s="583" t="s">
        <v>8850</v>
      </c>
      <c r="H406" s="581" t="s">
        <v>8832</v>
      </c>
      <c r="I406" s="581" t="s">
        <v>2526</v>
      </c>
      <c r="J406" s="581" t="s">
        <v>8849</v>
      </c>
      <c r="K406" s="584" t="str">
        <f>HYPERLINK("https://okcountyrecords.com/detail/roger+mills/1990-001996","OKCountyRecords: 1990-001996")</f>
        <v>OKCountyRecords: 1990-001996</v>
      </c>
      <c r="L406" s="598"/>
      <c r="M406" s="598"/>
      <c r="N406" s="598"/>
      <c r="O406" s="598"/>
      <c r="P406" s="598"/>
      <c r="Q406" s="598"/>
      <c r="R406" s="598"/>
      <c r="S406" s="598"/>
      <c r="T406" s="598"/>
    </row>
    <row r="407" spans="1:20" s="591" customFormat="1" x14ac:dyDescent="0.25">
      <c r="A407" s="580" t="s">
        <v>2356</v>
      </c>
      <c r="B407" s="580"/>
      <c r="C407" s="581" t="s">
        <v>8858</v>
      </c>
      <c r="D407" s="580" t="s">
        <v>2357</v>
      </c>
      <c r="E407" s="582">
        <v>32969</v>
      </c>
      <c r="F407" s="582">
        <v>32969</v>
      </c>
      <c r="G407" s="581" t="s">
        <v>8860</v>
      </c>
      <c r="H407" s="581" t="s">
        <v>8859</v>
      </c>
      <c r="I407" s="581" t="s">
        <v>8804</v>
      </c>
      <c r="J407" s="581" t="s">
        <v>973</v>
      </c>
      <c r="K407" s="584" t="str">
        <f>HYPERLINK("https://okcountyrecords.com/detail/roger+mills/1990-001925","OKCountyRecords: 1990-001925")</f>
        <v>OKCountyRecords: 1990-001925</v>
      </c>
      <c r="L407" s="585"/>
      <c r="M407" s="585"/>
      <c r="N407" s="585"/>
      <c r="O407" s="585"/>
      <c r="P407" s="585"/>
      <c r="Q407" s="585"/>
      <c r="R407" s="585"/>
      <c r="S407" s="585"/>
      <c r="T407" s="585"/>
    </row>
    <row r="408" spans="1:20" s="591" customFormat="1" x14ac:dyDescent="0.25">
      <c r="A408" s="580" t="s">
        <v>2371</v>
      </c>
      <c r="B408" s="580"/>
      <c r="C408" s="581" t="s">
        <v>8863</v>
      </c>
      <c r="D408" s="580" t="s">
        <v>2372</v>
      </c>
      <c r="E408" s="582">
        <v>32975</v>
      </c>
      <c r="F408" s="582">
        <v>32975</v>
      </c>
      <c r="G408" s="581" t="s">
        <v>8861</v>
      </c>
      <c r="H408" s="580" t="s">
        <v>944</v>
      </c>
      <c r="I408" s="581" t="s">
        <v>8804</v>
      </c>
      <c r="J408" s="581" t="s">
        <v>973</v>
      </c>
      <c r="K408" s="584" t="str">
        <f>HYPERLINK("https://okcountyrecords.com/detail/roger+mills/1990-002146","OKCountyRecords: 1990-002146")</f>
        <v>OKCountyRecords: 1990-002146</v>
      </c>
      <c r="L408" s="585"/>
      <c r="M408" s="585"/>
      <c r="N408" s="585"/>
      <c r="O408" s="585"/>
      <c r="P408" s="585"/>
      <c r="Q408" s="585"/>
      <c r="R408" s="585"/>
      <c r="S408" s="585"/>
      <c r="T408" s="585"/>
    </row>
    <row r="409" spans="1:20" s="591" customFormat="1" x14ac:dyDescent="0.25">
      <c r="A409" s="580" t="s">
        <v>2374</v>
      </c>
      <c r="B409" s="580"/>
      <c r="C409" s="581" t="s">
        <v>8863</v>
      </c>
      <c r="D409" s="580" t="s">
        <v>2375</v>
      </c>
      <c r="E409" s="582">
        <v>32993</v>
      </c>
      <c r="F409" s="582">
        <v>32993</v>
      </c>
      <c r="G409" s="580" t="s">
        <v>944</v>
      </c>
      <c r="H409" s="580" t="s">
        <v>2376</v>
      </c>
      <c r="I409" s="581" t="s">
        <v>8804</v>
      </c>
      <c r="J409" s="581" t="s">
        <v>973</v>
      </c>
      <c r="K409" s="584" t="str">
        <f>HYPERLINK("https://okcountyrecords.com/detail/roger+mills/1990-002451","OKCountyRecords: 1990-002451")</f>
        <v>OKCountyRecords: 1990-002451</v>
      </c>
      <c r="L409" s="585"/>
      <c r="M409" s="585"/>
      <c r="N409" s="585"/>
      <c r="O409" s="585"/>
      <c r="P409" s="585"/>
      <c r="Q409" s="585"/>
      <c r="R409" s="585"/>
      <c r="S409" s="585"/>
      <c r="T409" s="585"/>
    </row>
    <row r="410" spans="1:20" ht="38.25" hidden="1" x14ac:dyDescent="0.25">
      <c r="A410" s="355" t="s">
        <v>2377</v>
      </c>
      <c r="B410" s="355"/>
      <c r="C410" s="355" t="s">
        <v>114</v>
      </c>
      <c r="D410" s="355" t="s">
        <v>2378</v>
      </c>
      <c r="E410" s="460">
        <v>32997</v>
      </c>
      <c r="F410" s="356">
        <v>32997</v>
      </c>
      <c r="G410" s="357" t="s">
        <v>2379</v>
      </c>
      <c r="H410" s="355" t="s">
        <v>2380</v>
      </c>
      <c r="I410" s="357" t="s">
        <v>1012</v>
      </c>
      <c r="J410" s="357" t="s">
        <v>996</v>
      </c>
      <c r="K410" s="426" t="str">
        <f>HYPERLINK("https://okcountyrecords.com/detail/roger+mills/1990-002553","OKCountyRecords: 1990-002553")</f>
        <v>OKCountyRecords: 1990-002553</v>
      </c>
    </row>
    <row r="411" spans="1:20" s="591" customFormat="1" ht="63.75" x14ac:dyDescent="0.25">
      <c r="A411" s="580" t="s">
        <v>2381</v>
      </c>
      <c r="B411" s="580"/>
      <c r="C411" s="580" t="s">
        <v>1623</v>
      </c>
      <c r="D411" s="580" t="s">
        <v>2382</v>
      </c>
      <c r="E411" s="582">
        <v>33000</v>
      </c>
      <c r="F411" s="582">
        <v>33000</v>
      </c>
      <c r="G411" s="580" t="s">
        <v>2383</v>
      </c>
      <c r="H411" s="581" t="s">
        <v>8855</v>
      </c>
      <c r="I411" s="581" t="s">
        <v>2526</v>
      </c>
      <c r="J411" s="583" t="s">
        <v>8862</v>
      </c>
      <c r="K411" s="584" t="str">
        <f>HYPERLINK("https://okcountyrecords.com/detail/roger+mills/1990-002606","OKCountyRecords: 1990-002606")</f>
        <v>OKCountyRecords: 1990-002606</v>
      </c>
      <c r="L411" s="585"/>
      <c r="M411" s="585"/>
      <c r="N411" s="585"/>
      <c r="O411" s="585"/>
      <c r="P411" s="585"/>
      <c r="Q411" s="585"/>
      <c r="R411" s="585"/>
      <c r="S411" s="585"/>
      <c r="T411" s="585"/>
    </row>
    <row r="412" spans="1:20" s="591" customFormat="1" x14ac:dyDescent="0.25">
      <c r="A412" s="580" t="s">
        <v>2385</v>
      </c>
      <c r="B412" s="580"/>
      <c r="C412" s="581" t="s">
        <v>8863</v>
      </c>
      <c r="D412" s="580" t="s">
        <v>2386</v>
      </c>
      <c r="E412" s="582">
        <v>33025</v>
      </c>
      <c r="F412" s="582">
        <v>33025</v>
      </c>
      <c r="G412" s="581" t="s">
        <v>8859</v>
      </c>
      <c r="H412" s="580" t="s">
        <v>944</v>
      </c>
      <c r="I412" s="581" t="s">
        <v>8804</v>
      </c>
      <c r="J412" s="581" t="s">
        <v>973</v>
      </c>
      <c r="K412" s="584" t="str">
        <f>HYPERLINK("https://okcountyrecords.com/detail/roger+mills/1990-003160","OKCountyRecords: 1990-003160")</f>
        <v>OKCountyRecords: 1990-003160</v>
      </c>
      <c r="L412" s="585"/>
      <c r="M412" s="585"/>
      <c r="N412" s="585"/>
      <c r="O412" s="585"/>
      <c r="P412" s="585"/>
      <c r="Q412" s="585"/>
      <c r="R412" s="585"/>
      <c r="S412" s="585"/>
      <c r="T412" s="585"/>
    </row>
    <row r="413" spans="1:20" hidden="1" x14ac:dyDescent="0.25">
      <c r="A413" s="355" t="s">
        <v>2387</v>
      </c>
      <c r="B413" s="355"/>
      <c r="C413" s="355" t="s">
        <v>114</v>
      </c>
      <c r="D413" s="355" t="s">
        <v>2388</v>
      </c>
      <c r="E413" s="460">
        <v>33033</v>
      </c>
      <c r="F413" s="356">
        <v>33033</v>
      </c>
      <c r="G413" s="355" t="s">
        <v>928</v>
      </c>
      <c r="H413" s="355" t="s">
        <v>2288</v>
      </c>
      <c r="I413" s="357" t="s">
        <v>1012</v>
      </c>
      <c r="J413" s="357" t="s">
        <v>996</v>
      </c>
      <c r="K413" s="426" t="str">
        <f>HYPERLINK("https://okcountyrecords.com/detail/roger+mills/1990-003980","OKCountyRecords: 1990-003980")</f>
        <v>OKCountyRecords: 1990-003980</v>
      </c>
    </row>
    <row r="414" spans="1:20" s="591" customFormat="1" x14ac:dyDescent="0.25">
      <c r="A414" s="580" t="s">
        <v>2389</v>
      </c>
      <c r="B414" s="580"/>
      <c r="C414" s="581" t="s">
        <v>8863</v>
      </c>
      <c r="D414" s="580" t="s">
        <v>2390</v>
      </c>
      <c r="E414" s="582">
        <v>33059</v>
      </c>
      <c r="F414" s="582">
        <v>33059</v>
      </c>
      <c r="G414" s="580" t="s">
        <v>944</v>
      </c>
      <c r="H414" s="581" t="s">
        <v>8864</v>
      </c>
      <c r="I414" s="581" t="s">
        <v>8804</v>
      </c>
      <c r="J414" s="581" t="s">
        <v>973</v>
      </c>
      <c r="K414" s="584" t="str">
        <f>HYPERLINK("https://okcountyrecords.com/detail/roger+mills/1990-003924","OKCountyRecords: 1990-003924")</f>
        <v>OKCountyRecords: 1990-003924</v>
      </c>
      <c r="L414" s="585"/>
      <c r="M414" s="585"/>
      <c r="N414" s="585"/>
      <c r="O414" s="585"/>
      <c r="P414" s="585"/>
      <c r="Q414" s="585"/>
      <c r="R414" s="585"/>
      <c r="S414" s="585"/>
      <c r="T414" s="585"/>
    </row>
    <row r="415" spans="1:20" s="591" customFormat="1" ht="51" x14ac:dyDescent="0.25">
      <c r="A415" s="580" t="s">
        <v>2392</v>
      </c>
      <c r="B415" s="580"/>
      <c r="C415" s="581" t="s">
        <v>2506</v>
      </c>
      <c r="D415" s="580" t="s">
        <v>2393</v>
      </c>
      <c r="E415" s="582">
        <v>33073</v>
      </c>
      <c r="F415" s="582">
        <v>33073</v>
      </c>
      <c r="G415" s="581" t="s">
        <v>2394</v>
      </c>
      <c r="H415" s="583" t="s">
        <v>8865</v>
      </c>
      <c r="I415" s="581" t="s">
        <v>8866</v>
      </c>
      <c r="J415" s="581" t="s">
        <v>973</v>
      </c>
      <c r="K415" s="584" t="str">
        <f>HYPERLINK("https://okcountyrecords.com/detail/roger+mills/1990-004213","OKCountyRecords: 1990-004213")</f>
        <v>OKCountyRecords: 1990-004213</v>
      </c>
      <c r="L415" s="585"/>
      <c r="M415" s="585"/>
      <c r="N415" s="585"/>
      <c r="O415" s="585"/>
      <c r="P415" s="585"/>
      <c r="Q415" s="585"/>
      <c r="R415" s="585"/>
      <c r="S415" s="585"/>
      <c r="T415" s="585"/>
    </row>
    <row r="416" spans="1:20" s="591" customFormat="1" ht="51" x14ac:dyDescent="0.25">
      <c r="A416" s="580" t="s">
        <v>2396</v>
      </c>
      <c r="B416" s="580"/>
      <c r="C416" s="580" t="s">
        <v>1623</v>
      </c>
      <c r="D416" s="580" t="s">
        <v>2397</v>
      </c>
      <c r="E416" s="582">
        <v>33114</v>
      </c>
      <c r="F416" s="582">
        <v>33114</v>
      </c>
      <c r="G416" s="581" t="s">
        <v>5725</v>
      </c>
      <c r="H416" s="580" t="s">
        <v>610</v>
      </c>
      <c r="I416" s="583" t="s">
        <v>8808</v>
      </c>
      <c r="J416" s="581" t="s">
        <v>8782</v>
      </c>
      <c r="K416" s="584" t="str">
        <f>HYPERLINK("https://okcountyrecords.com/detail/roger+mills/1990-005042","OKCountyRecords: 1990-005042")</f>
        <v>OKCountyRecords: 1990-005042</v>
      </c>
      <c r="L416" s="585"/>
      <c r="M416" s="585"/>
      <c r="N416" s="585"/>
      <c r="O416" s="585"/>
      <c r="P416" s="585"/>
      <c r="Q416" s="585"/>
      <c r="R416" s="585"/>
      <c r="S416" s="585"/>
      <c r="T416" s="585"/>
    </row>
    <row r="417" spans="1:20" s="591" customFormat="1" ht="51" x14ac:dyDescent="0.25">
      <c r="A417" s="580" t="s">
        <v>2398</v>
      </c>
      <c r="B417" s="580"/>
      <c r="C417" s="581" t="s">
        <v>2506</v>
      </c>
      <c r="D417" s="580" t="s">
        <v>2399</v>
      </c>
      <c r="E417" s="582">
        <v>33114</v>
      </c>
      <c r="F417" s="582">
        <v>33114</v>
      </c>
      <c r="G417" s="580" t="s">
        <v>304</v>
      </c>
      <c r="H417" s="580" t="s">
        <v>610</v>
      </c>
      <c r="I417" s="583" t="s">
        <v>8808</v>
      </c>
      <c r="J417" s="581" t="s">
        <v>973</v>
      </c>
      <c r="K417" s="584" t="str">
        <f>HYPERLINK("https://okcountyrecords.com/detail/roger+mills/1990-005043","OKCountyRecords: 1990-005043")</f>
        <v>OKCountyRecords: 1990-005043</v>
      </c>
      <c r="L417" s="585"/>
      <c r="M417" s="585"/>
      <c r="N417" s="585"/>
      <c r="O417" s="585"/>
      <c r="P417" s="585"/>
      <c r="Q417" s="585"/>
      <c r="R417" s="585"/>
      <c r="S417" s="585"/>
      <c r="T417" s="585"/>
    </row>
    <row r="418" spans="1:20" hidden="1" x14ac:dyDescent="0.25">
      <c r="A418" s="355" t="s">
        <v>2400</v>
      </c>
      <c r="B418" s="355"/>
      <c r="C418" s="355" t="s">
        <v>993</v>
      </c>
      <c r="D418" s="355" t="s">
        <v>2401</v>
      </c>
      <c r="E418" s="460">
        <v>33140</v>
      </c>
      <c r="F418" s="356">
        <v>33140</v>
      </c>
      <c r="G418" s="355" t="s">
        <v>447</v>
      </c>
      <c r="H418" s="355" t="s">
        <v>407</v>
      </c>
      <c r="I418" s="357" t="s">
        <v>242</v>
      </c>
      <c r="J418" s="357" t="s">
        <v>996</v>
      </c>
      <c r="K418" s="426" t="str">
        <f>HYPERLINK("https://okcountyrecords.com/detail/roger+mills/1990-005498","OKCountyRecords: 1990-005498")</f>
        <v>OKCountyRecords: 1990-005498</v>
      </c>
    </row>
    <row r="419" spans="1:20" s="591" customFormat="1" x14ac:dyDescent="0.25">
      <c r="A419" s="580" t="s">
        <v>2402</v>
      </c>
      <c r="B419" s="580"/>
      <c r="C419" s="581" t="s">
        <v>82</v>
      </c>
      <c r="D419" s="580" t="s">
        <v>2403</v>
      </c>
      <c r="E419" s="582">
        <v>33158</v>
      </c>
      <c r="F419" s="582">
        <v>33158</v>
      </c>
      <c r="G419" s="583" t="s">
        <v>2404</v>
      </c>
      <c r="H419" s="580" t="s">
        <v>2405</v>
      </c>
      <c r="I419" s="581" t="s">
        <v>8751</v>
      </c>
      <c r="J419" s="581" t="s">
        <v>973</v>
      </c>
      <c r="K419" s="584" t="str">
        <f>HYPERLINK("https://okcountyrecords.com/detail/roger+mills/1990-005848","OKCountyRecords: 1990-005848")</f>
        <v>OKCountyRecords: 1990-005848</v>
      </c>
      <c r="L419" s="585"/>
      <c r="M419" s="585"/>
      <c r="N419" s="585"/>
      <c r="O419" s="585"/>
      <c r="P419" s="585"/>
      <c r="Q419" s="585"/>
      <c r="R419" s="585"/>
      <c r="S419" s="585"/>
      <c r="T419" s="585"/>
    </row>
    <row r="420" spans="1:20" s="591" customFormat="1" ht="51" x14ac:dyDescent="0.25">
      <c r="A420" s="580" t="s">
        <v>2406</v>
      </c>
      <c r="B420" s="580"/>
      <c r="C420" s="581" t="s">
        <v>8712</v>
      </c>
      <c r="D420" s="580" t="s">
        <v>2407</v>
      </c>
      <c r="E420" s="582">
        <v>33205</v>
      </c>
      <c r="F420" s="582">
        <v>33205</v>
      </c>
      <c r="G420" s="583" t="s">
        <v>8867</v>
      </c>
      <c r="H420" s="583" t="s">
        <v>8868</v>
      </c>
      <c r="I420" s="581" t="s">
        <v>8804</v>
      </c>
      <c r="J420" s="581" t="s">
        <v>8869</v>
      </c>
      <c r="K420" s="584" t="str">
        <f>HYPERLINK("https://okcountyrecords.com/detail/roger+mills/1990-006747","OKCountyRecords: 1990-006747")</f>
        <v>OKCountyRecords: 1990-006747</v>
      </c>
      <c r="L420" s="585"/>
      <c r="M420" s="585"/>
      <c r="N420" s="585"/>
      <c r="O420" s="585"/>
      <c r="P420" s="585"/>
      <c r="Q420" s="585"/>
      <c r="R420" s="585"/>
      <c r="S420" s="585"/>
      <c r="T420" s="585"/>
    </row>
    <row r="421" spans="1:20" s="591" customFormat="1" ht="38.25" x14ac:dyDescent="0.25">
      <c r="A421" s="580" t="s">
        <v>2409</v>
      </c>
      <c r="B421" s="580"/>
      <c r="C421" s="580" t="s">
        <v>1623</v>
      </c>
      <c r="D421" s="580" t="s">
        <v>2410</v>
      </c>
      <c r="E421" s="582">
        <v>33277</v>
      </c>
      <c r="F421" s="582">
        <v>33277</v>
      </c>
      <c r="G421" s="580" t="s">
        <v>2411</v>
      </c>
      <c r="H421" s="583" t="s">
        <v>8870</v>
      </c>
      <c r="I421" s="581" t="s">
        <v>8751</v>
      </c>
      <c r="J421" s="581" t="s">
        <v>973</v>
      </c>
      <c r="K421" s="584" t="str">
        <f>HYPERLINK("https://okcountyrecords.com/detail/roger+mills/1991-000858","OKCountyRecords: 1991-000858")</f>
        <v>OKCountyRecords: 1991-000858</v>
      </c>
      <c r="L421" s="585"/>
      <c r="M421" s="585"/>
      <c r="N421" s="585"/>
      <c r="O421" s="585"/>
      <c r="P421" s="585"/>
      <c r="Q421" s="585"/>
      <c r="R421" s="585"/>
      <c r="S421" s="585"/>
      <c r="T421" s="585"/>
    </row>
    <row r="422" spans="1:20" hidden="1" x14ac:dyDescent="0.25">
      <c r="A422" s="355" t="s">
        <v>2413</v>
      </c>
      <c r="B422" s="355"/>
      <c r="C422" s="355" t="s">
        <v>114</v>
      </c>
      <c r="D422" s="355" t="s">
        <v>2414</v>
      </c>
      <c r="E422" s="460">
        <v>33315</v>
      </c>
      <c r="F422" s="356">
        <v>33315</v>
      </c>
      <c r="G422" s="355" t="s">
        <v>466</v>
      </c>
      <c r="H422" s="355" t="s">
        <v>2415</v>
      </c>
      <c r="I422" s="357" t="s">
        <v>1012</v>
      </c>
      <c r="J422" s="357" t="s">
        <v>996</v>
      </c>
      <c r="K422" s="426" t="str">
        <f>HYPERLINK("https://okcountyrecords.com/detail/roger+mills/1991-001479","OKCountyRecords: 1991-001479")</f>
        <v>OKCountyRecords: 1991-001479</v>
      </c>
    </row>
    <row r="423" spans="1:20" hidden="1" x14ac:dyDescent="0.25">
      <c r="A423" s="355" t="s">
        <v>2416</v>
      </c>
      <c r="B423" s="355"/>
      <c r="C423" s="355" t="s">
        <v>114</v>
      </c>
      <c r="D423" s="355" t="s">
        <v>2417</v>
      </c>
      <c r="E423" s="460">
        <v>33378</v>
      </c>
      <c r="F423" s="356">
        <v>33378</v>
      </c>
      <c r="G423" s="355" t="s">
        <v>928</v>
      </c>
      <c r="H423" s="355" t="s">
        <v>2288</v>
      </c>
      <c r="I423" s="357" t="s">
        <v>1012</v>
      </c>
      <c r="J423" s="357" t="s">
        <v>996</v>
      </c>
      <c r="K423" s="426" t="str">
        <f>HYPERLINK("https://okcountyrecords.com/detail/roger+mills/1991-002362","OKCountyRecords: 1991-002362")</f>
        <v>OKCountyRecords: 1991-002362</v>
      </c>
    </row>
    <row r="424" spans="1:20" s="591" customFormat="1" ht="140.25" x14ac:dyDescent="0.25">
      <c r="A424" s="580" t="s">
        <v>2418</v>
      </c>
      <c r="B424" s="580"/>
      <c r="C424" s="580" t="s">
        <v>1107</v>
      </c>
      <c r="D424" s="580" t="s">
        <v>2419</v>
      </c>
      <c r="E424" s="582">
        <v>33399</v>
      </c>
      <c r="F424" s="582">
        <v>33399</v>
      </c>
      <c r="G424" s="581" t="s">
        <v>8871</v>
      </c>
      <c r="H424" s="580" t="s">
        <v>1110</v>
      </c>
      <c r="I424" s="580" t="s">
        <v>1003</v>
      </c>
      <c r="J424" s="583" t="s">
        <v>8872</v>
      </c>
      <c r="K424" s="584" t="str">
        <f>HYPERLINK("https://okcountyrecords.com/detail/roger+mills/1991-002734","OKCountyRecords: 1991-002734")</f>
        <v>OKCountyRecords: 1991-002734</v>
      </c>
      <c r="L424" s="585"/>
      <c r="M424" s="585"/>
      <c r="N424" s="585"/>
      <c r="O424" s="585"/>
      <c r="P424" s="585"/>
      <c r="Q424" s="585"/>
      <c r="R424" s="585"/>
      <c r="S424" s="585"/>
      <c r="T424" s="585"/>
    </row>
    <row r="425" spans="1:20" ht="25.5" hidden="1" x14ac:dyDescent="0.25">
      <c r="A425" s="355" t="s">
        <v>2421</v>
      </c>
      <c r="B425" s="355"/>
      <c r="C425" s="355" t="s">
        <v>114</v>
      </c>
      <c r="D425" s="355" t="s">
        <v>2422</v>
      </c>
      <c r="E425" s="460">
        <v>33444</v>
      </c>
      <c r="F425" s="356">
        <v>33444</v>
      </c>
      <c r="G425" s="357" t="s">
        <v>2423</v>
      </c>
      <c r="H425" s="355" t="s">
        <v>2415</v>
      </c>
      <c r="I425" s="357" t="s">
        <v>1012</v>
      </c>
      <c r="J425" s="428" t="s">
        <v>2424</v>
      </c>
      <c r="K425" s="426" t="str">
        <f>HYPERLINK("https://okcountyrecords.com/detail/roger+mills/1991-003350","OKCountyRecords: 1991-003350")</f>
        <v>OKCountyRecords: 1991-003350</v>
      </c>
    </row>
    <row r="426" spans="1:20" ht="25.5" hidden="1" x14ac:dyDescent="0.25">
      <c r="A426" s="355" t="s">
        <v>2425</v>
      </c>
      <c r="B426" s="355"/>
      <c r="C426" s="355" t="s">
        <v>114</v>
      </c>
      <c r="D426" s="355" t="s">
        <v>2426</v>
      </c>
      <c r="E426" s="460">
        <v>33451</v>
      </c>
      <c r="F426" s="356">
        <v>33451</v>
      </c>
      <c r="G426" s="357" t="s">
        <v>2427</v>
      </c>
      <c r="H426" s="355" t="s">
        <v>2428</v>
      </c>
      <c r="I426" s="357" t="s">
        <v>1012</v>
      </c>
      <c r="J426" s="357" t="s">
        <v>996</v>
      </c>
      <c r="K426" s="426" t="str">
        <f>HYPERLINK("https://okcountyrecords.com/detail/roger+mills/1991-003462","OKCountyRecords: 1991-003462")</f>
        <v>OKCountyRecords: 1991-003462</v>
      </c>
    </row>
    <row r="427" spans="1:20" s="591" customFormat="1" ht="76.5" x14ac:dyDescent="0.25">
      <c r="A427" s="580" t="s">
        <v>2429</v>
      </c>
      <c r="B427" s="580"/>
      <c r="C427" s="580" t="s">
        <v>2430</v>
      </c>
      <c r="D427" s="580" t="s">
        <v>2431</v>
      </c>
      <c r="E427" s="582">
        <v>33456</v>
      </c>
      <c r="F427" s="582">
        <v>33456</v>
      </c>
      <c r="G427" s="583" t="s">
        <v>8873</v>
      </c>
      <c r="H427" s="583" t="s">
        <v>8874</v>
      </c>
      <c r="I427" s="581" t="s">
        <v>2526</v>
      </c>
      <c r="J427" s="583" t="s">
        <v>8879</v>
      </c>
      <c r="K427" s="584" t="str">
        <f>HYPERLINK("https://okcountyrecords.com/detail/roger+mills/1991-003518","OKCountyRecords: 1991-003518")</f>
        <v>OKCountyRecords: 1991-003518</v>
      </c>
      <c r="L427" s="585"/>
      <c r="M427" s="585"/>
      <c r="N427" s="585"/>
      <c r="O427" s="585"/>
      <c r="P427" s="585"/>
      <c r="Q427" s="585"/>
      <c r="R427" s="585"/>
      <c r="S427" s="585"/>
      <c r="T427" s="585"/>
    </row>
    <row r="428" spans="1:20" hidden="1" x14ac:dyDescent="0.25">
      <c r="A428" s="355" t="s">
        <v>2433</v>
      </c>
      <c r="B428" s="355"/>
      <c r="C428" s="355" t="s">
        <v>114</v>
      </c>
      <c r="D428" s="355" t="s">
        <v>2434</v>
      </c>
      <c r="E428" s="356">
        <v>33456</v>
      </c>
      <c r="F428" s="356">
        <v>33518</v>
      </c>
      <c r="G428" s="355" t="s">
        <v>2082</v>
      </c>
      <c r="H428" s="355" t="s">
        <v>2435</v>
      </c>
      <c r="I428" s="357" t="s">
        <v>1003</v>
      </c>
      <c r="J428" s="357" t="s">
        <v>996</v>
      </c>
      <c r="K428" s="426" t="str">
        <f>HYPERLINK("https://okcountyrecords.com/detail/roger+mills/1991-004416","OKCountyRecords: 1991-004416")</f>
        <v>OKCountyRecords: 1991-004416</v>
      </c>
    </row>
    <row r="429" spans="1:20" s="591" customFormat="1" x14ac:dyDescent="0.25">
      <c r="A429" s="580" t="s">
        <v>2436</v>
      </c>
      <c r="B429" s="580"/>
      <c r="C429" s="580" t="s">
        <v>2437</v>
      </c>
      <c r="D429" s="580" t="s">
        <v>2438</v>
      </c>
      <c r="E429" s="582">
        <v>33522</v>
      </c>
      <c r="F429" s="582">
        <v>33522</v>
      </c>
      <c r="G429" s="580" t="s">
        <v>806</v>
      </c>
      <c r="H429" s="580" t="s">
        <v>2439</v>
      </c>
      <c r="I429" s="580" t="s">
        <v>1003</v>
      </c>
      <c r="J429" s="581" t="s">
        <v>973</v>
      </c>
      <c r="K429" s="584" t="str">
        <f>HYPERLINK("https://okcountyrecords.com/detail/roger+mills/1991-004456","OKCountyRecords: 1991-004456")</f>
        <v>OKCountyRecords: 1991-004456</v>
      </c>
      <c r="L429" s="585"/>
      <c r="M429" s="585"/>
      <c r="N429" s="585"/>
      <c r="O429" s="585"/>
      <c r="P429" s="585"/>
      <c r="Q429" s="585"/>
      <c r="R429" s="585"/>
      <c r="S429" s="585"/>
      <c r="T429" s="585"/>
    </row>
    <row r="430" spans="1:20" ht="63.75" x14ac:dyDescent="0.25">
      <c r="A430" s="355" t="s">
        <v>2440</v>
      </c>
      <c r="B430" s="355"/>
      <c r="C430" s="355" t="s">
        <v>2441</v>
      </c>
      <c r="D430" s="355" t="s">
        <v>2442</v>
      </c>
      <c r="E430" s="460">
        <v>33528</v>
      </c>
      <c r="F430" s="356">
        <v>33528</v>
      </c>
      <c r="G430" s="358" t="s">
        <v>2443</v>
      </c>
      <c r="H430" s="358" t="s">
        <v>2444</v>
      </c>
      <c r="I430" s="355" t="s">
        <v>1003</v>
      </c>
      <c r="J430" s="355" t="s">
        <v>1095</v>
      </c>
      <c r="K430" s="426" t="str">
        <f>HYPERLINK("https://okcountyrecords.com/detail/roger+mills/1991-004543","OKCountyRecords: 1991-004543")</f>
        <v>OKCountyRecords: 1991-004543</v>
      </c>
    </row>
    <row r="431" spans="1:20" x14ac:dyDescent="0.25">
      <c r="A431" s="355" t="s">
        <v>2445</v>
      </c>
      <c r="B431" s="355"/>
      <c r="C431" s="355" t="s">
        <v>2441</v>
      </c>
      <c r="D431" s="355" t="s">
        <v>2446</v>
      </c>
      <c r="E431" s="460">
        <v>33574</v>
      </c>
      <c r="F431" s="356">
        <v>33574</v>
      </c>
      <c r="G431" s="355" t="s">
        <v>2411</v>
      </c>
      <c r="H431" s="355" t="s">
        <v>2447</v>
      </c>
      <c r="I431" s="355" t="s">
        <v>1003</v>
      </c>
      <c r="J431" s="355" t="s">
        <v>1095</v>
      </c>
      <c r="K431" s="426" t="str">
        <f>HYPERLINK("https://okcountyrecords.com/detail/roger+mills/1991-005340","OKCountyRecords: 1991-005340")</f>
        <v>OKCountyRecords: 1991-005340</v>
      </c>
    </row>
    <row r="432" spans="1:20" x14ac:dyDescent="0.25">
      <c r="A432" s="355" t="s">
        <v>2448</v>
      </c>
      <c r="B432" s="355"/>
      <c r="C432" s="355" t="s">
        <v>1107</v>
      </c>
      <c r="D432" s="355" t="s">
        <v>2449</v>
      </c>
      <c r="E432" s="460">
        <v>33682</v>
      </c>
      <c r="F432" s="356">
        <v>33682</v>
      </c>
      <c r="G432" s="355" t="s">
        <v>2376</v>
      </c>
      <c r="H432" s="355" t="s">
        <v>1110</v>
      </c>
      <c r="I432" s="355" t="s">
        <v>1003</v>
      </c>
      <c r="J432" s="355" t="s">
        <v>1095</v>
      </c>
      <c r="K432" s="426" t="str">
        <f>HYPERLINK("https://okcountyrecords.com/detail/roger+mills/1992-000943","OKCountyRecords: 1992-000943")</f>
        <v>OKCountyRecords: 1992-000943</v>
      </c>
    </row>
    <row r="433" spans="1:11" x14ac:dyDescent="0.25">
      <c r="A433" s="355" t="s">
        <v>2450</v>
      </c>
      <c r="B433" s="355"/>
      <c r="C433" s="355" t="s">
        <v>1623</v>
      </c>
      <c r="D433" s="355" t="s">
        <v>2451</v>
      </c>
      <c r="E433" s="460">
        <v>33693</v>
      </c>
      <c r="F433" s="356">
        <v>33693</v>
      </c>
      <c r="G433" s="355" t="s">
        <v>2452</v>
      </c>
      <c r="H433" s="355" t="s">
        <v>492</v>
      </c>
      <c r="I433" s="355" t="s">
        <v>1003</v>
      </c>
      <c r="J433" s="355" t="s">
        <v>1625</v>
      </c>
      <c r="K433" s="426" t="str">
        <f>HYPERLINK("https://okcountyrecords.com/detail/roger+mills/1992-001067","OKCountyRecords: 1992-001067")</f>
        <v>OKCountyRecords: 1992-001067</v>
      </c>
    </row>
    <row r="434" spans="1:11" x14ac:dyDescent="0.25">
      <c r="A434" s="355" t="s">
        <v>2453</v>
      </c>
      <c r="B434" s="355"/>
      <c r="C434" s="355" t="s">
        <v>969</v>
      </c>
      <c r="D434" s="355" t="s">
        <v>2454</v>
      </c>
      <c r="E434" s="460">
        <v>33737</v>
      </c>
      <c r="F434" s="356">
        <v>33737</v>
      </c>
      <c r="G434" s="355" t="s">
        <v>610</v>
      </c>
      <c r="H434" s="355" t="s">
        <v>507</v>
      </c>
      <c r="I434" s="355" t="s">
        <v>1003</v>
      </c>
      <c r="J434" s="355" t="s">
        <v>985</v>
      </c>
      <c r="K434" s="426" t="str">
        <f>HYPERLINK("https://okcountyrecords.com/detail/roger+mills/1992-001682","OKCountyRecords: 1992-001682")</f>
        <v>OKCountyRecords: 1992-001682</v>
      </c>
    </row>
    <row r="435" spans="1:11" x14ac:dyDescent="0.25">
      <c r="A435" s="355" t="s">
        <v>2455</v>
      </c>
      <c r="B435" s="355"/>
      <c r="C435" s="355" t="s">
        <v>969</v>
      </c>
      <c r="D435" s="355" t="s">
        <v>2456</v>
      </c>
      <c r="E435" s="460">
        <v>33750</v>
      </c>
      <c r="F435" s="356">
        <v>33750</v>
      </c>
      <c r="G435" s="355" t="s">
        <v>2457</v>
      </c>
      <c r="H435" s="355" t="s">
        <v>463</v>
      </c>
      <c r="I435" s="355" t="s">
        <v>1003</v>
      </c>
      <c r="J435" s="355" t="s">
        <v>985</v>
      </c>
      <c r="K435" s="426" t="str">
        <f>HYPERLINK("https://okcountyrecords.com/detail/roger+mills/1992-001861","OKCountyRecords: 1992-001861")</f>
        <v>OKCountyRecords: 1992-001861</v>
      </c>
    </row>
    <row r="436" spans="1:11" x14ac:dyDescent="0.25">
      <c r="A436" s="355" t="s">
        <v>2458</v>
      </c>
      <c r="B436" s="355"/>
      <c r="C436" s="355" t="s">
        <v>969</v>
      </c>
      <c r="D436" s="355" t="s">
        <v>2459</v>
      </c>
      <c r="E436" s="460">
        <v>33750</v>
      </c>
      <c r="F436" s="356">
        <v>33750</v>
      </c>
      <c r="G436" s="355" t="s">
        <v>2457</v>
      </c>
      <c r="H436" s="355" t="s">
        <v>2241</v>
      </c>
      <c r="I436" s="355" t="s">
        <v>1003</v>
      </c>
      <c r="J436" s="355" t="s">
        <v>985</v>
      </c>
      <c r="K436" s="426" t="str">
        <f>HYPERLINK("https://okcountyrecords.com/detail/roger+mills/1992-001862","OKCountyRecords: 1992-001862")</f>
        <v>OKCountyRecords: 1992-001862</v>
      </c>
    </row>
    <row r="437" spans="1:11" x14ac:dyDescent="0.25">
      <c r="A437" s="355" t="s">
        <v>2460</v>
      </c>
      <c r="B437" s="355"/>
      <c r="C437" s="355" t="s">
        <v>969</v>
      </c>
      <c r="D437" s="355" t="s">
        <v>2461</v>
      </c>
      <c r="E437" s="460">
        <v>33750</v>
      </c>
      <c r="F437" s="356">
        <v>33750</v>
      </c>
      <c r="G437" s="355" t="s">
        <v>2457</v>
      </c>
      <c r="H437" s="355" t="s">
        <v>2227</v>
      </c>
      <c r="I437" s="355" t="s">
        <v>1003</v>
      </c>
      <c r="J437" s="355" t="s">
        <v>985</v>
      </c>
      <c r="K437" s="426" t="str">
        <f>HYPERLINK("https://okcountyrecords.com/detail/roger+mills/1992-001863","OKCountyRecords: 1992-001863")</f>
        <v>OKCountyRecords: 1992-001863</v>
      </c>
    </row>
    <row r="438" spans="1:11" x14ac:dyDescent="0.25">
      <c r="A438" s="355" t="s">
        <v>2462</v>
      </c>
      <c r="B438" s="355"/>
      <c r="C438" s="355" t="s">
        <v>969</v>
      </c>
      <c r="D438" s="355" t="s">
        <v>2463</v>
      </c>
      <c r="E438" s="460">
        <v>33750</v>
      </c>
      <c r="F438" s="356">
        <v>33750</v>
      </c>
      <c r="G438" s="355" t="s">
        <v>2457</v>
      </c>
      <c r="H438" s="355" t="s">
        <v>2230</v>
      </c>
      <c r="I438" s="355" t="s">
        <v>1003</v>
      </c>
      <c r="J438" s="355" t="s">
        <v>985</v>
      </c>
      <c r="K438" s="426" t="str">
        <f>HYPERLINK("https://okcountyrecords.com/detail/roger+mills/1992-001865","OKCountyRecords: 1992-001865")</f>
        <v>OKCountyRecords: 1992-001865</v>
      </c>
    </row>
    <row r="439" spans="1:11" x14ac:dyDescent="0.25">
      <c r="A439" s="355" t="s">
        <v>2464</v>
      </c>
      <c r="B439" s="355"/>
      <c r="C439" s="355" t="s">
        <v>969</v>
      </c>
      <c r="D439" s="355" t="s">
        <v>2465</v>
      </c>
      <c r="E439" s="460">
        <v>33750</v>
      </c>
      <c r="F439" s="356">
        <v>33750</v>
      </c>
      <c r="G439" s="355" t="s">
        <v>2457</v>
      </c>
      <c r="H439" s="355" t="s">
        <v>2466</v>
      </c>
      <c r="I439" s="355" t="s">
        <v>1003</v>
      </c>
      <c r="J439" s="355" t="s">
        <v>985</v>
      </c>
      <c r="K439" s="426" t="str">
        <f>HYPERLINK("https://okcountyrecords.com/detail/roger+mills/1992-001866","OKCountyRecords: 1992-001866")</f>
        <v>OKCountyRecords: 1992-001866</v>
      </c>
    </row>
    <row r="440" spans="1:11" x14ac:dyDescent="0.25">
      <c r="A440" s="355" t="s">
        <v>2467</v>
      </c>
      <c r="B440" s="355"/>
      <c r="C440" s="355" t="s">
        <v>969</v>
      </c>
      <c r="D440" s="355" t="s">
        <v>2468</v>
      </c>
      <c r="E440" s="460">
        <v>33750</v>
      </c>
      <c r="F440" s="356">
        <v>33750</v>
      </c>
      <c r="G440" s="355" t="s">
        <v>2457</v>
      </c>
      <c r="H440" s="355" t="s">
        <v>2222</v>
      </c>
      <c r="I440" s="355" t="s">
        <v>1003</v>
      </c>
      <c r="J440" s="355" t="s">
        <v>985</v>
      </c>
      <c r="K440" s="426" t="str">
        <f>HYPERLINK("https://okcountyrecords.com/detail/roger+mills/1992-001867","OKCountyRecords: 1992-001867")</f>
        <v>OKCountyRecords: 1992-001867</v>
      </c>
    </row>
    <row r="441" spans="1:11" x14ac:dyDescent="0.25">
      <c r="A441" s="355" t="s">
        <v>2469</v>
      </c>
      <c r="B441" s="355"/>
      <c r="C441" s="355" t="s">
        <v>969</v>
      </c>
      <c r="D441" s="355" t="s">
        <v>2470</v>
      </c>
      <c r="E441" s="460">
        <v>33857</v>
      </c>
      <c r="F441" s="356">
        <v>33857</v>
      </c>
      <c r="G441" s="355" t="s">
        <v>472</v>
      </c>
      <c r="H441" s="355" t="s">
        <v>265</v>
      </c>
      <c r="I441" s="355" t="s">
        <v>1003</v>
      </c>
      <c r="J441" s="355" t="s">
        <v>985</v>
      </c>
      <c r="K441" s="426" t="str">
        <f>HYPERLINK("https://okcountyrecords.com/detail/roger+mills/1992-003373","OKCountyRecords: 1992-003373")</f>
        <v>OKCountyRecords: 1992-003373</v>
      </c>
    </row>
    <row r="442" spans="1:11" x14ac:dyDescent="0.25">
      <c r="A442" s="355" t="s">
        <v>2471</v>
      </c>
      <c r="B442" s="355"/>
      <c r="C442" s="355" t="s">
        <v>969</v>
      </c>
      <c r="D442" s="355" t="s">
        <v>2472</v>
      </c>
      <c r="E442" s="460">
        <v>33868</v>
      </c>
      <c r="F442" s="356">
        <v>33868</v>
      </c>
      <c r="G442" s="355" t="s">
        <v>2157</v>
      </c>
      <c r="H442" s="355" t="s">
        <v>394</v>
      </c>
      <c r="I442" s="355" t="s">
        <v>1003</v>
      </c>
      <c r="J442" s="355" t="s">
        <v>985</v>
      </c>
      <c r="K442" s="426" t="str">
        <f>HYPERLINK("https://okcountyrecords.com/detail/roger+mills/1992-003494","OKCountyRecords: 1992-003494")</f>
        <v>OKCountyRecords: 1992-003494</v>
      </c>
    </row>
    <row r="443" spans="1:11" ht="25.5" hidden="1" x14ac:dyDescent="0.25">
      <c r="A443" s="355" t="s">
        <v>2473</v>
      </c>
      <c r="B443" s="355"/>
      <c r="C443" s="355" t="s">
        <v>114</v>
      </c>
      <c r="D443" s="355" t="s">
        <v>2474</v>
      </c>
      <c r="E443" s="460">
        <v>33898</v>
      </c>
      <c r="F443" s="356">
        <v>33898</v>
      </c>
      <c r="G443" s="357" t="s">
        <v>2475</v>
      </c>
      <c r="H443" s="355" t="s">
        <v>2476</v>
      </c>
      <c r="I443" s="357" t="s">
        <v>1003</v>
      </c>
      <c r="J443" s="357" t="s">
        <v>996</v>
      </c>
      <c r="K443" s="426" t="str">
        <f>HYPERLINK("https://okcountyrecords.com/detail/roger+mills/1992-003918","OKCountyRecords: 1992-003918")</f>
        <v>OKCountyRecords: 1992-003918</v>
      </c>
    </row>
    <row r="444" spans="1:11" hidden="1" x14ac:dyDescent="0.25">
      <c r="A444" s="355" t="s">
        <v>2477</v>
      </c>
      <c r="B444" s="355"/>
      <c r="C444" s="355" t="s">
        <v>114</v>
      </c>
      <c r="D444" s="355" t="s">
        <v>2478</v>
      </c>
      <c r="E444" s="460">
        <v>33966</v>
      </c>
      <c r="F444" s="356">
        <v>33966</v>
      </c>
      <c r="G444" s="355" t="s">
        <v>2479</v>
      </c>
      <c r="H444" s="355" t="s">
        <v>2480</v>
      </c>
      <c r="I444" s="357" t="s">
        <v>1012</v>
      </c>
      <c r="J444" s="357" t="s">
        <v>996</v>
      </c>
      <c r="K444" s="426" t="str">
        <f>HYPERLINK("https://okcountyrecords.com/detail/roger+mills/1992-004778","OKCountyRecords: 1992-004778")</f>
        <v>OKCountyRecords: 1992-004778</v>
      </c>
    </row>
    <row r="445" spans="1:11" ht="25.5" hidden="1" x14ac:dyDescent="0.25">
      <c r="A445" s="355" t="s">
        <v>2481</v>
      </c>
      <c r="B445" s="355"/>
      <c r="C445" s="355" t="s">
        <v>114</v>
      </c>
      <c r="D445" s="355" t="s">
        <v>2482</v>
      </c>
      <c r="E445" s="460">
        <v>33977</v>
      </c>
      <c r="F445" s="356">
        <v>33977</v>
      </c>
      <c r="G445" s="357" t="s">
        <v>2475</v>
      </c>
      <c r="H445" s="355" t="s">
        <v>2476</v>
      </c>
      <c r="I445" s="357" t="s">
        <v>1003</v>
      </c>
      <c r="J445" s="357" t="s">
        <v>996</v>
      </c>
      <c r="K445" s="426" t="str">
        <f>HYPERLINK("https://okcountyrecords.com/detail/roger+mills/1993-000098","OKCountyRecords: 1993-000098")</f>
        <v>OKCountyRecords: 1993-000098</v>
      </c>
    </row>
    <row r="446" spans="1:11" x14ac:dyDescent="0.25">
      <c r="A446" s="360" t="s">
        <v>2483</v>
      </c>
      <c r="B446" s="360"/>
      <c r="C446" s="360" t="s">
        <v>1091</v>
      </c>
      <c r="D446" s="360" t="s">
        <v>2484</v>
      </c>
      <c r="E446" s="460">
        <v>34018</v>
      </c>
      <c r="F446" s="361">
        <v>34018</v>
      </c>
      <c r="G446" s="360" t="s">
        <v>2485</v>
      </c>
      <c r="H446" s="360" t="s">
        <v>2486</v>
      </c>
      <c r="I446" s="360" t="s">
        <v>1012</v>
      </c>
      <c r="J446" s="360" t="s">
        <v>1095</v>
      </c>
      <c r="K446" s="427" t="str">
        <f>HYPERLINK("https://okcountyrecords.com/detail/roger+mills/1993-000717","OKCountyRecords: 1993-000717")</f>
        <v>OKCountyRecords: 1993-000717</v>
      </c>
    </row>
    <row r="447" spans="1:11" x14ac:dyDescent="0.25">
      <c r="A447" s="355" t="s">
        <v>2487</v>
      </c>
      <c r="B447" s="355"/>
      <c r="C447" s="355" t="s">
        <v>1274</v>
      </c>
      <c r="D447" s="355" t="s">
        <v>2488</v>
      </c>
      <c r="E447" s="460">
        <v>34032</v>
      </c>
      <c r="F447" s="356">
        <v>34032</v>
      </c>
      <c r="G447" s="355" t="s">
        <v>2489</v>
      </c>
      <c r="H447" s="355" t="s">
        <v>2490</v>
      </c>
      <c r="I447" s="355" t="s">
        <v>2491</v>
      </c>
      <c r="J447" s="355" t="s">
        <v>985</v>
      </c>
      <c r="K447" s="426" t="str">
        <f>HYPERLINK("https://okcountyrecords.com/detail/roger+mills/1993-000918","OKCountyRecords: 1993-000918")</f>
        <v>OKCountyRecords: 1993-000918</v>
      </c>
    </row>
    <row r="448" spans="1:11" x14ac:dyDescent="0.25">
      <c r="A448" s="355" t="s">
        <v>2492</v>
      </c>
      <c r="B448" s="355"/>
      <c r="C448" s="355" t="s">
        <v>1107</v>
      </c>
      <c r="D448" s="355" t="s">
        <v>2493</v>
      </c>
      <c r="E448" s="460">
        <v>34036</v>
      </c>
      <c r="F448" s="356">
        <v>34036</v>
      </c>
      <c r="G448" s="355" t="s">
        <v>566</v>
      </c>
      <c r="H448" s="355" t="s">
        <v>1110</v>
      </c>
      <c r="I448" s="355" t="s">
        <v>1003</v>
      </c>
      <c r="J448" s="355" t="s">
        <v>1095</v>
      </c>
      <c r="K448" s="426" t="str">
        <f>HYPERLINK("https://okcountyrecords.com/detail/roger+mills/1993-000978","OKCountyRecords: 1993-000978")</f>
        <v>OKCountyRecords: 1993-000978</v>
      </c>
    </row>
    <row r="449" spans="1:11" ht="38.25" hidden="1" x14ac:dyDescent="0.25">
      <c r="A449" s="355" t="s">
        <v>2494</v>
      </c>
      <c r="B449" s="355"/>
      <c r="C449" s="355" t="s">
        <v>114</v>
      </c>
      <c r="D449" s="355" t="s">
        <v>2495</v>
      </c>
      <c r="E449" s="460">
        <v>34088</v>
      </c>
      <c r="F449" s="356">
        <v>34088</v>
      </c>
      <c r="G449" s="355" t="s">
        <v>2496</v>
      </c>
      <c r="H449" s="357" t="s">
        <v>2497</v>
      </c>
      <c r="I449" s="357" t="s">
        <v>1012</v>
      </c>
      <c r="J449" s="357" t="s">
        <v>996</v>
      </c>
      <c r="K449" s="426" t="str">
        <f>HYPERLINK("https://okcountyrecords.com/detail/roger+mills/1993-001727","OKCountyRecords: 1993-001727")</f>
        <v>OKCountyRecords: 1993-001727</v>
      </c>
    </row>
    <row r="450" spans="1:11" hidden="1" x14ac:dyDescent="0.25">
      <c r="A450" s="355" t="s">
        <v>2498</v>
      </c>
      <c r="B450" s="355"/>
      <c r="C450" s="355" t="s">
        <v>114</v>
      </c>
      <c r="D450" s="355" t="s">
        <v>2499</v>
      </c>
      <c r="E450" s="460">
        <v>34116</v>
      </c>
      <c r="F450" s="356">
        <v>34116</v>
      </c>
      <c r="G450" s="355" t="s">
        <v>2500</v>
      </c>
      <c r="H450" s="355" t="s">
        <v>2501</v>
      </c>
      <c r="I450" s="357" t="s">
        <v>1003</v>
      </c>
      <c r="J450" s="357" t="s">
        <v>996</v>
      </c>
      <c r="K450" s="426" t="str">
        <f>HYPERLINK("https://okcountyrecords.com/detail/roger+mills/1993-002107","OKCountyRecords: 1993-002107")</f>
        <v>OKCountyRecords: 1993-002107</v>
      </c>
    </row>
    <row r="451" spans="1:11" x14ac:dyDescent="0.25">
      <c r="A451" s="355" t="s">
        <v>2502</v>
      </c>
      <c r="B451" s="355"/>
      <c r="C451" s="355" t="s">
        <v>969</v>
      </c>
      <c r="D451" s="355" t="s">
        <v>2503</v>
      </c>
      <c r="E451" s="460">
        <v>34199</v>
      </c>
      <c r="F451" s="356">
        <v>34199</v>
      </c>
      <c r="G451" s="355" t="s">
        <v>2504</v>
      </c>
      <c r="H451" s="355" t="s">
        <v>2428</v>
      </c>
      <c r="I451" s="355" t="s">
        <v>1003</v>
      </c>
      <c r="J451" s="355" t="s">
        <v>985</v>
      </c>
      <c r="K451" s="426" t="str">
        <f>HYPERLINK("https://okcountyrecords.com/detail/roger+mills/1993-003365","OKCountyRecords: 1993-003365")</f>
        <v>OKCountyRecords: 1993-003365</v>
      </c>
    </row>
    <row r="452" spans="1:11" x14ac:dyDescent="0.25">
      <c r="A452" s="355" t="s">
        <v>2505</v>
      </c>
      <c r="B452" s="355"/>
      <c r="C452" s="355" t="s">
        <v>2506</v>
      </c>
      <c r="D452" s="355" t="s">
        <v>2507</v>
      </c>
      <c r="E452" s="460">
        <v>34432</v>
      </c>
      <c r="F452" s="356">
        <v>34432</v>
      </c>
      <c r="G452" s="355" t="s">
        <v>568</v>
      </c>
      <c r="H452" s="355" t="s">
        <v>2508</v>
      </c>
      <c r="I452" s="355" t="s">
        <v>1003</v>
      </c>
      <c r="J452" s="355" t="s">
        <v>985</v>
      </c>
      <c r="K452" s="426" t="str">
        <f>HYPERLINK("https://okcountyrecords.com/detail/roger+mills/1994-004578","OKCountyRecords: 1994-004578")</f>
        <v>OKCountyRecords: 1994-004578</v>
      </c>
    </row>
    <row r="453" spans="1:11" x14ac:dyDescent="0.25">
      <c r="A453" s="355" t="s">
        <v>2509</v>
      </c>
      <c r="B453" s="355"/>
      <c r="C453" s="355" t="s">
        <v>1274</v>
      </c>
      <c r="D453" s="355" t="s">
        <v>2510</v>
      </c>
      <c r="E453" s="460">
        <v>34452</v>
      </c>
      <c r="F453" s="356">
        <v>34452</v>
      </c>
      <c r="G453" s="355" t="s">
        <v>2511</v>
      </c>
      <c r="H453" s="355" t="s">
        <v>1110</v>
      </c>
      <c r="I453" s="355" t="s">
        <v>1003</v>
      </c>
      <c r="J453" s="355" t="s">
        <v>985</v>
      </c>
      <c r="K453" s="426" t="str">
        <f>HYPERLINK("https://okcountyrecords.com/detail/roger+mills/1994-004940","OKCountyRecords: 1994-004940")</f>
        <v>OKCountyRecords: 1994-004940</v>
      </c>
    </row>
    <row r="454" spans="1:11" x14ac:dyDescent="0.25">
      <c r="A454" s="355" t="s">
        <v>2512</v>
      </c>
      <c r="B454" s="355"/>
      <c r="C454" s="355" t="s">
        <v>1623</v>
      </c>
      <c r="D454" s="355" t="s">
        <v>2513</v>
      </c>
      <c r="E454" s="460">
        <v>34542</v>
      </c>
      <c r="F454" s="356">
        <v>34542</v>
      </c>
      <c r="G454" s="355" t="s">
        <v>610</v>
      </c>
      <c r="H454" s="355" t="s">
        <v>2514</v>
      </c>
      <c r="I454" s="355" t="s">
        <v>2515</v>
      </c>
      <c r="J454" s="355" t="s">
        <v>1625</v>
      </c>
      <c r="K454" s="426" t="str">
        <f>HYPERLINK("https://okcountyrecords.com/detail/roger+mills/1994-006415","OKCountyRecords: 1994-006415")</f>
        <v>OKCountyRecords: 1994-006415</v>
      </c>
    </row>
    <row r="455" spans="1:11" x14ac:dyDescent="0.25">
      <c r="A455" s="355" t="s">
        <v>2516</v>
      </c>
      <c r="B455" s="355"/>
      <c r="C455" s="355" t="s">
        <v>1623</v>
      </c>
      <c r="D455" s="355" t="s">
        <v>2517</v>
      </c>
      <c r="E455" s="460">
        <v>34754</v>
      </c>
      <c r="F455" s="356">
        <v>34754</v>
      </c>
      <c r="G455" s="355" t="s">
        <v>2518</v>
      </c>
      <c r="H455" s="355" t="s">
        <v>2519</v>
      </c>
      <c r="I455" s="355" t="s">
        <v>2515</v>
      </c>
      <c r="J455" s="355" t="s">
        <v>1625</v>
      </c>
      <c r="K455" s="426" t="str">
        <f>HYPERLINK("https://okcountyrecords.com/detail/roger+mills/1995-003404","OKCountyRecords: 1995-003404")</f>
        <v>OKCountyRecords: 1995-003404</v>
      </c>
    </row>
    <row r="456" spans="1:11" hidden="1" x14ac:dyDescent="0.25">
      <c r="A456" s="355" t="s">
        <v>2520</v>
      </c>
      <c r="B456" s="355"/>
      <c r="C456" s="355" t="s">
        <v>114</v>
      </c>
      <c r="D456" s="355" t="s">
        <v>2521</v>
      </c>
      <c r="E456" s="460">
        <v>34757</v>
      </c>
      <c r="F456" s="356">
        <v>34757</v>
      </c>
      <c r="G456" s="355" t="s">
        <v>2476</v>
      </c>
      <c r="H456" s="355" t="s">
        <v>2522</v>
      </c>
      <c r="I456" s="357" t="s">
        <v>1003</v>
      </c>
      <c r="J456" s="357" t="s">
        <v>996</v>
      </c>
      <c r="K456" s="426" t="str">
        <f>HYPERLINK("https://okcountyrecords.com/detail/roger+mills/1995-003422","OKCountyRecords: 1995-003422")</f>
        <v>OKCountyRecords: 1995-003422</v>
      </c>
    </row>
    <row r="457" spans="1:11" x14ac:dyDescent="0.25">
      <c r="A457" s="355" t="s">
        <v>2523</v>
      </c>
      <c r="B457" s="355"/>
      <c r="C457" s="355" t="s">
        <v>2506</v>
      </c>
      <c r="D457" s="355" t="s">
        <v>2524</v>
      </c>
      <c r="E457" s="460">
        <v>34778</v>
      </c>
      <c r="F457" s="356">
        <v>34778</v>
      </c>
      <c r="G457" s="355" t="s">
        <v>566</v>
      </c>
      <c r="H457" s="355" t="s">
        <v>2525</v>
      </c>
      <c r="I457" s="355" t="s">
        <v>2526</v>
      </c>
      <c r="J457" s="355" t="s">
        <v>985</v>
      </c>
      <c r="K457" s="426" t="str">
        <f>HYPERLINK("https://okcountyrecords.com/detail/roger+mills/1995-003767","OKCountyRecords: 1995-003767")</f>
        <v>OKCountyRecords: 1995-003767</v>
      </c>
    </row>
    <row r="458" spans="1:11" x14ac:dyDescent="0.25">
      <c r="A458" s="355" t="s">
        <v>2527</v>
      </c>
      <c r="B458" s="355"/>
      <c r="C458" s="355" t="s">
        <v>2506</v>
      </c>
      <c r="D458" s="355" t="s">
        <v>2528</v>
      </c>
      <c r="E458" s="460">
        <v>34806</v>
      </c>
      <c r="F458" s="356">
        <v>34806</v>
      </c>
      <c r="G458" s="355" t="s">
        <v>2529</v>
      </c>
      <c r="H458" s="355" t="s">
        <v>2530</v>
      </c>
      <c r="I458" s="355" t="s">
        <v>497</v>
      </c>
      <c r="J458" s="355" t="s">
        <v>985</v>
      </c>
      <c r="K458" s="426" t="str">
        <f>HYPERLINK("https://okcountyrecords.com/detail/roger+mills/1995-004151","OKCountyRecords: 1995-004151")</f>
        <v>OKCountyRecords: 1995-004151</v>
      </c>
    </row>
    <row r="459" spans="1:11" x14ac:dyDescent="0.25">
      <c r="A459" s="355" t="s">
        <v>2531</v>
      </c>
      <c r="B459" s="355"/>
      <c r="C459" s="355" t="s">
        <v>1623</v>
      </c>
      <c r="D459" s="355" t="s">
        <v>2532</v>
      </c>
      <c r="E459" s="460">
        <v>34920</v>
      </c>
      <c r="F459" s="356">
        <v>34920</v>
      </c>
      <c r="G459" s="355" t="s">
        <v>2533</v>
      </c>
      <c r="H459" s="355" t="s">
        <v>525</v>
      </c>
      <c r="I459" s="355" t="s">
        <v>2534</v>
      </c>
      <c r="J459" s="355" t="s">
        <v>1625</v>
      </c>
      <c r="K459" s="426" t="str">
        <f>HYPERLINK("https://okcountyrecords.com/detail/roger+mills/1995-000396","OKCountyRecords: 1995-000396")</f>
        <v>OKCountyRecords: 1995-000396</v>
      </c>
    </row>
    <row r="460" spans="1:11" x14ac:dyDescent="0.25">
      <c r="A460" s="355" t="s">
        <v>2535</v>
      </c>
      <c r="B460" s="355"/>
      <c r="C460" s="355" t="s">
        <v>82</v>
      </c>
      <c r="D460" s="355" t="s">
        <v>2536</v>
      </c>
      <c r="E460" s="460">
        <v>34950</v>
      </c>
      <c r="F460" s="356">
        <v>34950</v>
      </c>
      <c r="G460" s="355" t="s">
        <v>2537</v>
      </c>
      <c r="H460" s="355" t="s">
        <v>2538</v>
      </c>
      <c r="I460" s="355" t="s">
        <v>2539</v>
      </c>
      <c r="J460" s="355" t="s">
        <v>1625</v>
      </c>
      <c r="K460" s="426" t="str">
        <f>HYPERLINK("https://okcountyrecords.com/detail/roger+mills/1995-000748","OKCountyRecords: 1995-000748")</f>
        <v>OKCountyRecords: 1995-000748</v>
      </c>
    </row>
    <row r="461" spans="1:11" x14ac:dyDescent="0.25">
      <c r="A461" s="355" t="s">
        <v>2540</v>
      </c>
      <c r="B461" s="355"/>
      <c r="C461" s="355" t="s">
        <v>1274</v>
      </c>
      <c r="D461" s="355" t="s">
        <v>2541</v>
      </c>
      <c r="E461" s="460">
        <v>35038</v>
      </c>
      <c r="F461" s="356">
        <v>35038</v>
      </c>
      <c r="G461" s="355" t="s">
        <v>2542</v>
      </c>
      <c r="H461" s="355" t="s">
        <v>1110</v>
      </c>
      <c r="I461" s="355" t="s">
        <v>2543</v>
      </c>
      <c r="J461" s="355" t="s">
        <v>985</v>
      </c>
      <c r="K461" s="426" t="str">
        <f>HYPERLINK("https://okcountyrecords.com/detail/roger+mills/1995-001954","OKCountyRecords: 1995-001954")</f>
        <v>OKCountyRecords: 1995-001954</v>
      </c>
    </row>
    <row r="462" spans="1:11" hidden="1" x14ac:dyDescent="0.25">
      <c r="A462" s="355" t="s">
        <v>2544</v>
      </c>
      <c r="B462" s="355"/>
      <c r="C462" s="355" t="s">
        <v>114</v>
      </c>
      <c r="D462" s="355" t="s">
        <v>2545</v>
      </c>
      <c r="E462" s="460">
        <v>35159</v>
      </c>
      <c r="F462" s="356">
        <v>35159</v>
      </c>
      <c r="G462" s="355" t="s">
        <v>2480</v>
      </c>
      <c r="H462" s="355" t="s">
        <v>2546</v>
      </c>
      <c r="I462" s="357" t="s">
        <v>1003</v>
      </c>
      <c r="J462" s="357" t="s">
        <v>996</v>
      </c>
      <c r="K462" s="426" t="str">
        <f>HYPERLINK("https://okcountyrecords.com/detail/roger+mills/1996-003719","OKCountyRecords: 1996-003719")</f>
        <v>OKCountyRecords: 1996-003719</v>
      </c>
    </row>
    <row r="463" spans="1:11" ht="63.75" hidden="1" x14ac:dyDescent="0.25">
      <c r="A463" s="355" t="s">
        <v>2547</v>
      </c>
      <c r="B463" s="355"/>
      <c r="C463" s="355" t="s">
        <v>993</v>
      </c>
      <c r="D463" s="355" t="s">
        <v>2548</v>
      </c>
      <c r="E463" s="460">
        <v>35199</v>
      </c>
      <c r="F463" s="356">
        <v>35199</v>
      </c>
      <c r="G463" s="357" t="s">
        <v>1391</v>
      </c>
      <c r="H463" s="355" t="s">
        <v>436</v>
      </c>
      <c r="I463" s="357" t="s">
        <v>2549</v>
      </c>
      <c r="J463" s="357" t="s">
        <v>996</v>
      </c>
      <c r="K463" s="426" t="str">
        <f>HYPERLINK("https://okcountyrecords.com/detail/roger+mills/1996-004168","OKCountyRecords: 1996-004168")</f>
        <v>OKCountyRecords: 1996-004168</v>
      </c>
    </row>
    <row r="464" spans="1:11" x14ac:dyDescent="0.25">
      <c r="A464" s="355" t="s">
        <v>2550</v>
      </c>
      <c r="B464" s="355"/>
      <c r="C464" s="355" t="s">
        <v>2430</v>
      </c>
      <c r="D464" s="355" t="s">
        <v>2551</v>
      </c>
      <c r="E464" s="460">
        <v>35429</v>
      </c>
      <c r="F464" s="356">
        <v>35429</v>
      </c>
      <c r="G464" s="355" t="s">
        <v>436</v>
      </c>
      <c r="H464" s="355" t="s">
        <v>2552</v>
      </c>
      <c r="I464" s="355" t="s">
        <v>2553</v>
      </c>
      <c r="J464" s="355" t="s">
        <v>985</v>
      </c>
      <c r="K464" s="426" t="str">
        <f>HYPERLINK("https://okcountyrecords.com/detail/roger+mills/1996-002352","OKCountyRecords: 1996-002352")</f>
        <v>OKCountyRecords: 1996-002352</v>
      </c>
    </row>
    <row r="465" spans="1:11" x14ac:dyDescent="0.25">
      <c r="A465" s="355" t="s">
        <v>2554</v>
      </c>
      <c r="B465" s="355"/>
      <c r="C465" s="355" t="s">
        <v>2506</v>
      </c>
      <c r="D465" s="355" t="s">
        <v>2555</v>
      </c>
      <c r="E465" s="356">
        <v>35430</v>
      </c>
      <c r="F465" s="356">
        <v>35432</v>
      </c>
      <c r="G465" s="355" t="s">
        <v>2556</v>
      </c>
      <c r="H465" s="355" t="s">
        <v>2557</v>
      </c>
      <c r="I465" s="355" t="s">
        <v>2558</v>
      </c>
      <c r="J465" s="355" t="s">
        <v>985</v>
      </c>
      <c r="K465" s="426" t="str">
        <f>HYPERLINK("https://okcountyrecords.com/detail/roger+mills/1997-006370","OKCountyRecords: 1997-006370")</f>
        <v>OKCountyRecords: 1997-006370</v>
      </c>
    </row>
    <row r="466" spans="1:11" x14ac:dyDescent="0.25">
      <c r="A466" s="355" t="s">
        <v>2559</v>
      </c>
      <c r="B466" s="355"/>
      <c r="C466" s="355" t="s">
        <v>2506</v>
      </c>
      <c r="D466" s="355" t="s">
        <v>2560</v>
      </c>
      <c r="E466" s="356">
        <v>35432</v>
      </c>
      <c r="F466" s="356">
        <v>35433</v>
      </c>
      <c r="G466" s="355" t="s">
        <v>2556</v>
      </c>
      <c r="H466" s="355" t="s">
        <v>2557</v>
      </c>
      <c r="I466" s="355" t="s">
        <v>2558</v>
      </c>
      <c r="J466" s="355" t="s">
        <v>985</v>
      </c>
      <c r="K466" s="426" t="str">
        <f>HYPERLINK("https://okcountyrecords.com/detail/roger+mills/1997-005183","OKCountyRecords: 1997-005183")</f>
        <v>OKCountyRecords: 1997-005183</v>
      </c>
    </row>
    <row r="467" spans="1:11" hidden="1" x14ac:dyDescent="0.25">
      <c r="A467" s="355" t="s">
        <v>2561</v>
      </c>
      <c r="B467" s="355"/>
      <c r="C467" s="355" t="s">
        <v>114</v>
      </c>
      <c r="D467" s="355" t="s">
        <v>2562</v>
      </c>
      <c r="E467" s="460">
        <v>35443</v>
      </c>
      <c r="F467" s="356">
        <v>35443</v>
      </c>
      <c r="G467" s="355" t="s">
        <v>2563</v>
      </c>
      <c r="H467" s="355" t="s">
        <v>2564</v>
      </c>
      <c r="I467" s="357" t="s">
        <v>1003</v>
      </c>
      <c r="J467" s="357" t="s">
        <v>996</v>
      </c>
      <c r="K467" s="426" t="str">
        <f>HYPERLINK("https://okcountyrecords.com/detail/roger+mills/1997-002567","OKCountyRecords: 1997-002567")</f>
        <v>OKCountyRecords: 1997-002567</v>
      </c>
    </row>
    <row r="468" spans="1:11" x14ac:dyDescent="0.25">
      <c r="A468" s="355" t="s">
        <v>2565</v>
      </c>
      <c r="B468" s="355"/>
      <c r="C468" s="355" t="s">
        <v>2430</v>
      </c>
      <c r="D468" s="355" t="s">
        <v>2566</v>
      </c>
      <c r="E468" s="460">
        <v>35479</v>
      </c>
      <c r="F468" s="356">
        <v>35479</v>
      </c>
      <c r="G468" s="355" t="s">
        <v>436</v>
      </c>
      <c r="H468" s="355" t="s">
        <v>2567</v>
      </c>
      <c r="I468" s="355" t="s">
        <v>2568</v>
      </c>
      <c r="J468" s="606" t="s">
        <v>2569</v>
      </c>
      <c r="K468" s="426" t="str">
        <f>HYPERLINK("https://okcountyrecords.com/detail/roger+mills/1997-003023","OKCountyRecords: 1997-003023")</f>
        <v>OKCountyRecords: 1997-003023</v>
      </c>
    </row>
    <row r="469" spans="1:11" x14ac:dyDescent="0.25">
      <c r="A469" s="355" t="s">
        <v>2570</v>
      </c>
      <c r="B469" s="355"/>
      <c r="C469" s="355" t="s">
        <v>1107</v>
      </c>
      <c r="D469" s="355" t="s">
        <v>2571</v>
      </c>
      <c r="E469" s="460">
        <v>35549</v>
      </c>
      <c r="F469" s="356">
        <v>35549</v>
      </c>
      <c r="G469" s="355" t="s">
        <v>2572</v>
      </c>
      <c r="H469" s="355" t="s">
        <v>1110</v>
      </c>
      <c r="I469" s="355" t="s">
        <v>2573</v>
      </c>
      <c r="J469" s="355" t="s">
        <v>1095</v>
      </c>
      <c r="K469" s="426" t="str">
        <f>HYPERLINK("https://okcountyrecords.com/detail/roger+mills/1997-004254","OKCountyRecords: 1997-004254")</f>
        <v>OKCountyRecords: 1997-004254</v>
      </c>
    </row>
    <row r="470" spans="1:11" hidden="1" x14ac:dyDescent="0.25">
      <c r="A470" s="355" t="s">
        <v>2574</v>
      </c>
      <c r="B470" s="355"/>
      <c r="C470" s="355" t="s">
        <v>114</v>
      </c>
      <c r="D470" s="355" t="s">
        <v>2575</v>
      </c>
      <c r="E470" s="460">
        <v>35922</v>
      </c>
      <c r="F470" s="356">
        <v>35922</v>
      </c>
      <c r="G470" s="355" t="s">
        <v>2576</v>
      </c>
      <c r="H470" s="355" t="s">
        <v>2577</v>
      </c>
      <c r="I470" s="357" t="s">
        <v>1003</v>
      </c>
      <c r="J470" s="357" t="s">
        <v>996</v>
      </c>
      <c r="K470" s="426" t="str">
        <f>HYPERLINK("https://okcountyrecords.com/detail/roger+mills/1998-004619","OKCountyRecords: 1998-004619")</f>
        <v>OKCountyRecords: 1998-004619</v>
      </c>
    </row>
    <row r="471" spans="1:11" x14ac:dyDescent="0.25">
      <c r="A471" s="355" t="s">
        <v>2581</v>
      </c>
      <c r="B471" s="355"/>
      <c r="C471" s="355" t="s">
        <v>82</v>
      </c>
      <c r="D471" s="355" t="s">
        <v>2582</v>
      </c>
      <c r="E471" s="460">
        <v>36026</v>
      </c>
      <c r="F471" s="356">
        <v>36026</v>
      </c>
      <c r="G471" s="355" t="s">
        <v>511</v>
      </c>
      <c r="H471" s="355" t="s">
        <v>2583</v>
      </c>
      <c r="I471" s="355" t="s">
        <v>2543</v>
      </c>
      <c r="J471" s="355" t="s">
        <v>1625</v>
      </c>
      <c r="K471" s="426" t="str">
        <f>HYPERLINK("https://okcountyrecords.com/detail/roger+mills/1998-000584","OKCountyRecords: 1998-000584")</f>
        <v>OKCountyRecords: 1998-000584</v>
      </c>
    </row>
    <row r="472" spans="1:11" x14ac:dyDescent="0.25">
      <c r="A472" s="355" t="s">
        <v>2587</v>
      </c>
      <c r="B472" s="355"/>
      <c r="C472" s="355" t="s">
        <v>1623</v>
      </c>
      <c r="D472" s="355" t="s">
        <v>2588</v>
      </c>
      <c r="E472" s="460">
        <v>36175</v>
      </c>
      <c r="F472" s="356">
        <v>36175</v>
      </c>
      <c r="G472" s="355" t="s">
        <v>2115</v>
      </c>
      <c r="H472" s="355" t="s">
        <v>288</v>
      </c>
      <c r="I472" s="355" t="s">
        <v>2543</v>
      </c>
      <c r="J472" s="355" t="s">
        <v>1625</v>
      </c>
      <c r="K472" s="426" t="str">
        <f>HYPERLINK("https://okcountyrecords.com/detail/roger+mills/1999-002219","OKCountyRecords: 1999-002219")</f>
        <v>OKCountyRecords: 1999-002219</v>
      </c>
    </row>
    <row r="473" spans="1:11" x14ac:dyDescent="0.25">
      <c r="A473" s="355" t="s">
        <v>2589</v>
      </c>
      <c r="B473" s="355"/>
      <c r="C473" s="355" t="s">
        <v>1623</v>
      </c>
      <c r="D473" s="355" t="s">
        <v>2590</v>
      </c>
      <c r="E473" s="460">
        <v>36175</v>
      </c>
      <c r="F473" s="356">
        <v>36175</v>
      </c>
      <c r="G473" s="355" t="s">
        <v>2115</v>
      </c>
      <c r="H473" s="355" t="s">
        <v>288</v>
      </c>
      <c r="I473" s="355" t="s">
        <v>2543</v>
      </c>
      <c r="J473" s="355" t="s">
        <v>1625</v>
      </c>
      <c r="K473" s="426" t="str">
        <f>HYPERLINK("https://okcountyrecords.com/detail/roger+mills/1999-002220","OKCountyRecords: 1999-002220")</f>
        <v>OKCountyRecords: 1999-002220</v>
      </c>
    </row>
    <row r="474" spans="1:11" x14ac:dyDescent="0.25">
      <c r="A474" s="355" t="s">
        <v>2591</v>
      </c>
      <c r="B474" s="355"/>
      <c r="C474" s="355" t="s">
        <v>1623</v>
      </c>
      <c r="D474" s="355" t="s">
        <v>2592</v>
      </c>
      <c r="E474" s="460">
        <v>36215</v>
      </c>
      <c r="F474" s="356">
        <v>36215</v>
      </c>
      <c r="G474" s="355" t="s">
        <v>525</v>
      </c>
      <c r="H474" s="355" t="s">
        <v>1110</v>
      </c>
      <c r="I474" s="355" t="s">
        <v>2543</v>
      </c>
      <c r="J474" s="355" t="s">
        <v>1625</v>
      </c>
      <c r="K474" s="426" t="str">
        <f>HYPERLINK("https://okcountyrecords.com/detail/roger+mills/1999-002739","OKCountyRecords: 1999-002739")</f>
        <v>OKCountyRecords: 1999-002739</v>
      </c>
    </row>
    <row r="475" spans="1:11" x14ac:dyDescent="0.25">
      <c r="A475" s="355" t="s">
        <v>2593</v>
      </c>
      <c r="B475" s="355"/>
      <c r="C475" s="355" t="s">
        <v>2594</v>
      </c>
      <c r="D475" s="355" t="s">
        <v>2595</v>
      </c>
      <c r="E475" s="460">
        <v>36250</v>
      </c>
      <c r="F475" s="356">
        <v>36250</v>
      </c>
      <c r="G475" s="355" t="s">
        <v>730</v>
      </c>
      <c r="H475" s="355" t="s">
        <v>1110</v>
      </c>
      <c r="I475" s="355" t="s">
        <v>2596</v>
      </c>
      <c r="J475" s="355" t="s">
        <v>985</v>
      </c>
      <c r="K475" s="426" t="str">
        <f>HYPERLINK("https://okcountyrecords.com/detail/roger+mills/1999-003117","OKCountyRecords: 1999-003117")</f>
        <v>OKCountyRecords: 1999-003117</v>
      </c>
    </row>
    <row r="476" spans="1:11" x14ac:dyDescent="0.25">
      <c r="A476" s="355" t="s">
        <v>2597</v>
      </c>
      <c r="B476" s="355"/>
      <c r="C476" s="355" t="s">
        <v>1107</v>
      </c>
      <c r="D476" s="355" t="s">
        <v>2598</v>
      </c>
      <c r="E476" s="460">
        <v>36270</v>
      </c>
      <c r="F476" s="356">
        <v>36270</v>
      </c>
      <c r="G476" s="355" t="s">
        <v>2238</v>
      </c>
      <c r="H476" s="355" t="s">
        <v>1110</v>
      </c>
      <c r="I476" s="355" t="s">
        <v>2543</v>
      </c>
      <c r="J476" s="355" t="s">
        <v>1095</v>
      </c>
      <c r="K476" s="426" t="str">
        <f>HYPERLINK("https://okcountyrecords.com/detail/roger+mills/1999-003362","OKCountyRecords: 1999-003362")</f>
        <v>OKCountyRecords: 1999-003362</v>
      </c>
    </row>
    <row r="477" spans="1:11" x14ac:dyDescent="0.25">
      <c r="A477" s="355" t="s">
        <v>2599</v>
      </c>
      <c r="B477" s="355"/>
      <c r="C477" s="355" t="s">
        <v>1623</v>
      </c>
      <c r="D477" s="355" t="s">
        <v>2600</v>
      </c>
      <c r="E477" s="460">
        <v>36270</v>
      </c>
      <c r="F477" s="356">
        <v>36270</v>
      </c>
      <c r="G477" s="355" t="s">
        <v>2601</v>
      </c>
      <c r="H477" s="355" t="s">
        <v>2602</v>
      </c>
      <c r="I477" s="355" t="s">
        <v>2543</v>
      </c>
      <c r="J477" s="355" t="s">
        <v>1625</v>
      </c>
      <c r="K477" s="426" t="str">
        <f>HYPERLINK("https://okcountyrecords.com/detail/roger+mills/1999-003363","OKCountyRecords: 1999-003363")</f>
        <v>OKCountyRecords: 1999-003363</v>
      </c>
    </row>
    <row r="478" spans="1:11" x14ac:dyDescent="0.25">
      <c r="A478" s="355" t="s">
        <v>2606</v>
      </c>
      <c r="B478" s="355"/>
      <c r="C478" s="355" t="s">
        <v>1623</v>
      </c>
      <c r="D478" s="355" t="s">
        <v>2607</v>
      </c>
      <c r="E478" s="460">
        <v>36270</v>
      </c>
      <c r="F478" s="356">
        <v>36270</v>
      </c>
      <c r="G478" s="355" t="s">
        <v>2601</v>
      </c>
      <c r="H478" s="355" t="s">
        <v>527</v>
      </c>
      <c r="I478" s="355" t="s">
        <v>2543</v>
      </c>
      <c r="J478" s="355" t="s">
        <v>1625</v>
      </c>
      <c r="K478" s="426" t="str">
        <f>HYPERLINK("https://okcountyrecords.com/detail/roger+mills/1999-003364","OKCountyRecords: 1999-003364")</f>
        <v>OKCountyRecords: 1999-003364</v>
      </c>
    </row>
    <row r="479" spans="1:11" x14ac:dyDescent="0.25">
      <c r="A479" s="355" t="s">
        <v>2608</v>
      </c>
      <c r="B479" s="355"/>
      <c r="C479" s="355" t="s">
        <v>1623</v>
      </c>
      <c r="D479" s="355" t="s">
        <v>2609</v>
      </c>
      <c r="E479" s="460">
        <v>36270</v>
      </c>
      <c r="F479" s="356">
        <v>36270</v>
      </c>
      <c r="G479" s="355" t="s">
        <v>2601</v>
      </c>
      <c r="H479" s="355" t="s">
        <v>2610</v>
      </c>
      <c r="I479" s="355" t="s">
        <v>2543</v>
      </c>
      <c r="J479" s="355" t="s">
        <v>1625</v>
      </c>
      <c r="K479" s="426" t="str">
        <f>HYPERLINK("https://okcountyrecords.com/detail/roger+mills/1999-003365","OKCountyRecords: 1999-003365")</f>
        <v>OKCountyRecords: 1999-003365</v>
      </c>
    </row>
    <row r="480" spans="1:11" x14ac:dyDescent="0.25">
      <c r="A480" s="355" t="s">
        <v>2611</v>
      </c>
      <c r="B480" s="355"/>
      <c r="C480" s="355" t="s">
        <v>1623</v>
      </c>
      <c r="D480" s="355" t="s">
        <v>2612</v>
      </c>
      <c r="E480" s="460">
        <v>36270</v>
      </c>
      <c r="F480" s="356">
        <v>36270</v>
      </c>
      <c r="G480" s="355" t="s">
        <v>2601</v>
      </c>
      <c r="H480" s="355" t="s">
        <v>499</v>
      </c>
      <c r="I480" s="355" t="s">
        <v>2543</v>
      </c>
      <c r="J480" s="355" t="s">
        <v>1625</v>
      </c>
      <c r="K480" s="426" t="str">
        <f>HYPERLINK("https://okcountyrecords.com/detail/roger+mills/1999-003366","OKCountyRecords: 1999-003366")</f>
        <v>OKCountyRecords: 1999-003366</v>
      </c>
    </row>
    <row r="481" spans="1:11" x14ac:dyDescent="0.25">
      <c r="A481" s="355" t="s">
        <v>2613</v>
      </c>
      <c r="B481" s="355"/>
      <c r="C481" s="355" t="s">
        <v>1623</v>
      </c>
      <c r="D481" s="355" t="s">
        <v>2614</v>
      </c>
      <c r="E481" s="460">
        <v>36270</v>
      </c>
      <c r="F481" s="356">
        <v>36270</v>
      </c>
      <c r="G481" s="355" t="s">
        <v>2601</v>
      </c>
      <c r="H481" s="355" t="s">
        <v>495</v>
      </c>
      <c r="I481" s="355" t="s">
        <v>2543</v>
      </c>
      <c r="J481" s="355" t="s">
        <v>1625</v>
      </c>
      <c r="K481" s="426" t="str">
        <f>HYPERLINK("https://okcountyrecords.com/detail/roger+mills/1999-003367","OKCountyRecords: 1999-003367")</f>
        <v>OKCountyRecords: 1999-003367</v>
      </c>
    </row>
    <row r="482" spans="1:11" x14ac:dyDescent="0.25">
      <c r="A482" s="355" t="s">
        <v>2603</v>
      </c>
      <c r="B482" s="355"/>
      <c r="C482" s="355" t="s">
        <v>1623</v>
      </c>
      <c r="D482" s="355" t="s">
        <v>2604</v>
      </c>
      <c r="E482" s="460">
        <v>36270</v>
      </c>
      <c r="F482" s="356">
        <v>36270</v>
      </c>
      <c r="G482" s="355" t="s">
        <v>2601</v>
      </c>
      <c r="H482" s="355" t="s">
        <v>2605</v>
      </c>
      <c r="I482" s="355" t="s">
        <v>2543</v>
      </c>
      <c r="J482" s="355" t="s">
        <v>1625</v>
      </c>
      <c r="K482" s="426" t="str">
        <f>HYPERLINK("https://okcountyrecords.com/detail/roger+mills/1999-003368","OKCountyRecords: 1999-003368")</f>
        <v>OKCountyRecords: 1999-003368</v>
      </c>
    </row>
    <row r="483" spans="1:11" x14ac:dyDescent="0.25">
      <c r="A483" s="360" t="s">
        <v>3707</v>
      </c>
      <c r="B483" s="360"/>
      <c r="C483" s="360" t="s">
        <v>1317</v>
      </c>
      <c r="D483" s="360" t="s">
        <v>3708</v>
      </c>
      <c r="E483" s="361">
        <v>36389</v>
      </c>
      <c r="F483" s="361">
        <v>42642</v>
      </c>
      <c r="G483" s="360" t="s">
        <v>3709</v>
      </c>
      <c r="H483" s="360" t="s">
        <v>1110</v>
      </c>
      <c r="I483" s="360" t="s">
        <v>3710</v>
      </c>
      <c r="J483" s="360" t="s">
        <v>1095</v>
      </c>
      <c r="K483" s="427" t="str">
        <f>HYPERLINK("https://okcountyrecords.com/detail/roger+mills/2016-002265","OKCountyRecords: 2016-002265")</f>
        <v>OKCountyRecords: 2016-002265</v>
      </c>
    </row>
    <row r="484" spans="1:11" x14ac:dyDescent="0.25">
      <c r="A484" s="355" t="s">
        <v>2615</v>
      </c>
      <c r="B484" s="355"/>
      <c r="C484" s="355" t="s">
        <v>2506</v>
      </c>
      <c r="D484" s="355" t="s">
        <v>2616</v>
      </c>
      <c r="E484" s="460">
        <v>36481</v>
      </c>
      <c r="F484" s="356">
        <v>36481</v>
      </c>
      <c r="G484" s="355" t="s">
        <v>2480</v>
      </c>
      <c r="H484" s="355" t="s">
        <v>2617</v>
      </c>
      <c r="I484" s="355" t="s">
        <v>1003</v>
      </c>
      <c r="J484" s="355" t="s">
        <v>985</v>
      </c>
      <c r="K484" s="426" t="str">
        <f>HYPERLINK("https://okcountyrecords.com/detail/roger+mills/1999-005522","OKCountyRecords: 1999-005522")</f>
        <v>OKCountyRecords: 1999-005522</v>
      </c>
    </row>
    <row r="485" spans="1:11" x14ac:dyDescent="0.25">
      <c r="A485" s="355" t="s">
        <v>2618</v>
      </c>
      <c r="B485" s="355"/>
      <c r="C485" s="355" t="s">
        <v>2619</v>
      </c>
      <c r="D485" s="355" t="s">
        <v>2620</v>
      </c>
      <c r="E485" s="460">
        <v>36511</v>
      </c>
      <c r="F485" s="356">
        <v>36511</v>
      </c>
      <c r="G485" s="355" t="s">
        <v>2621</v>
      </c>
      <c r="H485" s="355" t="s">
        <v>1110</v>
      </c>
      <c r="I485" s="355" t="s">
        <v>2573</v>
      </c>
      <c r="J485" s="355" t="s">
        <v>985</v>
      </c>
      <c r="K485" s="426" t="str">
        <f>HYPERLINK("https://okcountyrecords.com/detail/roger+mills/1999-005936","OKCountyRecords: 1999-005936")</f>
        <v>OKCountyRecords: 1999-005936</v>
      </c>
    </row>
    <row r="486" spans="1:11" ht="25.5" hidden="1" x14ac:dyDescent="0.25">
      <c r="A486" s="355" t="s">
        <v>2622</v>
      </c>
      <c r="B486" s="355"/>
      <c r="C486" s="355" t="s">
        <v>309</v>
      </c>
      <c r="D486" s="355" t="s">
        <v>2623</v>
      </c>
      <c r="E486" s="460">
        <v>36516</v>
      </c>
      <c r="F486" s="356">
        <v>36516</v>
      </c>
      <c r="G486" s="355" t="s">
        <v>270</v>
      </c>
      <c r="H486" s="355" t="s">
        <v>487</v>
      </c>
      <c r="I486" s="357" t="s">
        <v>488</v>
      </c>
      <c r="J486" s="357" t="s">
        <v>996</v>
      </c>
      <c r="K486" s="426" t="str">
        <f>HYPERLINK("https://okcountyrecords.com/detail/roger+mills/1999-006000","OKCountyRecords: 1999-006000")</f>
        <v>OKCountyRecords: 1999-006000</v>
      </c>
    </row>
    <row r="487" spans="1:11" ht="25.5" hidden="1" x14ac:dyDescent="0.25">
      <c r="A487" s="355" t="s">
        <v>2624</v>
      </c>
      <c r="B487" s="355"/>
      <c r="C487" s="355" t="s">
        <v>309</v>
      </c>
      <c r="D487" s="355" t="s">
        <v>2625</v>
      </c>
      <c r="E487" s="460">
        <v>36532</v>
      </c>
      <c r="F487" s="356">
        <v>36532</v>
      </c>
      <c r="G487" s="355" t="s">
        <v>490</v>
      </c>
      <c r="H487" s="355" t="s">
        <v>487</v>
      </c>
      <c r="I487" s="357" t="s">
        <v>488</v>
      </c>
      <c r="J487" s="357" t="s">
        <v>996</v>
      </c>
      <c r="K487" s="426" t="str">
        <f>HYPERLINK("https://okcountyrecords.com/detail/roger+mills/2000-006217","OKCountyRecords: 2000-006217")</f>
        <v>OKCountyRecords: 2000-006217</v>
      </c>
    </row>
    <row r="488" spans="1:11" ht="38.25" hidden="1" x14ac:dyDescent="0.25">
      <c r="A488" s="355" t="s">
        <v>2626</v>
      </c>
      <c r="B488" s="355"/>
      <c r="C488" s="355" t="s">
        <v>309</v>
      </c>
      <c r="D488" s="355" t="s">
        <v>2627</v>
      </c>
      <c r="E488" s="460">
        <v>36545</v>
      </c>
      <c r="F488" s="356">
        <v>36545</v>
      </c>
      <c r="G488" s="357" t="s">
        <v>492</v>
      </c>
      <c r="H488" s="355" t="s">
        <v>487</v>
      </c>
      <c r="I488" s="357" t="s">
        <v>493</v>
      </c>
      <c r="J488" s="357" t="s">
        <v>996</v>
      </c>
      <c r="K488" s="426" t="str">
        <f>HYPERLINK("https://okcountyrecords.com/detail/roger+mills/2000-006360","OKCountyRecords: 2000-006360")</f>
        <v>OKCountyRecords: 2000-006360</v>
      </c>
    </row>
    <row r="489" spans="1:11" ht="25.5" hidden="1" x14ac:dyDescent="0.25">
      <c r="A489" s="355" t="s">
        <v>2628</v>
      </c>
      <c r="B489" s="355"/>
      <c r="C489" s="355" t="s">
        <v>309</v>
      </c>
      <c r="D489" s="355" t="s">
        <v>2629</v>
      </c>
      <c r="E489" s="460">
        <v>36546</v>
      </c>
      <c r="F489" s="356">
        <v>36546</v>
      </c>
      <c r="G489" s="355" t="s">
        <v>495</v>
      </c>
      <c r="H489" s="355" t="s">
        <v>496</v>
      </c>
      <c r="I489" s="357" t="s">
        <v>497</v>
      </c>
      <c r="J489" s="357" t="s">
        <v>996</v>
      </c>
      <c r="K489" s="426" t="str">
        <f>HYPERLINK("https://okcountyrecords.com/detail/roger+mills/2000-006371","OKCountyRecords: 2000-006371")</f>
        <v>OKCountyRecords: 2000-006371</v>
      </c>
    </row>
    <row r="490" spans="1:11" ht="25.5" hidden="1" x14ac:dyDescent="0.25">
      <c r="A490" s="355" t="s">
        <v>2630</v>
      </c>
      <c r="B490" s="355"/>
      <c r="C490" s="355" t="s">
        <v>309</v>
      </c>
      <c r="D490" s="355" t="s">
        <v>2631</v>
      </c>
      <c r="E490" s="460">
        <v>36549</v>
      </c>
      <c r="F490" s="356">
        <v>36549</v>
      </c>
      <c r="G490" s="355" t="s">
        <v>499</v>
      </c>
      <c r="H490" s="355" t="s">
        <v>496</v>
      </c>
      <c r="I490" s="357" t="s">
        <v>497</v>
      </c>
      <c r="J490" s="357" t="s">
        <v>996</v>
      </c>
      <c r="K490" s="426" t="str">
        <f>HYPERLINK("https://okcountyrecords.com/detail/roger+mills/2000-006403","OKCountyRecords: 2000-006403")</f>
        <v>OKCountyRecords: 2000-006403</v>
      </c>
    </row>
    <row r="491" spans="1:11" ht="38.25" hidden="1" x14ac:dyDescent="0.25">
      <c r="A491" s="355" t="s">
        <v>2632</v>
      </c>
      <c r="B491" s="355"/>
      <c r="C491" s="355" t="s">
        <v>309</v>
      </c>
      <c r="D491" s="355" t="s">
        <v>2633</v>
      </c>
      <c r="E491" s="460">
        <v>36551</v>
      </c>
      <c r="F491" s="356">
        <v>36551</v>
      </c>
      <c r="G491" s="355" t="s">
        <v>501</v>
      </c>
      <c r="H491" s="355" t="s">
        <v>487</v>
      </c>
      <c r="I491" s="357" t="s">
        <v>502</v>
      </c>
      <c r="J491" s="357" t="s">
        <v>996</v>
      </c>
      <c r="K491" s="426" t="str">
        <f>HYPERLINK("https://okcountyrecords.com/detail/roger+mills/2000-006447","OKCountyRecords: 2000-006447")</f>
        <v>OKCountyRecords: 2000-006447</v>
      </c>
    </row>
    <row r="492" spans="1:11" hidden="1" x14ac:dyDescent="0.25">
      <c r="A492" s="355" t="s">
        <v>2634</v>
      </c>
      <c r="B492" s="355"/>
      <c r="C492" s="355" t="s">
        <v>309</v>
      </c>
      <c r="D492" s="355" t="s">
        <v>2635</v>
      </c>
      <c r="E492" s="460">
        <v>36558</v>
      </c>
      <c r="F492" s="356">
        <v>36558</v>
      </c>
      <c r="G492" s="355" t="s">
        <v>504</v>
      </c>
      <c r="H492" s="355" t="s">
        <v>496</v>
      </c>
      <c r="I492" s="357" t="s">
        <v>505</v>
      </c>
      <c r="J492" s="357" t="s">
        <v>996</v>
      </c>
      <c r="K492" s="426" t="str">
        <f>HYPERLINK("https://okcountyrecords.com/detail/roger+mills/2000-006544","OKCountyRecords: 2000-006544")</f>
        <v>OKCountyRecords: 2000-006544</v>
      </c>
    </row>
    <row r="493" spans="1:11" ht="38.25" hidden="1" x14ac:dyDescent="0.25">
      <c r="A493" s="355" t="s">
        <v>2636</v>
      </c>
      <c r="B493" s="355"/>
      <c r="C493" s="355" t="s">
        <v>309</v>
      </c>
      <c r="D493" s="355" t="s">
        <v>2637</v>
      </c>
      <c r="E493" s="460">
        <v>36558</v>
      </c>
      <c r="F493" s="356">
        <v>36558</v>
      </c>
      <c r="G493" s="355" t="s">
        <v>507</v>
      </c>
      <c r="H493" s="355" t="s">
        <v>487</v>
      </c>
      <c r="I493" s="357" t="s">
        <v>502</v>
      </c>
      <c r="J493" s="357" t="s">
        <v>996</v>
      </c>
      <c r="K493" s="426" t="str">
        <f>HYPERLINK("https://okcountyrecords.com/detail/roger+mills/2000-006545","OKCountyRecords: 2000-006545")</f>
        <v>OKCountyRecords: 2000-006545</v>
      </c>
    </row>
    <row r="494" spans="1:11" x14ac:dyDescent="0.25">
      <c r="A494" s="355" t="s">
        <v>2638</v>
      </c>
      <c r="B494" s="355">
        <v>1</v>
      </c>
      <c r="C494" s="355" t="s">
        <v>309</v>
      </c>
      <c r="D494" s="359" t="s">
        <v>2639</v>
      </c>
      <c r="E494" s="460">
        <v>36564</v>
      </c>
      <c r="F494" s="356">
        <v>36564</v>
      </c>
      <c r="G494" s="355" t="s">
        <v>2586</v>
      </c>
      <c r="H494" s="355" t="s">
        <v>496</v>
      </c>
      <c r="I494" s="355" t="s">
        <v>497</v>
      </c>
      <c r="J494" s="355" t="s">
        <v>2640</v>
      </c>
      <c r="K494" s="426" t="str">
        <f>HYPERLINK("https://okcountyrecords.com/detail/roger+mills/2000-006657","63e8b9a8d056433a9994fe46ca85076b.pdf | OKCountyRecords: 2000-006657")</f>
        <v>63e8b9a8d056433a9994fe46ca85076b.pdf | OKCountyRecords: 2000-006657</v>
      </c>
    </row>
    <row r="495" spans="1:11" x14ac:dyDescent="0.25">
      <c r="A495" s="355" t="s">
        <v>2641</v>
      </c>
      <c r="B495" s="355">
        <v>2</v>
      </c>
      <c r="C495" s="355" t="s">
        <v>309</v>
      </c>
      <c r="D495" s="359" t="s">
        <v>2642</v>
      </c>
      <c r="E495" s="460">
        <v>36564</v>
      </c>
      <c r="F495" s="356">
        <v>36564</v>
      </c>
      <c r="G495" s="355" t="s">
        <v>2643</v>
      </c>
      <c r="H495" s="355" t="s">
        <v>496</v>
      </c>
      <c r="I495" s="355" t="s">
        <v>497</v>
      </c>
      <c r="J495" s="355" t="s">
        <v>2640</v>
      </c>
      <c r="K495" s="426" t="str">
        <f>HYPERLINK("https://okcountyrecords.com/detail/roger+mills/2000-006661","63e8b9a8d056433a9994fe46ca85076b.pdf | OKCountyRecords: 2000-006661")</f>
        <v>63e8b9a8d056433a9994fe46ca85076b.pdf | OKCountyRecords: 2000-006661</v>
      </c>
    </row>
    <row r="496" spans="1:11" x14ac:dyDescent="0.25">
      <c r="A496" s="355" t="s">
        <v>2644</v>
      </c>
      <c r="B496" s="355">
        <v>3</v>
      </c>
      <c r="C496" s="355" t="s">
        <v>309</v>
      </c>
      <c r="D496" s="359" t="s">
        <v>2645</v>
      </c>
      <c r="E496" s="460">
        <v>36564</v>
      </c>
      <c r="F496" s="356">
        <v>36564</v>
      </c>
      <c r="G496" s="355" t="s">
        <v>513</v>
      </c>
      <c r="H496" s="355" t="s">
        <v>496</v>
      </c>
      <c r="I496" s="355" t="s">
        <v>497</v>
      </c>
      <c r="J496" s="355" t="s">
        <v>2640</v>
      </c>
      <c r="K496" s="426" t="str">
        <f>HYPERLINK("https://okcountyrecords.com/detail/roger+mills/2000-006662","63e8b9a8d056433a9994fe46ca85076b.pdf | OKCountyRecords: 2000-006662")</f>
        <v>63e8b9a8d056433a9994fe46ca85076b.pdf | OKCountyRecords: 2000-006662</v>
      </c>
    </row>
    <row r="497" spans="1:11" x14ac:dyDescent="0.25">
      <c r="A497" s="355" t="s">
        <v>2646</v>
      </c>
      <c r="B497" s="355">
        <v>4</v>
      </c>
      <c r="C497" s="355" t="s">
        <v>309</v>
      </c>
      <c r="D497" s="359" t="s">
        <v>2647</v>
      </c>
      <c r="E497" s="460">
        <v>36565</v>
      </c>
      <c r="F497" s="356">
        <v>36565</v>
      </c>
      <c r="G497" s="355" t="s">
        <v>515</v>
      </c>
      <c r="H497" s="355" t="s">
        <v>266</v>
      </c>
      <c r="I497" s="355" t="s">
        <v>516</v>
      </c>
      <c r="J497" s="355" t="s">
        <v>2640</v>
      </c>
      <c r="K497" s="426" t="str">
        <f>HYPERLINK("https://okcountyrecords.com/detail/roger+mills/2000-006668","63e8b9a8d056433a9994fe46ca85076b.pdf | OKCountyRecords: 2000-006668")</f>
        <v>63e8b9a8d056433a9994fe46ca85076b.pdf | OKCountyRecords: 2000-006668</v>
      </c>
    </row>
    <row r="498" spans="1:11" ht="25.5" hidden="1" x14ac:dyDescent="0.25">
      <c r="A498" s="355" t="s">
        <v>2662</v>
      </c>
      <c r="B498" s="355"/>
      <c r="C498" s="355" t="s">
        <v>309</v>
      </c>
      <c r="D498" s="355" t="s">
        <v>2647</v>
      </c>
      <c r="E498" s="460">
        <v>36565</v>
      </c>
      <c r="F498" s="356">
        <v>36565</v>
      </c>
      <c r="G498" s="355" t="s">
        <v>515</v>
      </c>
      <c r="H498" s="355" t="s">
        <v>266</v>
      </c>
      <c r="I498" s="357" t="s">
        <v>516</v>
      </c>
      <c r="J498" s="357" t="s">
        <v>996</v>
      </c>
      <c r="K498" s="426" t="str">
        <f>HYPERLINK("https://okcountyrecords.com/detail/roger+mills/2000-006686","OKCountyRecords: 2000-006686")</f>
        <v>OKCountyRecords: 2000-006686</v>
      </c>
    </row>
    <row r="499" spans="1:11" x14ac:dyDescent="0.25">
      <c r="A499" s="355" t="s">
        <v>2648</v>
      </c>
      <c r="B499" s="355">
        <v>5</v>
      </c>
      <c r="C499" s="355" t="s">
        <v>309</v>
      </c>
      <c r="D499" s="359" t="s">
        <v>2649</v>
      </c>
      <c r="E499" s="460">
        <v>36565</v>
      </c>
      <c r="F499" s="356">
        <v>36565</v>
      </c>
      <c r="G499" s="355" t="s">
        <v>292</v>
      </c>
      <c r="H499" s="355" t="s">
        <v>266</v>
      </c>
      <c r="I499" s="355" t="s">
        <v>518</v>
      </c>
      <c r="J499" s="355" t="s">
        <v>2640</v>
      </c>
      <c r="K499" s="426" t="str">
        <f>HYPERLINK("https://okcountyrecords.com/detail/roger+mills/2000-006689","63e8b9a8d056433a9994fe46ca85076b.pdf | OKCountyRecords: 2000-006689")</f>
        <v>63e8b9a8d056433a9994fe46ca85076b.pdf | OKCountyRecords: 2000-006689</v>
      </c>
    </row>
    <row r="500" spans="1:11" ht="25.5" hidden="1" x14ac:dyDescent="0.25">
      <c r="A500" s="355" t="s">
        <v>2663</v>
      </c>
      <c r="B500" s="355"/>
      <c r="C500" s="355" t="s">
        <v>309</v>
      </c>
      <c r="D500" s="355" t="s">
        <v>2649</v>
      </c>
      <c r="E500" s="460">
        <v>36565</v>
      </c>
      <c r="F500" s="356">
        <v>36565</v>
      </c>
      <c r="G500" s="355" t="s">
        <v>292</v>
      </c>
      <c r="H500" s="355" t="s">
        <v>266</v>
      </c>
      <c r="I500" s="357" t="s">
        <v>518</v>
      </c>
      <c r="J500" s="357" t="s">
        <v>996</v>
      </c>
      <c r="K500" s="426" t="str">
        <f>HYPERLINK("https://okcountyrecords.com/detail/roger+mills/2000-006688","OKCountyRecords: 2000-006688")</f>
        <v>OKCountyRecords: 2000-006688</v>
      </c>
    </row>
    <row r="501" spans="1:11" x14ac:dyDescent="0.25">
      <c r="A501" s="355" t="s">
        <v>2650</v>
      </c>
      <c r="B501" s="355">
        <v>6</v>
      </c>
      <c r="C501" s="355" t="s">
        <v>309</v>
      </c>
      <c r="D501" s="359" t="s">
        <v>2651</v>
      </c>
      <c r="E501" s="460">
        <v>36565</v>
      </c>
      <c r="F501" s="356">
        <v>36565</v>
      </c>
      <c r="G501" s="355" t="s">
        <v>520</v>
      </c>
      <c r="H501" s="355" t="s">
        <v>266</v>
      </c>
      <c r="I501" s="355" t="s">
        <v>521</v>
      </c>
      <c r="J501" s="355" t="s">
        <v>2640</v>
      </c>
      <c r="K501" s="426" t="str">
        <f>HYPERLINK("https://okcountyrecords.com/detail/roger+mills/2000-006692","63e8b9a8d056433a9994fe46ca85076b.pdf | OKCountyRecords: 2000-006692")</f>
        <v>63e8b9a8d056433a9994fe46ca85076b.pdf | OKCountyRecords: 2000-006692</v>
      </c>
    </row>
    <row r="502" spans="1:11" x14ac:dyDescent="0.25">
      <c r="A502" s="355" t="s">
        <v>2652</v>
      </c>
      <c r="B502" s="355">
        <v>7</v>
      </c>
      <c r="C502" s="355" t="s">
        <v>309</v>
      </c>
      <c r="D502" s="359" t="s">
        <v>2653</v>
      </c>
      <c r="E502" s="460">
        <v>36565</v>
      </c>
      <c r="F502" s="356">
        <v>36565</v>
      </c>
      <c r="G502" s="355" t="s">
        <v>523</v>
      </c>
      <c r="H502" s="355" t="s">
        <v>266</v>
      </c>
      <c r="I502" s="355" t="s">
        <v>518</v>
      </c>
      <c r="J502" s="355" t="s">
        <v>2640</v>
      </c>
      <c r="K502" s="426" t="str">
        <f>HYPERLINK("https://okcountyrecords.com/detail/roger+mills/2000-006696","63e8b9a8d056433a9994fe46ca85076b.pdf | OKCountyRecords: 2000-006696")</f>
        <v>63e8b9a8d056433a9994fe46ca85076b.pdf | OKCountyRecords: 2000-006696</v>
      </c>
    </row>
    <row r="503" spans="1:11" x14ac:dyDescent="0.25">
      <c r="A503" s="355" t="s">
        <v>2654</v>
      </c>
      <c r="B503" s="355">
        <v>8</v>
      </c>
      <c r="C503" s="355" t="s">
        <v>309</v>
      </c>
      <c r="D503" s="359" t="s">
        <v>2655</v>
      </c>
      <c r="E503" s="460">
        <v>36565</v>
      </c>
      <c r="F503" s="356">
        <v>36565</v>
      </c>
      <c r="G503" s="355" t="s">
        <v>2656</v>
      </c>
      <c r="H503" s="355" t="s">
        <v>496</v>
      </c>
      <c r="I503" s="355" t="s">
        <v>497</v>
      </c>
      <c r="J503" s="355" t="s">
        <v>2640</v>
      </c>
      <c r="K503" s="426" t="str">
        <f>HYPERLINK("https://okcountyrecords.com/detail/roger+mills/2000-006710","63e8b9a8d056433a9994fe46ca85076b.pdf | OKCountyRecords: 2000-006710")</f>
        <v>63e8b9a8d056433a9994fe46ca85076b.pdf | OKCountyRecords: 2000-006710</v>
      </c>
    </row>
    <row r="504" spans="1:11" x14ac:dyDescent="0.25">
      <c r="A504" s="355" t="s">
        <v>2657</v>
      </c>
      <c r="B504" s="355">
        <v>9</v>
      </c>
      <c r="C504" s="355" t="s">
        <v>309</v>
      </c>
      <c r="D504" s="359" t="s">
        <v>2658</v>
      </c>
      <c r="E504" s="460">
        <v>36565</v>
      </c>
      <c r="F504" s="356">
        <v>36565</v>
      </c>
      <c r="G504" s="355" t="s">
        <v>527</v>
      </c>
      <c r="H504" s="355" t="s">
        <v>496</v>
      </c>
      <c r="I504" s="355" t="s">
        <v>497</v>
      </c>
      <c r="J504" s="355" t="s">
        <v>2640</v>
      </c>
      <c r="K504" s="426" t="str">
        <f>HYPERLINK("https://okcountyrecords.com/detail/roger+mills/2000-006711","63e8b9a8d056433a9994fe46ca85076b.pdf | OKCountyRecords: 2000-006711")</f>
        <v>63e8b9a8d056433a9994fe46ca85076b.pdf | OKCountyRecords: 2000-006711</v>
      </c>
    </row>
    <row r="505" spans="1:11" x14ac:dyDescent="0.25">
      <c r="A505" s="355" t="s">
        <v>2659</v>
      </c>
      <c r="B505" s="355">
        <v>10</v>
      </c>
      <c r="C505" s="355" t="s">
        <v>309</v>
      </c>
      <c r="D505" s="359" t="s">
        <v>2660</v>
      </c>
      <c r="E505" s="460">
        <v>36565</v>
      </c>
      <c r="F505" s="356">
        <v>36565</v>
      </c>
      <c r="G505" s="355" t="s">
        <v>2661</v>
      </c>
      <c r="H505" s="355" t="s">
        <v>496</v>
      </c>
      <c r="I505" s="355" t="s">
        <v>497</v>
      </c>
      <c r="J505" s="355" t="s">
        <v>2640</v>
      </c>
      <c r="K505" s="426" t="str">
        <f>HYPERLINK("https://okcountyrecords.com/detail/roger+mills/2000-006712","63e8b9a8d056433a9994fe46ca85076b.pdf | OKCountyRecords: 2000-006712")</f>
        <v>63e8b9a8d056433a9994fe46ca85076b.pdf | OKCountyRecords: 2000-006712</v>
      </c>
    </row>
    <row r="506" spans="1:11" x14ac:dyDescent="0.25">
      <c r="A506" s="355" t="s">
        <v>2664</v>
      </c>
      <c r="B506" s="355">
        <v>11</v>
      </c>
      <c r="C506" s="355" t="s">
        <v>309</v>
      </c>
      <c r="D506" s="359" t="s">
        <v>2665</v>
      </c>
      <c r="E506" s="356">
        <v>36566</v>
      </c>
      <c r="F506" s="356">
        <v>36566</v>
      </c>
      <c r="G506" s="355" t="s">
        <v>531</v>
      </c>
      <c r="H506" s="355" t="s">
        <v>2666</v>
      </c>
      <c r="I506" s="355" t="s">
        <v>313</v>
      </c>
      <c r="J506" s="355" t="s">
        <v>2640</v>
      </c>
      <c r="K506" s="426" t="str">
        <f>HYPERLINK("https://okcountyrecords.com/detail/roger+mills/2000-006716","63e8b9a8d056433a9994fe46ca85076b.pdf | OKCountyRecords: 2000-006716")</f>
        <v>63e8b9a8d056433a9994fe46ca85076b.pdf | OKCountyRecords: 2000-006716</v>
      </c>
    </row>
    <row r="507" spans="1:11" x14ac:dyDescent="0.25">
      <c r="A507" s="355" t="s">
        <v>2668</v>
      </c>
      <c r="B507" s="355">
        <v>12</v>
      </c>
      <c r="C507" s="355" t="s">
        <v>309</v>
      </c>
      <c r="D507" s="359" t="s">
        <v>2669</v>
      </c>
      <c r="E507" s="460">
        <v>36572</v>
      </c>
      <c r="F507" s="356">
        <v>36572</v>
      </c>
      <c r="G507" s="355" t="s">
        <v>533</v>
      </c>
      <c r="H507" s="355" t="s">
        <v>496</v>
      </c>
      <c r="I507" s="355" t="s">
        <v>502</v>
      </c>
      <c r="J507" s="355" t="s">
        <v>2640</v>
      </c>
      <c r="K507" s="426" t="str">
        <f>HYPERLINK("https://okcountyrecords.com/detail/roger+mills/2000-006763","63e8b9a8d056433a9994fe46ca85076b.pdf | OKCountyRecords: 2000-006763")</f>
        <v>63e8b9a8d056433a9994fe46ca85076b.pdf | OKCountyRecords: 2000-006763</v>
      </c>
    </row>
    <row r="508" spans="1:11" x14ac:dyDescent="0.25">
      <c r="A508" s="355" t="s">
        <v>2670</v>
      </c>
      <c r="B508" s="355"/>
      <c r="C508" s="355" t="s">
        <v>2671</v>
      </c>
      <c r="D508" s="355" t="s">
        <v>2672</v>
      </c>
      <c r="E508" s="460">
        <v>36572</v>
      </c>
      <c r="F508" s="356">
        <v>36572</v>
      </c>
      <c r="G508" s="355" t="s">
        <v>2673</v>
      </c>
      <c r="H508" s="355" t="s">
        <v>2674</v>
      </c>
      <c r="I508" s="355" t="s">
        <v>502</v>
      </c>
      <c r="J508" s="355" t="s">
        <v>985</v>
      </c>
      <c r="K508" s="426" t="str">
        <f>HYPERLINK("https://okcountyrecords.com/detail/roger+mills/2000-006764","OKCountyRecords: 2000-006764")</f>
        <v>OKCountyRecords: 2000-006764</v>
      </c>
    </row>
    <row r="509" spans="1:11" ht="25.5" hidden="1" x14ac:dyDescent="0.25">
      <c r="A509" s="355" t="s">
        <v>2675</v>
      </c>
      <c r="B509" s="355"/>
      <c r="C509" s="355" t="s">
        <v>309</v>
      </c>
      <c r="D509" s="355" t="s">
        <v>2676</v>
      </c>
      <c r="E509" s="460">
        <v>36586</v>
      </c>
      <c r="F509" s="356">
        <v>36586</v>
      </c>
      <c r="G509" s="355" t="s">
        <v>535</v>
      </c>
      <c r="H509" s="355" t="s">
        <v>496</v>
      </c>
      <c r="I509" s="357" t="s">
        <v>536</v>
      </c>
      <c r="J509" s="357" t="s">
        <v>996</v>
      </c>
      <c r="K509" s="426" t="str">
        <f>HYPERLINK("https://okcountyrecords.com/detail/roger+mills/2000-006917","OKCountyRecords: 2000-006917")</f>
        <v>OKCountyRecords: 2000-006917</v>
      </c>
    </row>
    <row r="510" spans="1:11" ht="25.5" hidden="1" x14ac:dyDescent="0.25">
      <c r="A510" s="355" t="s">
        <v>2677</v>
      </c>
      <c r="B510" s="355"/>
      <c r="C510" s="355" t="s">
        <v>309</v>
      </c>
      <c r="D510" s="355" t="s">
        <v>2678</v>
      </c>
      <c r="E510" s="460">
        <v>36586</v>
      </c>
      <c r="F510" s="356">
        <v>36586</v>
      </c>
      <c r="G510" s="355" t="s">
        <v>294</v>
      </c>
      <c r="H510" s="355" t="s">
        <v>496</v>
      </c>
      <c r="I510" s="357" t="s">
        <v>539</v>
      </c>
      <c r="J510" s="357" t="s">
        <v>996</v>
      </c>
      <c r="K510" s="426" t="str">
        <f>HYPERLINK("https://okcountyrecords.com/detail/roger+mills/2000-006918","OKCountyRecords: 2000-006918")</f>
        <v>OKCountyRecords: 2000-006918</v>
      </c>
    </row>
    <row r="511" spans="1:11" ht="25.5" hidden="1" x14ac:dyDescent="0.25">
      <c r="A511" s="355" t="s">
        <v>2679</v>
      </c>
      <c r="B511" s="355"/>
      <c r="C511" s="355" t="s">
        <v>309</v>
      </c>
      <c r="D511" s="355" t="s">
        <v>2680</v>
      </c>
      <c r="E511" s="460">
        <v>36593</v>
      </c>
      <c r="F511" s="356">
        <v>36593</v>
      </c>
      <c r="G511" s="355" t="s">
        <v>272</v>
      </c>
      <c r="H511" s="355" t="s">
        <v>487</v>
      </c>
      <c r="I511" s="357" t="s">
        <v>541</v>
      </c>
      <c r="J511" s="357" t="s">
        <v>996</v>
      </c>
      <c r="K511" s="426" t="str">
        <f>HYPERLINK("https://okcountyrecords.com/detail/roger+mills/2000-006984","OKCountyRecords: 2000-006984")</f>
        <v>OKCountyRecords: 2000-006984</v>
      </c>
    </row>
    <row r="512" spans="1:11" ht="51" hidden="1" x14ac:dyDescent="0.25">
      <c r="A512" s="355" t="s">
        <v>2681</v>
      </c>
      <c r="B512" s="355"/>
      <c r="C512" s="355" t="s">
        <v>309</v>
      </c>
      <c r="D512" s="355" t="s">
        <v>2682</v>
      </c>
      <c r="E512" s="460">
        <v>36593</v>
      </c>
      <c r="F512" s="356">
        <v>36593</v>
      </c>
      <c r="G512" s="355" t="s">
        <v>265</v>
      </c>
      <c r="H512" s="355" t="s">
        <v>487</v>
      </c>
      <c r="I512" s="357" t="s">
        <v>543</v>
      </c>
      <c r="J512" s="357" t="s">
        <v>996</v>
      </c>
      <c r="K512" s="426" t="str">
        <f>HYPERLINK("https://okcountyrecords.com/detail/roger+mills/2000-006985","OKCountyRecords: 2000-006985")</f>
        <v>OKCountyRecords: 2000-006985</v>
      </c>
    </row>
    <row r="513" spans="1:11" ht="38.25" hidden="1" x14ac:dyDescent="0.25">
      <c r="A513" s="355" t="s">
        <v>2683</v>
      </c>
      <c r="B513" s="355"/>
      <c r="C513" s="355" t="s">
        <v>309</v>
      </c>
      <c r="D513" s="355" t="s">
        <v>2684</v>
      </c>
      <c r="E513" s="460">
        <v>36593</v>
      </c>
      <c r="F513" s="356">
        <v>36593</v>
      </c>
      <c r="G513" s="355" t="s">
        <v>545</v>
      </c>
      <c r="H513" s="355" t="s">
        <v>487</v>
      </c>
      <c r="I513" s="357" t="s">
        <v>502</v>
      </c>
      <c r="J513" s="357" t="s">
        <v>996</v>
      </c>
      <c r="K513" s="426" t="str">
        <f>HYPERLINK("https://okcountyrecords.com/detail/roger+mills/2000-006986","OKCountyRecords: 2000-006986")</f>
        <v>OKCountyRecords: 2000-006986</v>
      </c>
    </row>
    <row r="514" spans="1:11" x14ac:dyDescent="0.25">
      <c r="A514" s="355" t="s">
        <v>2685</v>
      </c>
      <c r="B514" s="355">
        <v>93</v>
      </c>
      <c r="C514" s="355" t="s">
        <v>114</v>
      </c>
      <c r="D514" s="359" t="s">
        <v>2686</v>
      </c>
      <c r="E514" s="460">
        <v>36600</v>
      </c>
      <c r="F514" s="356">
        <v>36600</v>
      </c>
      <c r="G514" s="355" t="s">
        <v>266</v>
      </c>
      <c r="H514" s="355" t="s">
        <v>2687</v>
      </c>
      <c r="I514" s="355" t="s">
        <v>2667</v>
      </c>
      <c r="J514" s="355" t="s">
        <v>2688</v>
      </c>
      <c r="K514" s="607" t="s">
        <v>2689</v>
      </c>
    </row>
    <row r="515" spans="1:11" ht="102" hidden="1" x14ac:dyDescent="0.25">
      <c r="A515" s="355" t="s">
        <v>2690</v>
      </c>
      <c r="B515" s="355">
        <v>69</v>
      </c>
      <c r="C515" s="355" t="s">
        <v>114</v>
      </c>
      <c r="D515" s="355" t="s">
        <v>2686</v>
      </c>
      <c r="E515" s="356">
        <v>36600</v>
      </c>
      <c r="F515" s="356">
        <v>36600</v>
      </c>
      <c r="G515" s="355" t="s">
        <v>266</v>
      </c>
      <c r="H515" s="355" t="s">
        <v>2687</v>
      </c>
      <c r="I515" s="357" t="s">
        <v>2667</v>
      </c>
      <c r="J515" s="357" t="s">
        <v>2691</v>
      </c>
      <c r="K515" s="426" t="str">
        <f>HYPERLINK("https://okcountyrecords.com/detail/roger+mills/2000-007065","63e8b9a8d056433a9994fe46ca85076b.pdf | OKCountyRecords: 2000-007065")</f>
        <v>63e8b9a8d056433a9994fe46ca85076b.pdf | OKCountyRecords: 2000-007065</v>
      </c>
    </row>
    <row r="516" spans="1:11" x14ac:dyDescent="0.25">
      <c r="A516" s="355" t="s">
        <v>2692</v>
      </c>
      <c r="B516" s="355">
        <v>70</v>
      </c>
      <c r="C516" s="355" t="s">
        <v>309</v>
      </c>
      <c r="D516" s="355" t="s">
        <v>2693</v>
      </c>
      <c r="E516" s="460">
        <v>36612</v>
      </c>
      <c r="F516" s="356">
        <v>36612</v>
      </c>
      <c r="G516" s="355" t="s">
        <v>547</v>
      </c>
      <c r="H516" s="355" t="s">
        <v>266</v>
      </c>
      <c r="I516" s="355" t="s">
        <v>548</v>
      </c>
      <c r="J516" s="355" t="s">
        <v>2694</v>
      </c>
      <c r="K516" s="426" t="str">
        <f>HYPERLINK("https://okcountyrecords.com/detail/roger+mills/2000-007204","63e8b9a8d056433a9994fe46ca85076b.pdf | OKCountyRecords: 2000-007204")</f>
        <v>63e8b9a8d056433a9994fe46ca85076b.pdf | OKCountyRecords: 2000-007204</v>
      </c>
    </row>
    <row r="517" spans="1:11" x14ac:dyDescent="0.25">
      <c r="A517" s="355" t="s">
        <v>2695</v>
      </c>
      <c r="B517" s="355">
        <v>94</v>
      </c>
      <c r="C517" s="355" t="s">
        <v>309</v>
      </c>
      <c r="D517" s="359" t="s">
        <v>2693</v>
      </c>
      <c r="E517" s="460">
        <v>36612</v>
      </c>
      <c r="F517" s="356">
        <v>36612</v>
      </c>
      <c r="G517" s="355" t="s">
        <v>547</v>
      </c>
      <c r="H517" s="355" t="s">
        <v>266</v>
      </c>
      <c r="I517" s="355" t="s">
        <v>548</v>
      </c>
      <c r="J517" s="355" t="s">
        <v>2640</v>
      </c>
      <c r="K517" s="607" t="s">
        <v>2697</v>
      </c>
    </row>
    <row r="518" spans="1:11" x14ac:dyDescent="0.25">
      <c r="A518" s="355" t="s">
        <v>2698</v>
      </c>
      <c r="B518" s="355">
        <v>95</v>
      </c>
      <c r="C518" s="355" t="s">
        <v>309</v>
      </c>
      <c r="D518" s="359" t="s">
        <v>2699</v>
      </c>
      <c r="E518" s="460">
        <v>36613</v>
      </c>
      <c r="F518" s="356">
        <v>36613</v>
      </c>
      <c r="G518" s="355" t="s">
        <v>550</v>
      </c>
      <c r="H518" s="355" t="s">
        <v>2666</v>
      </c>
      <c r="I518" s="355" t="s">
        <v>551</v>
      </c>
      <c r="J518" s="355" t="s">
        <v>2640</v>
      </c>
      <c r="K518" s="607" t="s">
        <v>2701</v>
      </c>
    </row>
    <row r="519" spans="1:11" x14ac:dyDescent="0.25">
      <c r="A519" s="355" t="s">
        <v>2705</v>
      </c>
      <c r="B519" s="355">
        <v>71</v>
      </c>
      <c r="C519" s="355" t="s">
        <v>309</v>
      </c>
      <c r="D519" s="355" t="s">
        <v>2699</v>
      </c>
      <c r="E519" s="356">
        <v>36613</v>
      </c>
      <c r="F519" s="356">
        <v>36613</v>
      </c>
      <c r="G519" s="355" t="s">
        <v>550</v>
      </c>
      <c r="H519" s="355" t="s">
        <v>2666</v>
      </c>
      <c r="I519" s="355" t="s">
        <v>551</v>
      </c>
      <c r="J519" s="355" t="s">
        <v>2706</v>
      </c>
      <c r="K519" s="426" t="str">
        <f>HYPERLINK("https://okcountyrecords.com/detail/roger+mills/2000-007244","63e8b9a8d056433a9994fe46ca85076b.pdf | OKCountyRecords: 2000-007244")</f>
        <v>63e8b9a8d056433a9994fe46ca85076b.pdf | OKCountyRecords: 2000-007244</v>
      </c>
    </row>
    <row r="520" spans="1:11" x14ac:dyDescent="0.25">
      <c r="A520" s="355" t="s">
        <v>2702</v>
      </c>
      <c r="B520" s="355">
        <v>96</v>
      </c>
      <c r="C520" s="355" t="s">
        <v>309</v>
      </c>
      <c r="D520" s="359" t="s">
        <v>2703</v>
      </c>
      <c r="E520" s="460">
        <v>36613</v>
      </c>
      <c r="F520" s="356">
        <v>36613</v>
      </c>
      <c r="G520" s="355" t="s">
        <v>480</v>
      </c>
      <c r="H520" s="355" t="s">
        <v>2666</v>
      </c>
      <c r="I520" s="355" t="s">
        <v>551</v>
      </c>
      <c r="J520" s="355" t="s">
        <v>2640</v>
      </c>
      <c r="K520" s="607" t="s">
        <v>2704</v>
      </c>
    </row>
    <row r="521" spans="1:11" x14ac:dyDescent="0.25">
      <c r="A521" s="355" t="s">
        <v>2707</v>
      </c>
      <c r="B521" s="355">
        <v>72</v>
      </c>
      <c r="C521" s="355" t="s">
        <v>309</v>
      </c>
      <c r="D521" s="355" t="s">
        <v>2703</v>
      </c>
      <c r="E521" s="356">
        <v>36613</v>
      </c>
      <c r="F521" s="356">
        <v>36613</v>
      </c>
      <c r="G521" s="355" t="s">
        <v>480</v>
      </c>
      <c r="H521" s="355" t="s">
        <v>2666</v>
      </c>
      <c r="I521" s="355" t="s">
        <v>551</v>
      </c>
      <c r="J521" s="355" t="s">
        <v>2706</v>
      </c>
      <c r="K521" s="426" t="str">
        <f>HYPERLINK("https://okcountyrecords.com/detail/roger+mills/2000-007245","63e8b9a8d056433a9994fe46ca85076b.pdf | OKCountyRecords: 2000-007245")</f>
        <v>63e8b9a8d056433a9994fe46ca85076b.pdf | OKCountyRecords: 2000-007245</v>
      </c>
    </row>
    <row r="522" spans="1:11" ht="38.25" hidden="1" x14ac:dyDescent="0.25">
      <c r="A522" s="355" t="s">
        <v>2708</v>
      </c>
      <c r="B522" s="355"/>
      <c r="C522" s="355" t="s">
        <v>309</v>
      </c>
      <c r="D522" s="355" t="s">
        <v>2709</v>
      </c>
      <c r="E522" s="460">
        <v>36616</v>
      </c>
      <c r="F522" s="356">
        <v>36616</v>
      </c>
      <c r="G522" s="355" t="s">
        <v>554</v>
      </c>
      <c r="H522" s="355" t="s">
        <v>487</v>
      </c>
      <c r="I522" s="357" t="s">
        <v>555</v>
      </c>
      <c r="J522" s="357" t="s">
        <v>996</v>
      </c>
      <c r="K522" s="426" t="str">
        <f>HYPERLINK("https://okcountyrecords.com/detail/roger+mills/2000-007332","OKCountyRecords: 2000-007332")</f>
        <v>OKCountyRecords: 2000-007332</v>
      </c>
    </row>
    <row r="523" spans="1:11" ht="25.5" hidden="1" x14ac:dyDescent="0.25">
      <c r="A523" s="355" t="s">
        <v>2710</v>
      </c>
      <c r="B523" s="355"/>
      <c r="C523" s="355" t="s">
        <v>309</v>
      </c>
      <c r="D523" s="355" t="s">
        <v>2711</v>
      </c>
      <c r="E523" s="460">
        <v>36621</v>
      </c>
      <c r="F523" s="356">
        <v>36621</v>
      </c>
      <c r="G523" s="355" t="s">
        <v>437</v>
      </c>
      <c r="H523" s="355" t="s">
        <v>496</v>
      </c>
      <c r="I523" s="357" t="s">
        <v>497</v>
      </c>
      <c r="J523" s="357" t="s">
        <v>996</v>
      </c>
      <c r="K523" s="426" t="str">
        <f>HYPERLINK("https://okcountyrecords.com/detail/roger+mills/2000-007383","OKCountyRecords: 2000-007383")</f>
        <v>OKCountyRecords: 2000-007383</v>
      </c>
    </row>
    <row r="524" spans="1:11" ht="38.25" hidden="1" x14ac:dyDescent="0.25">
      <c r="A524" s="355" t="s">
        <v>2712</v>
      </c>
      <c r="B524" s="355"/>
      <c r="C524" s="355" t="s">
        <v>309</v>
      </c>
      <c r="D524" s="355" t="s">
        <v>2713</v>
      </c>
      <c r="E524" s="460">
        <v>36623</v>
      </c>
      <c r="F524" s="356">
        <v>36623</v>
      </c>
      <c r="G524" s="355" t="s">
        <v>558</v>
      </c>
      <c r="H524" s="355" t="s">
        <v>496</v>
      </c>
      <c r="I524" s="357" t="s">
        <v>502</v>
      </c>
      <c r="J524" s="428" t="s">
        <v>2714</v>
      </c>
      <c r="K524" s="426" t="str">
        <f>HYPERLINK("https://okcountyrecords.com/detail/roger+mills/2000-007411","OKCountyRecords: 2000-007411")</f>
        <v>OKCountyRecords: 2000-007411</v>
      </c>
    </row>
    <row r="525" spans="1:11" ht="38.25" hidden="1" x14ac:dyDescent="0.25">
      <c r="A525" s="355" t="s">
        <v>2715</v>
      </c>
      <c r="B525" s="355"/>
      <c r="C525" s="355" t="s">
        <v>114</v>
      </c>
      <c r="D525" s="355" t="s">
        <v>2716</v>
      </c>
      <c r="E525" s="460">
        <v>36643</v>
      </c>
      <c r="F525" s="356">
        <v>36643</v>
      </c>
      <c r="G525" s="355" t="s">
        <v>2717</v>
      </c>
      <c r="H525" s="355" t="s">
        <v>2687</v>
      </c>
      <c r="I525" s="357" t="s">
        <v>2718</v>
      </c>
      <c r="J525" s="357" t="s">
        <v>996</v>
      </c>
      <c r="K525" s="426" t="str">
        <f>HYPERLINK("https://okcountyrecords.com/detail/roger+mills/2000-007634","OKCountyRecords: 2000-007634")</f>
        <v>OKCountyRecords: 2000-007634</v>
      </c>
    </row>
    <row r="526" spans="1:11" x14ac:dyDescent="0.25">
      <c r="A526" s="355" t="s">
        <v>2719</v>
      </c>
      <c r="B526" s="355"/>
      <c r="C526" s="355" t="s">
        <v>1623</v>
      </c>
      <c r="D526" s="355" t="s">
        <v>2720</v>
      </c>
      <c r="E526" s="460">
        <v>36647</v>
      </c>
      <c r="F526" s="356">
        <v>36647</v>
      </c>
      <c r="G526" s="355" t="s">
        <v>2580</v>
      </c>
      <c r="H526" s="355" t="s">
        <v>2721</v>
      </c>
      <c r="I526" s="355" t="s">
        <v>2515</v>
      </c>
      <c r="J526" s="355" t="s">
        <v>1625</v>
      </c>
      <c r="K526" s="426" t="str">
        <f>HYPERLINK("https://okcountyrecords.com/detail/roger+mills/2000-007685","OKCountyRecords: 2000-007685")</f>
        <v>OKCountyRecords: 2000-007685</v>
      </c>
    </row>
    <row r="527" spans="1:11" hidden="1" x14ac:dyDescent="0.25">
      <c r="A527" s="355" t="s">
        <v>2722</v>
      </c>
      <c r="B527" s="355"/>
      <c r="C527" s="355" t="s">
        <v>309</v>
      </c>
      <c r="D527" s="355" t="s">
        <v>2723</v>
      </c>
      <c r="E527" s="460">
        <v>36671</v>
      </c>
      <c r="F527" s="356">
        <v>36671</v>
      </c>
      <c r="G527" s="355" t="s">
        <v>560</v>
      </c>
      <c r="H527" s="355" t="s">
        <v>487</v>
      </c>
      <c r="I527" s="357" t="s">
        <v>561</v>
      </c>
      <c r="J527" s="357" t="s">
        <v>996</v>
      </c>
      <c r="K527" s="426" t="str">
        <f>HYPERLINK("https://okcountyrecords.com/detail/roger+mills/2000-008063","OKCountyRecords: 2000-008063")</f>
        <v>OKCountyRecords: 2000-008063</v>
      </c>
    </row>
    <row r="528" spans="1:11" x14ac:dyDescent="0.25">
      <c r="A528" s="355" t="s">
        <v>2724</v>
      </c>
      <c r="B528" s="355"/>
      <c r="C528" s="355" t="s">
        <v>2441</v>
      </c>
      <c r="D528" s="355" t="s">
        <v>2725</v>
      </c>
      <c r="E528" s="460">
        <v>36679</v>
      </c>
      <c r="F528" s="356">
        <v>36679</v>
      </c>
      <c r="G528" s="355" t="s">
        <v>2726</v>
      </c>
      <c r="H528" s="355" t="s">
        <v>2727</v>
      </c>
      <c r="I528" s="355" t="s">
        <v>2728</v>
      </c>
      <c r="J528" s="355" t="s">
        <v>1095</v>
      </c>
      <c r="K528" s="426" t="str">
        <f>HYPERLINK("https://okcountyrecords.com/detail/roger+mills/2000-008159","OKCountyRecords: 2000-008159")</f>
        <v>OKCountyRecords: 2000-008159</v>
      </c>
    </row>
    <row r="529" spans="1:11" ht="25.5" hidden="1" x14ac:dyDescent="0.25">
      <c r="A529" s="355" t="s">
        <v>2729</v>
      </c>
      <c r="B529" s="355"/>
      <c r="C529" s="355" t="s">
        <v>114</v>
      </c>
      <c r="D529" s="355" t="s">
        <v>2730</v>
      </c>
      <c r="E529" s="356">
        <v>36717</v>
      </c>
      <c r="F529" s="356">
        <v>36717</v>
      </c>
      <c r="G529" s="357" t="s">
        <v>2731</v>
      </c>
      <c r="H529" s="355" t="s">
        <v>2546</v>
      </c>
      <c r="I529" s="357" t="s">
        <v>1003</v>
      </c>
      <c r="J529" s="357" t="s">
        <v>996</v>
      </c>
      <c r="K529" s="426" t="str">
        <f>HYPERLINK("https://okcountyrecords.com/detail/roger+mills/2000-008764","OKCountyRecords: 2000-008764")</f>
        <v>OKCountyRecords: 2000-008764</v>
      </c>
    </row>
    <row r="530" spans="1:11" x14ac:dyDescent="0.25">
      <c r="A530" s="355" t="s">
        <v>2732</v>
      </c>
      <c r="B530" s="355"/>
      <c r="C530" s="355" t="s">
        <v>82</v>
      </c>
      <c r="D530" s="355" t="s">
        <v>2733</v>
      </c>
      <c r="E530" s="356">
        <v>36802</v>
      </c>
      <c r="F530" s="356">
        <v>36815</v>
      </c>
      <c r="G530" s="355" t="s">
        <v>2734</v>
      </c>
      <c r="H530" s="355" t="s">
        <v>2661</v>
      </c>
      <c r="I530" s="355" t="s">
        <v>2543</v>
      </c>
      <c r="J530" s="355" t="s">
        <v>1625</v>
      </c>
      <c r="K530" s="426" t="str">
        <f>HYPERLINK("https://okcountyrecords.com/detail/roger+mills/2000-010180","OKCountyRecords: 2000-010180")</f>
        <v>OKCountyRecords: 2000-010180</v>
      </c>
    </row>
    <row r="531" spans="1:11" ht="25.5" hidden="1" x14ac:dyDescent="0.25">
      <c r="A531" s="355" t="s">
        <v>2735</v>
      </c>
      <c r="B531" s="355"/>
      <c r="C531" s="355" t="s">
        <v>309</v>
      </c>
      <c r="D531" s="355" t="s">
        <v>2736</v>
      </c>
      <c r="E531" s="356">
        <v>36816</v>
      </c>
      <c r="F531" s="356">
        <v>36829</v>
      </c>
      <c r="G531" s="355" t="s">
        <v>400</v>
      </c>
      <c r="H531" s="355" t="s">
        <v>487</v>
      </c>
      <c r="I531" s="357" t="s">
        <v>488</v>
      </c>
      <c r="J531" s="357" t="s">
        <v>996</v>
      </c>
      <c r="K531" s="426" t="str">
        <f>HYPERLINK("https://okcountyrecords.com/detail/roger+mills/2000-010382","OKCountyRecords: 2000-010382")</f>
        <v>OKCountyRecords: 2000-010382</v>
      </c>
    </row>
    <row r="532" spans="1:11" hidden="1" x14ac:dyDescent="0.25">
      <c r="A532" s="355" t="s">
        <v>2737</v>
      </c>
      <c r="B532" s="355"/>
      <c r="C532" s="355" t="s">
        <v>309</v>
      </c>
      <c r="D532" s="355" t="s">
        <v>2738</v>
      </c>
      <c r="E532" s="356">
        <v>36824</v>
      </c>
      <c r="F532" s="356">
        <v>36866</v>
      </c>
      <c r="G532" s="355" t="s">
        <v>2739</v>
      </c>
      <c r="H532" s="355" t="s">
        <v>487</v>
      </c>
      <c r="I532" s="357" t="s">
        <v>505</v>
      </c>
      <c r="J532" s="357" t="s">
        <v>996</v>
      </c>
      <c r="K532" s="426" t="str">
        <f>HYPERLINK("https://okcountyrecords.com/detail/roger+mills/2000-010908","OKCountyRecords: 2000-010908")</f>
        <v>OKCountyRecords: 2000-010908</v>
      </c>
    </row>
    <row r="533" spans="1:11" hidden="1" x14ac:dyDescent="0.25">
      <c r="A533" s="355" t="s">
        <v>2740</v>
      </c>
      <c r="B533" s="355"/>
      <c r="C533" s="355" t="s">
        <v>309</v>
      </c>
      <c r="D533" s="355" t="s">
        <v>2741</v>
      </c>
      <c r="E533" s="356">
        <v>36824</v>
      </c>
      <c r="F533" s="356">
        <v>36866</v>
      </c>
      <c r="G533" s="355" t="s">
        <v>2525</v>
      </c>
      <c r="H533" s="355" t="s">
        <v>487</v>
      </c>
      <c r="I533" s="357" t="s">
        <v>505</v>
      </c>
      <c r="J533" s="357" t="s">
        <v>996</v>
      </c>
      <c r="K533" s="426" t="str">
        <f>HYPERLINK("https://okcountyrecords.com/detail/roger+mills/2000-010909","OKCountyRecords: 2000-010909")</f>
        <v>OKCountyRecords: 2000-010909</v>
      </c>
    </row>
    <row r="534" spans="1:11" x14ac:dyDescent="0.25">
      <c r="A534" s="355" t="s">
        <v>3304</v>
      </c>
      <c r="B534" s="355"/>
      <c r="C534" s="355" t="s">
        <v>2746</v>
      </c>
      <c r="D534" s="355" t="s">
        <v>3305</v>
      </c>
      <c r="E534" s="356">
        <v>36835</v>
      </c>
      <c r="F534" s="356">
        <v>39133</v>
      </c>
      <c r="G534" s="355" t="s">
        <v>3306</v>
      </c>
      <c r="H534" s="355" t="s">
        <v>1110</v>
      </c>
      <c r="I534" s="355" t="s">
        <v>3307</v>
      </c>
      <c r="J534" s="355" t="s">
        <v>1095</v>
      </c>
      <c r="K534" s="426" t="str">
        <f>HYPERLINK("https://okcountyrecords.com/detail/roger+mills/2007-000723","OKCountyRecords: 2007-000723")</f>
        <v>OKCountyRecords: 2007-000723</v>
      </c>
    </row>
    <row r="535" spans="1:11" x14ac:dyDescent="0.25">
      <c r="A535" s="355" t="s">
        <v>2745</v>
      </c>
      <c r="B535" s="355"/>
      <c r="C535" s="355" t="s">
        <v>2746</v>
      </c>
      <c r="D535" s="355" t="s">
        <v>2747</v>
      </c>
      <c r="E535" s="356">
        <v>36877</v>
      </c>
      <c r="F535" s="356">
        <v>36935</v>
      </c>
      <c r="G535" s="355" t="s">
        <v>2748</v>
      </c>
      <c r="H535" s="355" t="s">
        <v>1110</v>
      </c>
      <c r="I535" s="355" t="s">
        <v>2749</v>
      </c>
      <c r="J535" s="355" t="s">
        <v>1095</v>
      </c>
      <c r="K535" s="426" t="str">
        <f>HYPERLINK("https://okcountyrecords.com/detail/roger+mills/2001-000618","OKCountyRecords: 2001-000618")</f>
        <v>OKCountyRecords: 2001-000618</v>
      </c>
    </row>
    <row r="536" spans="1:11" x14ac:dyDescent="0.25">
      <c r="A536" s="355" t="s">
        <v>2750</v>
      </c>
      <c r="B536" s="355"/>
      <c r="C536" s="355" t="s">
        <v>2506</v>
      </c>
      <c r="D536" s="355" t="s">
        <v>2751</v>
      </c>
      <c r="E536" s="356">
        <v>36881</v>
      </c>
      <c r="F536" s="356">
        <v>36935</v>
      </c>
      <c r="G536" s="355" t="s">
        <v>2752</v>
      </c>
      <c r="H536" s="355" t="s">
        <v>2753</v>
      </c>
      <c r="I536" s="355" t="s">
        <v>2749</v>
      </c>
      <c r="J536" s="355" t="s">
        <v>985</v>
      </c>
      <c r="K536" s="426" t="str">
        <f>HYPERLINK("https://okcountyrecords.com/detail/roger+mills/2001-000619","OKCountyRecords: 2001-000619")</f>
        <v>OKCountyRecords: 2001-000619</v>
      </c>
    </row>
    <row r="537" spans="1:11" x14ac:dyDescent="0.25">
      <c r="A537" s="355" t="s">
        <v>2742</v>
      </c>
      <c r="B537" s="355"/>
      <c r="C537" s="355" t="s">
        <v>1623</v>
      </c>
      <c r="D537" s="355" t="s">
        <v>2743</v>
      </c>
      <c r="E537" s="356">
        <v>36896</v>
      </c>
      <c r="F537" s="356">
        <v>36899</v>
      </c>
      <c r="G537" s="355" t="s">
        <v>1615</v>
      </c>
      <c r="H537" s="355" t="s">
        <v>2744</v>
      </c>
      <c r="I537" s="355" t="s">
        <v>2543</v>
      </c>
      <c r="J537" s="355" t="s">
        <v>1625</v>
      </c>
      <c r="K537" s="426" t="str">
        <f>HYPERLINK("https://okcountyrecords.com/detail/roger+mills/2001-000103","OKCountyRecords: 2001-000103")</f>
        <v>OKCountyRecords: 2001-000103</v>
      </c>
    </row>
    <row r="538" spans="1:11" ht="25.5" hidden="1" x14ac:dyDescent="0.25">
      <c r="A538" s="355" t="s">
        <v>2780</v>
      </c>
      <c r="B538" s="355"/>
      <c r="C538" s="355" t="s">
        <v>309</v>
      </c>
      <c r="D538" s="355" t="s">
        <v>2781</v>
      </c>
      <c r="E538" s="356">
        <v>36906</v>
      </c>
      <c r="F538" s="356">
        <v>36985</v>
      </c>
      <c r="G538" s="355" t="s">
        <v>573</v>
      </c>
      <c r="H538" s="355" t="s">
        <v>266</v>
      </c>
      <c r="I538" s="357" t="s">
        <v>497</v>
      </c>
      <c r="J538" s="357" t="s">
        <v>996</v>
      </c>
      <c r="K538" s="426" t="str">
        <f>HYPERLINK("https://okcountyrecords.com/detail/roger+mills/2001-001362","OKCountyRecords: 2001-001362")</f>
        <v>OKCountyRecords: 2001-001362</v>
      </c>
    </row>
    <row r="539" spans="1:11" ht="25.5" hidden="1" x14ac:dyDescent="0.25">
      <c r="A539" s="355" t="s">
        <v>2782</v>
      </c>
      <c r="B539" s="355"/>
      <c r="C539" s="355" t="s">
        <v>309</v>
      </c>
      <c r="D539" s="355" t="s">
        <v>2783</v>
      </c>
      <c r="E539" s="356">
        <v>36906</v>
      </c>
      <c r="F539" s="356">
        <v>36985</v>
      </c>
      <c r="G539" s="355" t="s">
        <v>575</v>
      </c>
      <c r="H539" s="355" t="s">
        <v>266</v>
      </c>
      <c r="I539" s="357" t="s">
        <v>497</v>
      </c>
      <c r="J539" s="357" t="s">
        <v>996</v>
      </c>
      <c r="K539" s="426" t="str">
        <f>HYPERLINK("https://okcountyrecords.com/detail/roger+mills/2001-001363","OKCountyRecords: 2001-001363")</f>
        <v>OKCountyRecords: 2001-001363</v>
      </c>
    </row>
    <row r="540" spans="1:11" ht="25.5" hidden="1" x14ac:dyDescent="0.25">
      <c r="A540" s="355" t="s">
        <v>2784</v>
      </c>
      <c r="B540" s="355"/>
      <c r="C540" s="355" t="s">
        <v>309</v>
      </c>
      <c r="D540" s="355" t="s">
        <v>2785</v>
      </c>
      <c r="E540" s="356">
        <v>36906</v>
      </c>
      <c r="F540" s="356">
        <v>36985</v>
      </c>
      <c r="G540" s="355" t="s">
        <v>577</v>
      </c>
      <c r="H540" s="355" t="s">
        <v>266</v>
      </c>
      <c r="I540" s="357" t="s">
        <v>497</v>
      </c>
      <c r="J540" s="357" t="s">
        <v>996</v>
      </c>
      <c r="K540" s="426" t="str">
        <f>HYPERLINK("https://okcountyrecords.com/detail/roger+mills/2001-001364","OKCountyRecords: 2001-001364")</f>
        <v>OKCountyRecords: 2001-001364</v>
      </c>
    </row>
    <row r="541" spans="1:11" ht="25.5" hidden="1" x14ac:dyDescent="0.25">
      <c r="A541" s="355" t="s">
        <v>2786</v>
      </c>
      <c r="B541" s="355"/>
      <c r="C541" s="355" t="s">
        <v>309</v>
      </c>
      <c r="D541" s="355" t="s">
        <v>2787</v>
      </c>
      <c r="E541" s="356">
        <v>36906</v>
      </c>
      <c r="F541" s="356">
        <v>36985</v>
      </c>
      <c r="G541" s="355" t="s">
        <v>392</v>
      </c>
      <c r="H541" s="355" t="s">
        <v>266</v>
      </c>
      <c r="I541" s="357" t="s">
        <v>497</v>
      </c>
      <c r="J541" s="357" t="s">
        <v>996</v>
      </c>
      <c r="K541" s="426" t="str">
        <f>HYPERLINK("https://okcountyrecords.com/detail/roger+mills/2001-001365","OKCountyRecords: 2001-001365")</f>
        <v>OKCountyRecords: 2001-001365</v>
      </c>
    </row>
    <row r="542" spans="1:11" ht="25.5" hidden="1" x14ac:dyDescent="0.25">
      <c r="A542" s="355" t="s">
        <v>2788</v>
      </c>
      <c r="B542" s="355"/>
      <c r="C542" s="355" t="s">
        <v>309</v>
      </c>
      <c r="D542" s="355" t="s">
        <v>2789</v>
      </c>
      <c r="E542" s="356">
        <v>36906</v>
      </c>
      <c r="F542" s="356">
        <v>36985</v>
      </c>
      <c r="G542" s="357" t="s">
        <v>463</v>
      </c>
      <c r="H542" s="355" t="s">
        <v>266</v>
      </c>
      <c r="I542" s="357" t="s">
        <v>497</v>
      </c>
      <c r="J542" s="357" t="s">
        <v>996</v>
      </c>
      <c r="K542" s="426" t="str">
        <f>HYPERLINK("https://okcountyrecords.com/detail/roger+mills/2001-001366","OKCountyRecords: 2001-001366")</f>
        <v>OKCountyRecords: 2001-001366</v>
      </c>
    </row>
    <row r="543" spans="1:11" ht="25.5" hidden="1" x14ac:dyDescent="0.25">
      <c r="A543" s="355" t="s">
        <v>2770</v>
      </c>
      <c r="B543" s="355"/>
      <c r="C543" s="355" t="s">
        <v>309</v>
      </c>
      <c r="D543" s="355" t="s">
        <v>2771</v>
      </c>
      <c r="E543" s="356">
        <v>36906</v>
      </c>
      <c r="F543" s="356">
        <v>36985</v>
      </c>
      <c r="G543" s="357" t="s">
        <v>2530</v>
      </c>
      <c r="H543" s="355" t="s">
        <v>266</v>
      </c>
      <c r="I543" s="357" t="s">
        <v>497</v>
      </c>
      <c r="J543" s="357" t="s">
        <v>996</v>
      </c>
      <c r="K543" s="426" t="str">
        <f>HYPERLINK("https://okcountyrecords.com/detail/roger+mills/2001-001357","OKCountyRecords: 2001-001357")</f>
        <v>OKCountyRecords: 2001-001357</v>
      </c>
    </row>
    <row r="544" spans="1:11" ht="25.5" hidden="1" x14ac:dyDescent="0.25">
      <c r="A544" s="355" t="s">
        <v>2772</v>
      </c>
      <c r="B544" s="355"/>
      <c r="C544" s="355" t="s">
        <v>309</v>
      </c>
      <c r="D544" s="355" t="s">
        <v>2773</v>
      </c>
      <c r="E544" s="356">
        <v>36906</v>
      </c>
      <c r="F544" s="356">
        <v>36985</v>
      </c>
      <c r="G544" s="355" t="s">
        <v>396</v>
      </c>
      <c r="H544" s="355" t="s">
        <v>266</v>
      </c>
      <c r="I544" s="357" t="s">
        <v>497</v>
      </c>
      <c r="J544" s="357" t="s">
        <v>996</v>
      </c>
      <c r="K544" s="426" t="str">
        <f>HYPERLINK("https://okcountyrecords.com/detail/roger+mills/2001-001358","OKCountyRecords: 2001-001358")</f>
        <v>OKCountyRecords: 2001-001358</v>
      </c>
    </row>
    <row r="545" spans="1:11" ht="25.5" hidden="1" x14ac:dyDescent="0.25">
      <c r="A545" s="355" t="s">
        <v>2776</v>
      </c>
      <c r="B545" s="355"/>
      <c r="C545" s="355" t="s">
        <v>309</v>
      </c>
      <c r="D545" s="355" t="s">
        <v>2777</v>
      </c>
      <c r="E545" s="356">
        <v>36906</v>
      </c>
      <c r="F545" s="356">
        <v>36985</v>
      </c>
      <c r="G545" s="355" t="s">
        <v>571</v>
      </c>
      <c r="H545" s="355" t="s">
        <v>266</v>
      </c>
      <c r="I545" s="357" t="s">
        <v>497</v>
      </c>
      <c r="J545" s="357" t="s">
        <v>996</v>
      </c>
      <c r="K545" s="426" t="str">
        <f>HYPERLINK("https://okcountyrecords.com/detail/roger+mills/2001-001360","OKCountyRecords: 2001-001360")</f>
        <v>OKCountyRecords: 2001-001360</v>
      </c>
    </row>
    <row r="546" spans="1:11" ht="38.25" hidden="1" x14ac:dyDescent="0.25">
      <c r="A546" s="355" t="s">
        <v>2774</v>
      </c>
      <c r="B546" s="355"/>
      <c r="C546" s="355" t="s">
        <v>309</v>
      </c>
      <c r="D546" s="355" t="s">
        <v>2775</v>
      </c>
      <c r="E546" s="356">
        <v>36916</v>
      </c>
      <c r="F546" s="356">
        <v>36985</v>
      </c>
      <c r="G546" s="355" t="s">
        <v>581</v>
      </c>
      <c r="H546" s="355" t="s">
        <v>266</v>
      </c>
      <c r="I546" s="357" t="s">
        <v>502</v>
      </c>
      <c r="J546" s="357" t="s">
        <v>996</v>
      </c>
      <c r="K546" s="426" t="str">
        <f>HYPERLINK("https://okcountyrecords.com/detail/roger+mills/2001-001359","OKCountyRecords: 2001-001359")</f>
        <v>OKCountyRecords: 2001-001359</v>
      </c>
    </row>
    <row r="547" spans="1:11" ht="25.5" hidden="1" x14ac:dyDescent="0.25">
      <c r="A547" s="355" t="s">
        <v>2778</v>
      </c>
      <c r="B547" s="355"/>
      <c r="C547" s="355" t="s">
        <v>309</v>
      </c>
      <c r="D547" s="355" t="s">
        <v>2779</v>
      </c>
      <c r="E547" s="356">
        <v>36920</v>
      </c>
      <c r="F547" s="356">
        <v>36985</v>
      </c>
      <c r="G547" s="357" t="s">
        <v>583</v>
      </c>
      <c r="H547" s="355" t="s">
        <v>266</v>
      </c>
      <c r="I547" s="357" t="s">
        <v>584</v>
      </c>
      <c r="J547" s="357" t="s">
        <v>996</v>
      </c>
      <c r="K547" s="426" t="str">
        <f>HYPERLINK("https://okcountyrecords.com/detail/roger+mills/2001-001361","OKCountyRecords: 2001-001361")</f>
        <v>OKCountyRecords: 2001-001361</v>
      </c>
    </row>
    <row r="548" spans="1:11" x14ac:dyDescent="0.25">
      <c r="A548" s="355" t="s">
        <v>2754</v>
      </c>
      <c r="B548" s="355"/>
      <c r="C548" s="355" t="s">
        <v>1623</v>
      </c>
      <c r="D548" s="355" t="s">
        <v>2755</v>
      </c>
      <c r="E548" s="356">
        <v>36921</v>
      </c>
      <c r="F548" s="356">
        <v>36956</v>
      </c>
      <c r="G548" s="355" t="s">
        <v>397</v>
      </c>
      <c r="H548" s="355" t="s">
        <v>2756</v>
      </c>
      <c r="I548" s="355" t="s">
        <v>488</v>
      </c>
      <c r="J548" s="355" t="s">
        <v>1625</v>
      </c>
      <c r="K548" s="426" t="str">
        <f>HYPERLINK("https://okcountyrecords.com/detail/roger+mills/2001-000921","OKCountyRecords: 2001-000921")</f>
        <v>OKCountyRecords: 2001-000921</v>
      </c>
    </row>
    <row r="549" spans="1:11" x14ac:dyDescent="0.25">
      <c r="A549" s="355" t="s">
        <v>2757</v>
      </c>
      <c r="B549" s="355"/>
      <c r="C549" s="355" t="s">
        <v>1623</v>
      </c>
      <c r="D549" s="355" t="s">
        <v>2758</v>
      </c>
      <c r="E549" s="356">
        <v>36921</v>
      </c>
      <c r="F549" s="356">
        <v>36956</v>
      </c>
      <c r="G549" s="355" t="s">
        <v>463</v>
      </c>
      <c r="H549" s="355" t="s">
        <v>2756</v>
      </c>
      <c r="I549" s="355" t="s">
        <v>2543</v>
      </c>
      <c r="J549" s="355" t="s">
        <v>1625</v>
      </c>
      <c r="K549" s="426" t="str">
        <f>HYPERLINK("https://okcountyrecords.com/detail/roger+mills/2001-000926","OKCountyRecords: 2001-000926")</f>
        <v>OKCountyRecords: 2001-000926</v>
      </c>
    </row>
    <row r="550" spans="1:11" x14ac:dyDescent="0.25">
      <c r="A550" s="355" t="s">
        <v>2759</v>
      </c>
      <c r="B550" s="355"/>
      <c r="C550" s="355" t="s">
        <v>1623</v>
      </c>
      <c r="D550" s="355" t="s">
        <v>2760</v>
      </c>
      <c r="E550" s="356">
        <v>36921</v>
      </c>
      <c r="F550" s="356">
        <v>36956</v>
      </c>
      <c r="G550" s="355" t="s">
        <v>463</v>
      </c>
      <c r="H550" s="355" t="s">
        <v>2756</v>
      </c>
      <c r="I550" s="355" t="s">
        <v>488</v>
      </c>
      <c r="J550" s="355" t="s">
        <v>1625</v>
      </c>
      <c r="K550" s="426" t="str">
        <f>HYPERLINK("https://okcountyrecords.com/detail/roger+mills/2001-000927","OKCountyRecords: 2001-000927")</f>
        <v>OKCountyRecords: 2001-000927</v>
      </c>
    </row>
    <row r="551" spans="1:11" x14ac:dyDescent="0.25">
      <c r="A551" s="355" t="s">
        <v>2761</v>
      </c>
      <c r="B551" s="355"/>
      <c r="C551" s="355" t="s">
        <v>1623</v>
      </c>
      <c r="D551" s="355" t="s">
        <v>2762</v>
      </c>
      <c r="E551" s="356">
        <v>36922</v>
      </c>
      <c r="F551" s="356">
        <v>36957</v>
      </c>
      <c r="G551" s="355" t="s">
        <v>533</v>
      </c>
      <c r="H551" s="355" t="s">
        <v>944</v>
      </c>
      <c r="I551" s="355" t="s">
        <v>2515</v>
      </c>
      <c r="J551" s="355" t="s">
        <v>1625</v>
      </c>
      <c r="K551" s="426" t="str">
        <f>HYPERLINK("https://okcountyrecords.com/detail/roger+mills/2001-000957","OKCountyRecords: 2001-000957")</f>
        <v>OKCountyRecords: 2001-000957</v>
      </c>
    </row>
    <row r="552" spans="1:11" ht="25.5" hidden="1" x14ac:dyDescent="0.25">
      <c r="A552" s="355" t="s">
        <v>2797</v>
      </c>
      <c r="B552" s="355"/>
      <c r="C552" s="355" t="s">
        <v>114</v>
      </c>
      <c r="D552" s="355" t="s">
        <v>2798</v>
      </c>
      <c r="E552" s="356">
        <v>36924</v>
      </c>
      <c r="F552" s="356">
        <v>37005</v>
      </c>
      <c r="G552" s="355" t="s">
        <v>266</v>
      </c>
      <c r="H552" s="355" t="s">
        <v>2799</v>
      </c>
      <c r="I552" s="357" t="s">
        <v>497</v>
      </c>
      <c r="J552" s="357" t="s">
        <v>996</v>
      </c>
      <c r="K552" s="426" t="str">
        <f>HYPERLINK("https://okcountyrecords.com/detail/roger+mills/2001-001728","OKCountyRecords: 2001-001728")</f>
        <v>OKCountyRecords: 2001-001728</v>
      </c>
    </row>
    <row r="553" spans="1:11" ht="25.5" hidden="1" x14ac:dyDescent="0.25">
      <c r="A553" s="355" t="s">
        <v>2800</v>
      </c>
      <c r="B553" s="355"/>
      <c r="C553" s="355" t="s">
        <v>114</v>
      </c>
      <c r="D553" s="355" t="s">
        <v>2801</v>
      </c>
      <c r="E553" s="356">
        <v>36941</v>
      </c>
      <c r="F553" s="356">
        <v>37005</v>
      </c>
      <c r="G553" s="355" t="s">
        <v>266</v>
      </c>
      <c r="H553" s="355" t="s">
        <v>2799</v>
      </c>
      <c r="I553" s="357" t="s">
        <v>497</v>
      </c>
      <c r="J553" s="357" t="s">
        <v>996</v>
      </c>
      <c r="K553" s="426" t="str">
        <f>HYPERLINK("https://okcountyrecords.com/detail/roger+mills/2001-001729","OKCountyRecords: 2001-001729")</f>
        <v>OKCountyRecords: 2001-001729</v>
      </c>
    </row>
    <row r="554" spans="1:11" ht="25.5" hidden="1" x14ac:dyDescent="0.25">
      <c r="A554" s="355" t="s">
        <v>2802</v>
      </c>
      <c r="B554" s="355"/>
      <c r="C554" s="355" t="s">
        <v>114</v>
      </c>
      <c r="D554" s="355" t="s">
        <v>2803</v>
      </c>
      <c r="E554" s="356">
        <v>36945</v>
      </c>
      <c r="F554" s="356">
        <v>37005</v>
      </c>
      <c r="G554" s="355" t="s">
        <v>266</v>
      </c>
      <c r="H554" s="355" t="s">
        <v>2799</v>
      </c>
      <c r="I554" s="357" t="s">
        <v>497</v>
      </c>
      <c r="J554" s="357" t="s">
        <v>996</v>
      </c>
      <c r="K554" s="426" t="str">
        <f>HYPERLINK("https://okcountyrecords.com/detail/roger+mills/2001-001730","OKCountyRecords: 2001-001730")</f>
        <v>OKCountyRecords: 2001-001730</v>
      </c>
    </row>
    <row r="555" spans="1:11" ht="38.25" hidden="1" x14ac:dyDescent="0.25">
      <c r="A555" s="355" t="s">
        <v>2804</v>
      </c>
      <c r="B555" s="355"/>
      <c r="C555" s="355" t="s">
        <v>309</v>
      </c>
      <c r="D555" s="355" t="s">
        <v>2805</v>
      </c>
      <c r="E555" s="356">
        <v>36948</v>
      </c>
      <c r="F555" s="356">
        <v>37005</v>
      </c>
      <c r="G555" s="355" t="s">
        <v>266</v>
      </c>
      <c r="H555" s="355" t="s">
        <v>2799</v>
      </c>
      <c r="I555" s="357" t="s">
        <v>587</v>
      </c>
      <c r="J555" s="357" t="s">
        <v>996</v>
      </c>
      <c r="K555" s="426" t="str">
        <f>HYPERLINK("https://okcountyrecords.com/detail/roger+mills/2001-001731","OKCountyRecords: 2001-001731")</f>
        <v>OKCountyRecords: 2001-001731</v>
      </c>
    </row>
    <row r="556" spans="1:11" ht="38.25" hidden="1" x14ac:dyDescent="0.25">
      <c r="A556" s="355" t="s">
        <v>2806</v>
      </c>
      <c r="B556" s="355"/>
      <c r="C556" s="355" t="s">
        <v>114</v>
      </c>
      <c r="D556" s="355" t="s">
        <v>2807</v>
      </c>
      <c r="E556" s="356">
        <v>36948</v>
      </c>
      <c r="F556" s="356">
        <v>37005</v>
      </c>
      <c r="G556" s="355" t="s">
        <v>266</v>
      </c>
      <c r="H556" s="355" t="s">
        <v>2799</v>
      </c>
      <c r="I556" s="357" t="s">
        <v>502</v>
      </c>
      <c r="J556" s="357" t="s">
        <v>996</v>
      </c>
      <c r="K556" s="426" t="str">
        <f>HYPERLINK("https://okcountyrecords.com/detail/roger+mills/2001-001732","OKCountyRecords: 2001-001732")</f>
        <v>OKCountyRecords: 2001-001732</v>
      </c>
    </row>
    <row r="557" spans="1:11" x14ac:dyDescent="0.25">
      <c r="A557" s="355" t="s">
        <v>2763</v>
      </c>
      <c r="B557" s="355"/>
      <c r="C557" s="355" t="s">
        <v>1107</v>
      </c>
      <c r="D557" s="355" t="s">
        <v>2764</v>
      </c>
      <c r="E557" s="356">
        <v>36949</v>
      </c>
      <c r="F557" s="356">
        <v>36969</v>
      </c>
      <c r="G557" s="355" t="s">
        <v>2765</v>
      </c>
      <c r="H557" s="355" t="s">
        <v>1110</v>
      </c>
      <c r="I557" s="355" t="s">
        <v>1689</v>
      </c>
      <c r="J557" s="355" t="s">
        <v>1095</v>
      </c>
      <c r="K557" s="426" t="str">
        <f>HYPERLINK("https://okcountyrecords.com/detail/roger+mills/2001-001091","OKCountyRecords: 2001-001091")</f>
        <v>OKCountyRecords: 2001-001091</v>
      </c>
    </row>
    <row r="558" spans="1:11" ht="25.5" hidden="1" x14ac:dyDescent="0.25">
      <c r="A558" s="355" t="s">
        <v>2812</v>
      </c>
      <c r="B558" s="355"/>
      <c r="C558" s="355" t="s">
        <v>309</v>
      </c>
      <c r="D558" s="355" t="s">
        <v>2813</v>
      </c>
      <c r="E558" s="356">
        <v>36951</v>
      </c>
      <c r="F558" s="356">
        <v>37019</v>
      </c>
      <c r="G558" s="355" t="s">
        <v>593</v>
      </c>
      <c r="H558" s="355" t="s">
        <v>266</v>
      </c>
      <c r="I558" s="357" t="s">
        <v>497</v>
      </c>
      <c r="J558" s="357" t="s">
        <v>996</v>
      </c>
      <c r="K558" s="426" t="str">
        <f>HYPERLINK("https://okcountyrecords.com/detail/roger+mills/2001-002016","OKCountyRecords: 2001-002016")</f>
        <v>OKCountyRecords: 2001-002016</v>
      </c>
    </row>
    <row r="559" spans="1:11" ht="25.5" hidden="1" x14ac:dyDescent="0.25">
      <c r="A559" s="355" t="s">
        <v>2808</v>
      </c>
      <c r="B559" s="355"/>
      <c r="C559" s="355" t="s">
        <v>309</v>
      </c>
      <c r="D559" s="355" t="s">
        <v>2809</v>
      </c>
      <c r="E559" s="356">
        <v>36951</v>
      </c>
      <c r="F559" s="356">
        <v>37019</v>
      </c>
      <c r="G559" s="355" t="s">
        <v>589</v>
      </c>
      <c r="H559" s="355" t="s">
        <v>266</v>
      </c>
      <c r="I559" s="357" t="s">
        <v>497</v>
      </c>
      <c r="J559" s="357" t="s">
        <v>996</v>
      </c>
      <c r="K559" s="426" t="str">
        <f>HYPERLINK("https://okcountyrecords.com/detail/roger+mills/2001-002014","OKCountyRecords: 2001-002014")</f>
        <v>OKCountyRecords: 2001-002014</v>
      </c>
    </row>
    <row r="560" spans="1:11" ht="25.5" hidden="1" x14ac:dyDescent="0.25">
      <c r="A560" s="355" t="s">
        <v>2810</v>
      </c>
      <c r="B560" s="355"/>
      <c r="C560" s="355" t="s">
        <v>309</v>
      </c>
      <c r="D560" s="355" t="s">
        <v>2811</v>
      </c>
      <c r="E560" s="356">
        <v>36951</v>
      </c>
      <c r="F560" s="356">
        <v>37019</v>
      </c>
      <c r="G560" s="355" t="s">
        <v>591</v>
      </c>
      <c r="H560" s="355" t="s">
        <v>266</v>
      </c>
      <c r="I560" s="357" t="s">
        <v>497</v>
      </c>
      <c r="J560" s="357" t="s">
        <v>996</v>
      </c>
      <c r="K560" s="426" t="str">
        <f>HYPERLINK("https://okcountyrecords.com/detail/roger+mills/2001-002015","OKCountyRecords: 2001-002015")</f>
        <v>OKCountyRecords: 2001-002015</v>
      </c>
    </row>
    <row r="561" spans="1:11" x14ac:dyDescent="0.25">
      <c r="A561" s="355" t="s">
        <v>2766</v>
      </c>
      <c r="B561" s="355"/>
      <c r="C561" s="355" t="s">
        <v>2506</v>
      </c>
      <c r="D561" s="355" t="s">
        <v>2767</v>
      </c>
      <c r="E561" s="356">
        <v>36955</v>
      </c>
      <c r="F561" s="356">
        <v>36969</v>
      </c>
      <c r="G561" s="355" t="s">
        <v>2768</v>
      </c>
      <c r="H561" s="355" t="s">
        <v>2769</v>
      </c>
      <c r="I561" s="355" t="s">
        <v>1689</v>
      </c>
      <c r="J561" s="355" t="s">
        <v>985</v>
      </c>
      <c r="K561" s="426" t="str">
        <f>HYPERLINK("https://okcountyrecords.com/detail/roger+mills/2001-001092","OKCountyRecords: 2001-001092")</f>
        <v>OKCountyRecords: 2001-001092</v>
      </c>
    </row>
    <row r="562" spans="1:11" x14ac:dyDescent="0.25">
      <c r="A562" s="355" t="s">
        <v>2790</v>
      </c>
      <c r="B562" s="355"/>
      <c r="C562" s="355" t="s">
        <v>1623</v>
      </c>
      <c r="D562" s="355" t="s">
        <v>2791</v>
      </c>
      <c r="E562" s="356">
        <v>36957</v>
      </c>
      <c r="F562" s="356">
        <v>36987</v>
      </c>
      <c r="G562" s="355" t="s">
        <v>2792</v>
      </c>
      <c r="H562" s="355" t="s">
        <v>944</v>
      </c>
      <c r="I562" s="355" t="s">
        <v>502</v>
      </c>
      <c r="J562" s="355" t="s">
        <v>1625</v>
      </c>
      <c r="K562" s="426" t="str">
        <f>HYPERLINK("https://okcountyrecords.com/detail/roger+mills/2001-001414","OKCountyRecords: 2001-001414")</f>
        <v>OKCountyRecords: 2001-001414</v>
      </c>
    </row>
    <row r="563" spans="1:11" x14ac:dyDescent="0.25">
      <c r="A563" s="355" t="s">
        <v>2793</v>
      </c>
      <c r="B563" s="355"/>
      <c r="C563" s="355" t="s">
        <v>1623</v>
      </c>
      <c r="D563" s="355" t="s">
        <v>2794</v>
      </c>
      <c r="E563" s="356">
        <v>36963</v>
      </c>
      <c r="F563" s="356">
        <v>36991</v>
      </c>
      <c r="G563" s="355" t="s">
        <v>2795</v>
      </c>
      <c r="H563" s="355" t="s">
        <v>944</v>
      </c>
      <c r="I563" s="355" t="s">
        <v>2515</v>
      </c>
      <c r="J563" s="606" t="s">
        <v>2796</v>
      </c>
      <c r="K563" s="426" t="str">
        <f>HYPERLINK("https://okcountyrecords.com/detail/roger+mills/2001-001463","OKCountyRecords: 2001-001463")</f>
        <v>OKCountyRecords: 2001-001463</v>
      </c>
    </row>
    <row r="564" spans="1:11" ht="25.5" hidden="1" x14ac:dyDescent="0.25">
      <c r="A564" s="355" t="s">
        <v>2824</v>
      </c>
      <c r="B564" s="355"/>
      <c r="C564" s="355" t="s">
        <v>114</v>
      </c>
      <c r="D564" s="355" t="s">
        <v>2825</v>
      </c>
      <c r="E564" s="356">
        <v>36990</v>
      </c>
      <c r="F564" s="356">
        <v>37034</v>
      </c>
      <c r="G564" s="355" t="s">
        <v>266</v>
      </c>
      <c r="H564" s="355" t="s">
        <v>2799</v>
      </c>
      <c r="I564" s="357" t="s">
        <v>497</v>
      </c>
      <c r="J564" s="357" t="s">
        <v>996</v>
      </c>
      <c r="K564" s="426" t="str">
        <f>HYPERLINK("https://okcountyrecords.com/detail/roger+mills/2001-002354","OKCountyRecords: 2001-002354")</f>
        <v>OKCountyRecords: 2001-002354</v>
      </c>
    </row>
    <row r="565" spans="1:11" x14ac:dyDescent="0.25">
      <c r="A565" s="355" t="s">
        <v>2819</v>
      </c>
      <c r="B565" s="355"/>
      <c r="C565" s="355" t="s">
        <v>2619</v>
      </c>
      <c r="D565" s="355" t="s">
        <v>2820</v>
      </c>
      <c r="E565" s="356">
        <v>37014</v>
      </c>
      <c r="F565" s="356">
        <v>37034</v>
      </c>
      <c r="G565" s="355" t="s">
        <v>2821</v>
      </c>
      <c r="H565" s="355" t="s">
        <v>1110</v>
      </c>
      <c r="I565" s="355" t="s">
        <v>2515</v>
      </c>
      <c r="J565" s="355" t="s">
        <v>985</v>
      </c>
      <c r="K565" s="426" t="str">
        <f>HYPERLINK("https://okcountyrecords.com/detail/roger+mills/2001-002342","OKCountyRecords: 2001-002342")</f>
        <v>OKCountyRecords: 2001-002342</v>
      </c>
    </row>
    <row r="566" spans="1:11" x14ac:dyDescent="0.25">
      <c r="A566" s="355" t="s">
        <v>2814</v>
      </c>
      <c r="B566" s="355"/>
      <c r="C566" s="355" t="s">
        <v>2506</v>
      </c>
      <c r="D566" s="355" t="s">
        <v>2815</v>
      </c>
      <c r="E566" s="356">
        <v>37022</v>
      </c>
      <c r="F566" s="356">
        <v>37029</v>
      </c>
      <c r="G566" s="355" t="s">
        <v>2816</v>
      </c>
      <c r="H566" s="355" t="s">
        <v>2817</v>
      </c>
      <c r="I566" s="355" t="s">
        <v>2818</v>
      </c>
      <c r="J566" s="355" t="s">
        <v>985</v>
      </c>
      <c r="K566" s="426" t="str">
        <f>HYPERLINK("https://okcountyrecords.com/detail/roger+mills/2001-002190","OKCountyRecords: 2001-002190")</f>
        <v>OKCountyRecords: 2001-002190</v>
      </c>
    </row>
    <row r="567" spans="1:11" ht="25.5" hidden="1" x14ac:dyDescent="0.25">
      <c r="A567" s="355" t="s">
        <v>2822</v>
      </c>
      <c r="B567" s="355"/>
      <c r="C567" s="355" t="s">
        <v>114</v>
      </c>
      <c r="D567" s="355" t="s">
        <v>2823</v>
      </c>
      <c r="E567" s="356">
        <v>37031</v>
      </c>
      <c r="F567" s="356">
        <v>37034</v>
      </c>
      <c r="G567" s="355" t="s">
        <v>266</v>
      </c>
      <c r="H567" s="355" t="s">
        <v>2799</v>
      </c>
      <c r="I567" s="357" t="s">
        <v>497</v>
      </c>
      <c r="J567" s="357" t="s">
        <v>996</v>
      </c>
      <c r="K567" s="426" t="str">
        <f>HYPERLINK("https://okcountyrecords.com/detail/roger+mills/2001-002353","OKCountyRecords: 2001-002353")</f>
        <v>OKCountyRecords: 2001-002353</v>
      </c>
    </row>
    <row r="568" spans="1:11" x14ac:dyDescent="0.25">
      <c r="A568" s="355" t="s">
        <v>2826</v>
      </c>
      <c r="B568" s="355"/>
      <c r="C568" s="355" t="s">
        <v>2827</v>
      </c>
      <c r="D568" s="355" t="s">
        <v>2828</v>
      </c>
      <c r="E568" s="356">
        <v>37034</v>
      </c>
      <c r="F568" s="356">
        <v>37041</v>
      </c>
      <c r="G568" s="355" t="s">
        <v>2816</v>
      </c>
      <c r="H568" s="355" t="s">
        <v>2829</v>
      </c>
      <c r="I568" s="355" t="s">
        <v>2818</v>
      </c>
      <c r="J568" s="355" t="s">
        <v>985</v>
      </c>
      <c r="K568" s="426" t="str">
        <f>HYPERLINK("https://okcountyrecords.com/detail/roger+mills/2001-002496","OKCountyRecords: 2001-002496")</f>
        <v>OKCountyRecords: 2001-002496</v>
      </c>
    </row>
    <row r="569" spans="1:11" x14ac:dyDescent="0.25">
      <c r="A569" s="355"/>
      <c r="B569" s="355">
        <v>13</v>
      </c>
      <c r="C569" s="355" t="s">
        <v>309</v>
      </c>
      <c r="D569" s="359" t="s">
        <v>239</v>
      </c>
      <c r="E569" s="356">
        <v>37347</v>
      </c>
      <c r="F569" s="356">
        <v>37372</v>
      </c>
      <c r="G569" s="355" t="s">
        <v>2834</v>
      </c>
      <c r="H569" s="355" t="s">
        <v>2835</v>
      </c>
      <c r="I569" s="355" t="s">
        <v>488</v>
      </c>
      <c r="J569" s="355" t="s">
        <v>2640</v>
      </c>
      <c r="K569" s="426" t="str">
        <f>HYPERLINK("https://okcountyrecords.com/search/roger%20mills","OKCountyRecords search: Oil and Gas Lease 37372")</f>
        <v>OKCountyRecords search: Oil and Gas Lease 37372</v>
      </c>
    </row>
    <row r="570" spans="1:11" x14ac:dyDescent="0.25">
      <c r="A570" s="355" t="s">
        <v>2837</v>
      </c>
      <c r="B570" s="355">
        <v>13</v>
      </c>
      <c r="C570" s="355" t="s">
        <v>309</v>
      </c>
      <c r="D570" s="355" t="s">
        <v>239</v>
      </c>
      <c r="E570" s="356">
        <v>37347</v>
      </c>
      <c r="F570" s="356">
        <v>37372</v>
      </c>
      <c r="G570" s="355" t="s">
        <v>2834</v>
      </c>
      <c r="H570" s="355" t="s">
        <v>2835</v>
      </c>
      <c r="I570" s="355" t="s">
        <v>488</v>
      </c>
      <c r="J570" s="355" t="s">
        <v>2838</v>
      </c>
      <c r="K570" s="426" t="str">
        <f>HYPERLINK("https://okcountyrecords.com/detail/roger+mills/2002-001764","OKCountyRecords: 2002-001764")</f>
        <v>OKCountyRecords: 2002-001764</v>
      </c>
    </row>
    <row r="571" spans="1:11" ht="38.25" hidden="1" x14ac:dyDescent="0.25">
      <c r="A571" s="355" t="s">
        <v>2901</v>
      </c>
      <c r="B571" s="355"/>
      <c r="C571" s="355" t="s">
        <v>2902</v>
      </c>
      <c r="D571" s="355" t="s">
        <v>2903</v>
      </c>
      <c r="E571" s="356">
        <v>37347</v>
      </c>
      <c r="F571" s="356">
        <v>37608</v>
      </c>
      <c r="G571" s="355" t="s">
        <v>944</v>
      </c>
      <c r="H571" s="357" t="s">
        <v>2904</v>
      </c>
      <c r="I571" s="357" t="s">
        <v>1003</v>
      </c>
      <c r="J571" s="357" t="s">
        <v>996</v>
      </c>
      <c r="K571" s="426" t="str">
        <f>HYPERLINK("https://okcountyrecords.com/detail/roger+mills/2002-004832","OKCountyRecords: 2002-004832")</f>
        <v>OKCountyRecords: 2002-004832</v>
      </c>
    </row>
    <row r="572" spans="1:11" hidden="1" x14ac:dyDescent="0.25">
      <c r="A572" s="355" t="s">
        <v>2830</v>
      </c>
      <c r="B572" s="355"/>
      <c r="C572" s="355" t="s">
        <v>114</v>
      </c>
      <c r="D572" s="355" t="s">
        <v>2831</v>
      </c>
      <c r="E572" s="356">
        <v>37348</v>
      </c>
      <c r="F572" s="356">
        <v>37368</v>
      </c>
      <c r="G572" s="355" t="s">
        <v>496</v>
      </c>
      <c r="H572" s="355" t="s">
        <v>2832</v>
      </c>
      <c r="I572" s="357" t="s">
        <v>2833</v>
      </c>
      <c r="J572" s="357" t="s">
        <v>996</v>
      </c>
      <c r="K572" s="426" t="str">
        <f>HYPERLINK("https://okcountyrecords.com/detail/roger+mills/2002-001685","OKCountyRecords: 2002-001685")</f>
        <v>OKCountyRecords: 2002-001685</v>
      </c>
    </row>
    <row r="573" spans="1:11" x14ac:dyDescent="0.25">
      <c r="A573" s="355"/>
      <c r="B573" s="355">
        <v>14</v>
      </c>
      <c r="C573" s="355" t="s">
        <v>309</v>
      </c>
      <c r="D573" s="359" t="s">
        <v>244</v>
      </c>
      <c r="E573" s="356">
        <v>37354</v>
      </c>
      <c r="F573" s="356">
        <v>37372</v>
      </c>
      <c r="G573" s="355" t="s">
        <v>2836</v>
      </c>
      <c r="H573" s="355" t="s">
        <v>2835</v>
      </c>
      <c r="I573" s="355" t="s">
        <v>505</v>
      </c>
      <c r="J573" s="355" t="s">
        <v>2640</v>
      </c>
      <c r="K573" s="426" t="str">
        <f>HYPERLINK("https://okcountyrecords.com/search/roger%20mills","OKCountyRecords search: Oil and Gas Lease 37372")</f>
        <v>OKCountyRecords search: Oil and Gas Lease 37372</v>
      </c>
    </row>
    <row r="574" spans="1:11" x14ac:dyDescent="0.25">
      <c r="A574" s="355" t="s">
        <v>2839</v>
      </c>
      <c r="B574" s="355">
        <v>14</v>
      </c>
      <c r="C574" s="355" t="s">
        <v>309</v>
      </c>
      <c r="D574" s="355" t="s">
        <v>244</v>
      </c>
      <c r="E574" s="356">
        <v>37354</v>
      </c>
      <c r="F574" s="356">
        <v>37372</v>
      </c>
      <c r="G574" s="355" t="s">
        <v>2836</v>
      </c>
      <c r="H574" s="355" t="s">
        <v>2835</v>
      </c>
      <c r="I574" s="355" t="s">
        <v>505</v>
      </c>
      <c r="J574" s="355" t="s">
        <v>2838</v>
      </c>
      <c r="K574" s="426" t="str">
        <f>HYPERLINK("https://okcountyrecords.com/detail/roger+mills/2002-001765","OKCountyRecords: 2002-001765")</f>
        <v>OKCountyRecords: 2002-001765</v>
      </c>
    </row>
    <row r="575" spans="1:11" ht="25.5" hidden="1" x14ac:dyDescent="0.25">
      <c r="A575" s="355" t="s">
        <v>2861</v>
      </c>
      <c r="B575" s="355"/>
      <c r="C575" s="355" t="s">
        <v>309</v>
      </c>
      <c r="D575" s="355" t="s">
        <v>2862</v>
      </c>
      <c r="E575" s="356">
        <v>37354</v>
      </c>
      <c r="F575" s="356">
        <v>37424</v>
      </c>
      <c r="G575" s="355" t="s">
        <v>247</v>
      </c>
      <c r="H575" s="355" t="s">
        <v>2799</v>
      </c>
      <c r="I575" s="357" t="s">
        <v>598</v>
      </c>
      <c r="J575" s="357" t="s">
        <v>996</v>
      </c>
      <c r="K575" s="426" t="str">
        <f>HYPERLINK("https://okcountyrecords.com/detail/roger+mills/2002-002538","OKCountyRecords: 2002-002538")</f>
        <v>OKCountyRecords: 2002-002538</v>
      </c>
    </row>
    <row r="576" spans="1:11" x14ac:dyDescent="0.25">
      <c r="A576" s="355"/>
      <c r="B576" s="355">
        <v>15</v>
      </c>
      <c r="C576" s="355" t="s">
        <v>309</v>
      </c>
      <c r="D576" s="359" t="s">
        <v>246</v>
      </c>
      <c r="E576" s="356">
        <v>37354</v>
      </c>
      <c r="F576" s="356">
        <v>37503</v>
      </c>
      <c r="G576" s="355" t="s">
        <v>247</v>
      </c>
      <c r="H576" s="355" t="s">
        <v>2835</v>
      </c>
      <c r="I576" s="355" t="s">
        <v>488</v>
      </c>
      <c r="J576" s="355" t="s">
        <v>2640</v>
      </c>
      <c r="K576" s="426" t="str">
        <f>HYPERLINK("https://okcountyrecords.com/search/roger%20mills","OKCountyRecords search: Oil and Gas Lease 37503")</f>
        <v>OKCountyRecords search: Oil and Gas Lease 37503</v>
      </c>
    </row>
    <row r="577" spans="1:11" x14ac:dyDescent="0.25">
      <c r="A577" s="355" t="s">
        <v>2873</v>
      </c>
      <c r="B577" s="355">
        <v>15</v>
      </c>
      <c r="C577" s="355" t="s">
        <v>309</v>
      </c>
      <c r="D577" s="355" t="s">
        <v>246</v>
      </c>
      <c r="E577" s="356">
        <v>37354</v>
      </c>
      <c r="F577" s="356">
        <v>37503</v>
      </c>
      <c r="G577" s="355" t="s">
        <v>247</v>
      </c>
      <c r="H577" s="355" t="s">
        <v>2835</v>
      </c>
      <c r="I577" s="355" t="s">
        <v>488</v>
      </c>
      <c r="J577" s="355" t="s">
        <v>2874</v>
      </c>
      <c r="K577" s="426" t="str">
        <f>HYPERLINK("https://okcountyrecords.com/detail/roger+mills/2002-003522","OKCountyRecords: 2002-003522")</f>
        <v>OKCountyRecords: 2002-003522</v>
      </c>
    </row>
    <row r="578" spans="1:11" x14ac:dyDescent="0.25">
      <c r="A578" s="355"/>
      <c r="B578" s="355">
        <v>16</v>
      </c>
      <c r="C578" s="355" t="s">
        <v>309</v>
      </c>
      <c r="D578" s="359" t="s">
        <v>248</v>
      </c>
      <c r="E578" s="356">
        <v>37361</v>
      </c>
      <c r="F578" s="356">
        <v>37389</v>
      </c>
      <c r="G578" s="355" t="s">
        <v>2840</v>
      </c>
      <c r="H578" s="355" t="s">
        <v>2666</v>
      </c>
      <c r="I578" s="355" t="s">
        <v>488</v>
      </c>
      <c r="J578" s="355" t="s">
        <v>2640</v>
      </c>
      <c r="K578" s="426" t="str">
        <f>HYPERLINK("https://okcountyrecords.com/search/roger%20mills","OKCountyRecords search: Oil and Gas Lease 37389")</f>
        <v>OKCountyRecords search: Oil and Gas Lease 37389</v>
      </c>
    </row>
    <row r="579" spans="1:11" x14ac:dyDescent="0.25">
      <c r="A579" s="355" t="s">
        <v>2843</v>
      </c>
      <c r="B579" s="355">
        <v>16</v>
      </c>
      <c r="C579" s="355" t="s">
        <v>309</v>
      </c>
      <c r="D579" s="355" t="s">
        <v>248</v>
      </c>
      <c r="E579" s="356">
        <v>37361</v>
      </c>
      <c r="F579" s="356">
        <v>37389</v>
      </c>
      <c r="G579" s="355" t="s">
        <v>2840</v>
      </c>
      <c r="H579" s="355" t="s">
        <v>2666</v>
      </c>
      <c r="I579" s="355" t="s">
        <v>488</v>
      </c>
      <c r="J579" s="355" t="s">
        <v>2844</v>
      </c>
      <c r="K579" s="426" t="str">
        <f>HYPERLINK("https://okcountyrecords.com/detail/roger+mills/2002-001970","OKCountyRecords: 2002-001970")</f>
        <v>OKCountyRecords: 2002-001970</v>
      </c>
    </row>
    <row r="580" spans="1:11" ht="25.5" hidden="1" x14ac:dyDescent="0.25">
      <c r="A580" s="355" t="s">
        <v>2850</v>
      </c>
      <c r="B580" s="355"/>
      <c r="C580" s="355" t="s">
        <v>309</v>
      </c>
      <c r="D580" s="355" t="s">
        <v>2851</v>
      </c>
      <c r="E580" s="356">
        <v>37361</v>
      </c>
      <c r="F580" s="356">
        <v>37389</v>
      </c>
      <c r="G580" s="355" t="s">
        <v>602</v>
      </c>
      <c r="H580" s="355" t="s">
        <v>487</v>
      </c>
      <c r="I580" s="357" t="s">
        <v>488</v>
      </c>
      <c r="J580" s="357" t="s">
        <v>996</v>
      </c>
      <c r="K580" s="426" t="str">
        <f>HYPERLINK("https://okcountyrecords.com/detail/roger+mills/2002-001971","OKCountyRecords: 2002-001971")</f>
        <v>OKCountyRecords: 2002-001971</v>
      </c>
    </row>
    <row r="581" spans="1:11" x14ac:dyDescent="0.25">
      <c r="A581" s="355"/>
      <c r="B581" s="355">
        <v>17</v>
      </c>
      <c r="C581" s="355" t="s">
        <v>309</v>
      </c>
      <c r="D581" s="359" t="s">
        <v>251</v>
      </c>
      <c r="E581" s="356">
        <v>37364</v>
      </c>
      <c r="F581" s="356">
        <v>37389</v>
      </c>
      <c r="G581" s="355" t="s">
        <v>2841</v>
      </c>
      <c r="H581" s="355" t="s">
        <v>2842</v>
      </c>
      <c r="I581" s="355" t="s">
        <v>488</v>
      </c>
      <c r="J581" s="355" t="s">
        <v>2640</v>
      </c>
      <c r="K581" s="426" t="str">
        <f>HYPERLINK("https://okcountyrecords.com/search/roger%20mills","OKCountyRecords search: Oil and Gas Lease 37389")</f>
        <v>OKCountyRecords search: Oil and Gas Lease 37389</v>
      </c>
    </row>
    <row r="582" spans="1:11" x14ac:dyDescent="0.25">
      <c r="A582" s="355" t="s">
        <v>2845</v>
      </c>
      <c r="B582" s="355">
        <v>17</v>
      </c>
      <c r="C582" s="355" t="s">
        <v>309</v>
      </c>
      <c r="D582" s="355" t="s">
        <v>251</v>
      </c>
      <c r="E582" s="356">
        <v>37364</v>
      </c>
      <c r="F582" s="356">
        <v>37389</v>
      </c>
      <c r="G582" s="355" t="s">
        <v>2841</v>
      </c>
      <c r="H582" s="355" t="s">
        <v>2842</v>
      </c>
      <c r="I582" s="355" t="s">
        <v>488</v>
      </c>
      <c r="J582" s="355" t="s">
        <v>2844</v>
      </c>
      <c r="K582" s="426" t="str">
        <f>HYPERLINK("https://okcountyrecords.com/detail/roger+mills/2002-001963","OKCountyRecords: 2002-001963")</f>
        <v>OKCountyRecords: 2002-001963</v>
      </c>
    </row>
    <row r="583" spans="1:11" ht="25.5" hidden="1" x14ac:dyDescent="0.25">
      <c r="A583" s="355" t="s">
        <v>2858</v>
      </c>
      <c r="B583" s="355"/>
      <c r="C583" s="355" t="s">
        <v>309</v>
      </c>
      <c r="D583" s="355" t="s">
        <v>2859</v>
      </c>
      <c r="E583" s="356">
        <v>37364</v>
      </c>
      <c r="F583" s="356">
        <v>37410</v>
      </c>
      <c r="G583" s="355" t="s">
        <v>605</v>
      </c>
      <c r="H583" s="355" t="s">
        <v>2799</v>
      </c>
      <c r="I583" s="357" t="s">
        <v>606</v>
      </c>
      <c r="J583" s="428" t="s">
        <v>2860</v>
      </c>
      <c r="K583" s="426" t="str">
        <f>HYPERLINK("https://okcountyrecords.com/detail/roger+mills/2002-002254","OKCountyRecords: 2002-002254")</f>
        <v>OKCountyRecords: 2002-002254</v>
      </c>
    </row>
    <row r="584" spans="1:11" ht="25.5" hidden="1" x14ac:dyDescent="0.25">
      <c r="A584" s="355" t="s">
        <v>2852</v>
      </c>
      <c r="B584" s="355"/>
      <c r="C584" s="355" t="s">
        <v>309</v>
      </c>
      <c r="D584" s="355" t="s">
        <v>2853</v>
      </c>
      <c r="E584" s="356">
        <v>37381</v>
      </c>
      <c r="F584" s="356">
        <v>37399</v>
      </c>
      <c r="G584" s="355" t="s">
        <v>252</v>
      </c>
      <c r="H584" s="355" t="s">
        <v>487</v>
      </c>
      <c r="I584" s="357" t="s">
        <v>488</v>
      </c>
      <c r="J584" s="357" t="s">
        <v>996</v>
      </c>
      <c r="K584" s="426" t="str">
        <f>HYPERLINK("https://okcountyrecords.com/detail/roger+mills/2002-002104","OKCountyRecords: 2002-002104")</f>
        <v>OKCountyRecords: 2002-002104</v>
      </c>
    </row>
    <row r="585" spans="1:11" x14ac:dyDescent="0.25">
      <c r="A585" s="355"/>
      <c r="B585" s="355">
        <v>18</v>
      </c>
      <c r="C585" s="355" t="s">
        <v>309</v>
      </c>
      <c r="D585" s="359" t="s">
        <v>254</v>
      </c>
      <c r="E585" s="356">
        <v>37381</v>
      </c>
      <c r="F585" s="356">
        <v>37433</v>
      </c>
      <c r="G585" s="355" t="s">
        <v>2863</v>
      </c>
      <c r="H585" s="355" t="s">
        <v>2864</v>
      </c>
      <c r="I585" s="355" t="s">
        <v>488</v>
      </c>
      <c r="J585" s="606" t="s">
        <v>2865</v>
      </c>
      <c r="K585" s="426" t="str">
        <f>HYPERLINK("https://okcountyrecords.com/search/roger%20mills","OKCountyRecords search: Oil and Gas Lease 37433")</f>
        <v>OKCountyRecords search: Oil and Gas Lease 37433</v>
      </c>
    </row>
    <row r="586" spans="1:11" x14ac:dyDescent="0.25">
      <c r="A586" s="355" t="s">
        <v>2866</v>
      </c>
      <c r="B586" s="355">
        <v>18</v>
      </c>
      <c r="C586" s="355" t="s">
        <v>309</v>
      </c>
      <c r="D586" s="355" t="s">
        <v>254</v>
      </c>
      <c r="E586" s="356">
        <v>37381</v>
      </c>
      <c r="F586" s="356">
        <v>37433</v>
      </c>
      <c r="G586" s="355" t="s">
        <v>2863</v>
      </c>
      <c r="H586" s="355" t="s">
        <v>2864</v>
      </c>
      <c r="I586" s="355" t="s">
        <v>488</v>
      </c>
      <c r="J586" s="606" t="s">
        <v>2867</v>
      </c>
      <c r="K586" s="426" t="str">
        <f>HYPERLINK("https://okcountyrecords.com/detail/roger+mills/2002-002676","OKCountyRecords: 2002-002676")</f>
        <v>OKCountyRecords: 2002-002676</v>
      </c>
    </row>
    <row r="587" spans="1:11" x14ac:dyDescent="0.25">
      <c r="A587" s="355"/>
      <c r="B587" s="355">
        <v>19</v>
      </c>
      <c r="C587" s="355" t="s">
        <v>309</v>
      </c>
      <c r="D587" s="359" t="s">
        <v>257</v>
      </c>
      <c r="E587" s="356">
        <v>37384</v>
      </c>
      <c r="F587" s="356">
        <v>37389</v>
      </c>
      <c r="G587" s="355" t="s">
        <v>610</v>
      </c>
      <c r="H587" s="355" t="s">
        <v>611</v>
      </c>
      <c r="I587" s="355" t="s">
        <v>502</v>
      </c>
      <c r="J587" s="355" t="s">
        <v>2640</v>
      </c>
      <c r="K587" s="426" t="str">
        <f>HYPERLINK("https://okcountyrecords.com/search/roger%20mills","OKCountyRecords search: Oil and Gas Lease 37389")</f>
        <v>OKCountyRecords search: Oil and Gas Lease 37389</v>
      </c>
    </row>
    <row r="588" spans="1:11" ht="38.25" hidden="1" x14ac:dyDescent="0.25">
      <c r="A588" s="355" t="s">
        <v>2846</v>
      </c>
      <c r="B588" s="355">
        <v>19</v>
      </c>
      <c r="C588" s="355" t="s">
        <v>309</v>
      </c>
      <c r="D588" s="355" t="s">
        <v>257</v>
      </c>
      <c r="E588" s="356">
        <v>37384</v>
      </c>
      <c r="F588" s="356">
        <v>37389</v>
      </c>
      <c r="G588" s="355" t="s">
        <v>610</v>
      </c>
      <c r="H588" s="355" t="s">
        <v>611</v>
      </c>
      <c r="I588" s="357" t="s">
        <v>502</v>
      </c>
      <c r="J588" s="357" t="s">
        <v>996</v>
      </c>
      <c r="K588" s="426" t="str">
        <f>HYPERLINK("https://okcountyrecords.com/detail/roger+mills/2002-001961","OKCountyRecords: 2002-001961")</f>
        <v>OKCountyRecords: 2002-001961</v>
      </c>
    </row>
    <row r="589" spans="1:11" ht="38.25" hidden="1" x14ac:dyDescent="0.25">
      <c r="A589" s="355" t="s">
        <v>2847</v>
      </c>
      <c r="B589" s="355"/>
      <c r="C589" s="355" t="s">
        <v>114</v>
      </c>
      <c r="D589" s="355" t="s">
        <v>2848</v>
      </c>
      <c r="E589" s="356">
        <v>37385</v>
      </c>
      <c r="F589" s="356">
        <v>37389</v>
      </c>
      <c r="G589" s="355" t="s">
        <v>611</v>
      </c>
      <c r="H589" s="355" t="s">
        <v>2849</v>
      </c>
      <c r="I589" s="357" t="s">
        <v>502</v>
      </c>
      <c r="J589" s="357" t="s">
        <v>996</v>
      </c>
      <c r="K589" s="426" t="str">
        <f>HYPERLINK("https://okcountyrecords.com/detail/roger+mills/2002-001962","OKCountyRecords: 2002-001962")</f>
        <v>OKCountyRecords: 2002-001962</v>
      </c>
    </row>
    <row r="590" spans="1:11" x14ac:dyDescent="0.25">
      <c r="A590" s="355" t="s">
        <v>2854</v>
      </c>
      <c r="B590" s="355"/>
      <c r="C590" s="355" t="s">
        <v>969</v>
      </c>
      <c r="D590" s="355" t="s">
        <v>2855</v>
      </c>
      <c r="E590" s="356">
        <v>37406</v>
      </c>
      <c r="F590" s="356">
        <v>37407</v>
      </c>
      <c r="G590" s="355" t="s">
        <v>944</v>
      </c>
      <c r="H590" s="355" t="s">
        <v>2856</v>
      </c>
      <c r="I590" s="355" t="s">
        <v>2857</v>
      </c>
      <c r="J590" s="355" t="s">
        <v>985</v>
      </c>
      <c r="K590" s="426" t="str">
        <f>HYPERLINK("https://okcountyrecords.com/detail/roger+mills/2002-002227","OKCountyRecords: 2002-002227")</f>
        <v>OKCountyRecords: 2002-002227</v>
      </c>
    </row>
    <row r="591" spans="1:11" ht="25.5" hidden="1" x14ac:dyDescent="0.25">
      <c r="A591" s="355" t="s">
        <v>2868</v>
      </c>
      <c r="B591" s="355"/>
      <c r="C591" s="355" t="s">
        <v>309</v>
      </c>
      <c r="D591" s="355" t="s">
        <v>2869</v>
      </c>
      <c r="E591" s="356">
        <v>37426</v>
      </c>
      <c r="F591" s="356">
        <v>37454</v>
      </c>
      <c r="G591" s="355" t="s">
        <v>430</v>
      </c>
      <c r="H591" s="355" t="s">
        <v>487</v>
      </c>
      <c r="I591" s="357" t="s">
        <v>488</v>
      </c>
      <c r="J591" s="357" t="s">
        <v>996</v>
      </c>
      <c r="K591" s="426" t="str">
        <f>HYPERLINK("https://okcountyrecords.com/detail/roger+mills/2002-002928","OKCountyRecords: 2002-002928")</f>
        <v>OKCountyRecords: 2002-002928</v>
      </c>
    </row>
    <row r="592" spans="1:11" x14ac:dyDescent="0.25">
      <c r="A592" s="355"/>
      <c r="B592" s="355">
        <v>20</v>
      </c>
      <c r="C592" s="355" t="s">
        <v>309</v>
      </c>
      <c r="D592" s="359" t="s">
        <v>260</v>
      </c>
      <c r="E592" s="356">
        <v>37426</v>
      </c>
      <c r="F592" s="356">
        <v>37484</v>
      </c>
      <c r="G592" s="355" t="s">
        <v>2870</v>
      </c>
      <c r="H592" s="355" t="s">
        <v>2864</v>
      </c>
      <c r="I592" s="355" t="s">
        <v>488</v>
      </c>
      <c r="J592" s="355" t="s">
        <v>2640</v>
      </c>
      <c r="K592" s="426" t="str">
        <f>HYPERLINK("https://okcountyrecords.com/search/roger%20mills","OKCountyRecords search: Oil and Gas Lease 37484")</f>
        <v>OKCountyRecords search: Oil and Gas Lease 37484</v>
      </c>
    </row>
    <row r="593" spans="1:11" x14ac:dyDescent="0.25">
      <c r="A593" s="355" t="s">
        <v>2871</v>
      </c>
      <c r="B593" s="355">
        <v>20</v>
      </c>
      <c r="C593" s="355" t="s">
        <v>309</v>
      </c>
      <c r="D593" s="355" t="s">
        <v>260</v>
      </c>
      <c r="E593" s="356">
        <v>37426</v>
      </c>
      <c r="F593" s="356">
        <v>37484</v>
      </c>
      <c r="G593" s="355" t="s">
        <v>2870</v>
      </c>
      <c r="H593" s="355" t="s">
        <v>2864</v>
      </c>
      <c r="I593" s="355" t="s">
        <v>488</v>
      </c>
      <c r="J593" s="355" t="s">
        <v>2872</v>
      </c>
      <c r="K593" s="426" t="str">
        <f>HYPERLINK("https://okcountyrecords.com/detail/roger+mills/2002-003272","OKCountyRecords: 2002-003272")</f>
        <v>OKCountyRecords: 2002-003272</v>
      </c>
    </row>
    <row r="594" spans="1:11" ht="25.5" hidden="1" x14ac:dyDescent="0.25">
      <c r="A594" s="355" t="s">
        <v>2888</v>
      </c>
      <c r="B594" s="355"/>
      <c r="C594" s="355" t="s">
        <v>615</v>
      </c>
      <c r="D594" s="355" t="s">
        <v>2889</v>
      </c>
      <c r="E594" s="356">
        <v>37453</v>
      </c>
      <c r="F594" s="356">
        <v>37525</v>
      </c>
      <c r="G594" s="355" t="s">
        <v>278</v>
      </c>
      <c r="H594" s="355" t="s">
        <v>487</v>
      </c>
      <c r="I594" s="357" t="s">
        <v>488</v>
      </c>
      <c r="J594" s="357" t="s">
        <v>996</v>
      </c>
      <c r="K594" s="426" t="str">
        <f>HYPERLINK("https://okcountyrecords.com/detail/roger+mills/2002-003800","OKCountyRecords: 2002-003800")</f>
        <v>OKCountyRecords: 2002-003800</v>
      </c>
    </row>
    <row r="595" spans="1:11" ht="25.5" hidden="1" x14ac:dyDescent="0.25">
      <c r="A595" s="355" t="s">
        <v>2885</v>
      </c>
      <c r="B595" s="355"/>
      <c r="C595" s="355" t="s">
        <v>615</v>
      </c>
      <c r="D595" s="355" t="s">
        <v>2886</v>
      </c>
      <c r="E595" s="356">
        <v>37455</v>
      </c>
      <c r="F595" s="356">
        <v>37525</v>
      </c>
      <c r="G595" s="357" t="s">
        <v>2887</v>
      </c>
      <c r="H595" s="355" t="s">
        <v>487</v>
      </c>
      <c r="I595" s="357" t="s">
        <v>488</v>
      </c>
      <c r="J595" s="357" t="s">
        <v>996</v>
      </c>
      <c r="K595" s="426" t="str">
        <f>HYPERLINK("https://okcountyrecords.com/detail/roger+mills/2002-003799","OKCountyRecords: 2002-003799")</f>
        <v>OKCountyRecords: 2002-003799</v>
      </c>
    </row>
    <row r="596" spans="1:11" ht="25.5" hidden="1" x14ac:dyDescent="0.25">
      <c r="A596" s="355" t="s">
        <v>2883</v>
      </c>
      <c r="B596" s="355"/>
      <c r="C596" s="355" t="s">
        <v>615</v>
      </c>
      <c r="D596" s="355" t="s">
        <v>2884</v>
      </c>
      <c r="E596" s="356">
        <v>37459</v>
      </c>
      <c r="F596" s="356">
        <v>37525</v>
      </c>
      <c r="G596" s="355" t="s">
        <v>620</v>
      </c>
      <c r="H596" s="355" t="s">
        <v>487</v>
      </c>
      <c r="I596" s="357" t="s">
        <v>488</v>
      </c>
      <c r="J596" s="357" t="s">
        <v>996</v>
      </c>
      <c r="K596" s="426" t="str">
        <f>HYPERLINK("https://okcountyrecords.com/detail/roger+mills/2002-003798","OKCountyRecords: 2002-003798")</f>
        <v>OKCountyRecords: 2002-003798</v>
      </c>
    </row>
    <row r="597" spans="1:11" ht="25.5" hidden="1" x14ac:dyDescent="0.25">
      <c r="A597" s="355" t="s">
        <v>2890</v>
      </c>
      <c r="B597" s="355"/>
      <c r="C597" s="355" t="s">
        <v>615</v>
      </c>
      <c r="D597" s="355" t="s">
        <v>2891</v>
      </c>
      <c r="E597" s="356">
        <v>37461</v>
      </c>
      <c r="F597" s="356">
        <v>37525</v>
      </c>
      <c r="G597" s="355" t="s">
        <v>622</v>
      </c>
      <c r="H597" s="355" t="s">
        <v>487</v>
      </c>
      <c r="I597" s="357" t="s">
        <v>488</v>
      </c>
      <c r="J597" s="357" t="s">
        <v>996</v>
      </c>
      <c r="K597" s="426" t="str">
        <f>HYPERLINK("https://okcountyrecords.com/detail/roger+mills/2002-003801","OKCountyRecords: 2002-003801")</f>
        <v>OKCountyRecords: 2002-003801</v>
      </c>
    </row>
    <row r="598" spans="1:11" ht="25.5" hidden="1" x14ac:dyDescent="0.25">
      <c r="A598" s="355" t="s">
        <v>2892</v>
      </c>
      <c r="B598" s="355"/>
      <c r="C598" s="355" t="s">
        <v>615</v>
      </c>
      <c r="D598" s="355" t="s">
        <v>2893</v>
      </c>
      <c r="E598" s="356">
        <v>37480</v>
      </c>
      <c r="F598" s="356">
        <v>37525</v>
      </c>
      <c r="G598" s="355" t="s">
        <v>624</v>
      </c>
      <c r="H598" s="355" t="s">
        <v>487</v>
      </c>
      <c r="I598" s="357" t="s">
        <v>488</v>
      </c>
      <c r="J598" s="357" t="s">
        <v>996</v>
      </c>
      <c r="K598" s="426" t="str">
        <f>HYPERLINK("https://okcountyrecords.com/detail/roger+mills/2002-003802","OKCountyRecords: 2002-003802")</f>
        <v>OKCountyRecords: 2002-003802</v>
      </c>
    </row>
    <row r="599" spans="1:11" x14ac:dyDescent="0.25">
      <c r="A599" s="355" t="s">
        <v>2875</v>
      </c>
      <c r="B599" s="355"/>
      <c r="C599" s="355" t="s">
        <v>1623</v>
      </c>
      <c r="D599" s="355" t="s">
        <v>2876</v>
      </c>
      <c r="E599" s="356">
        <v>37482</v>
      </c>
      <c r="F599" s="356">
        <v>37505</v>
      </c>
      <c r="G599" s="355" t="s">
        <v>2877</v>
      </c>
      <c r="H599" s="355" t="s">
        <v>944</v>
      </c>
      <c r="I599" s="355" t="s">
        <v>505</v>
      </c>
      <c r="J599" s="355" t="s">
        <v>1625</v>
      </c>
      <c r="K599" s="426" t="str">
        <f>HYPERLINK("https://okcountyrecords.com/detail/roger+mills/2002-003563","OKCountyRecords: 2002-003563")</f>
        <v>OKCountyRecords: 2002-003563</v>
      </c>
    </row>
    <row r="600" spans="1:11" ht="25.5" hidden="1" x14ac:dyDescent="0.25">
      <c r="A600" s="355" t="s">
        <v>2881</v>
      </c>
      <c r="B600" s="355"/>
      <c r="C600" s="355" t="s">
        <v>615</v>
      </c>
      <c r="D600" s="355" t="s">
        <v>2882</v>
      </c>
      <c r="E600" s="356">
        <v>37490</v>
      </c>
      <c r="F600" s="356">
        <v>37525</v>
      </c>
      <c r="G600" s="355" t="s">
        <v>626</v>
      </c>
      <c r="H600" s="355" t="s">
        <v>487</v>
      </c>
      <c r="I600" s="357" t="s">
        <v>488</v>
      </c>
      <c r="J600" s="357" t="s">
        <v>996</v>
      </c>
      <c r="K600" s="426" t="str">
        <f>HYPERLINK("https://okcountyrecords.com/detail/roger+mills/2002-003797","OKCountyRecords: 2002-003797")</f>
        <v>OKCountyRecords: 2002-003797</v>
      </c>
    </row>
    <row r="601" spans="1:11" x14ac:dyDescent="0.25">
      <c r="A601" s="355"/>
      <c r="B601" s="355">
        <v>21</v>
      </c>
      <c r="C601" s="355" t="s">
        <v>309</v>
      </c>
      <c r="D601" s="359" t="s">
        <v>262</v>
      </c>
      <c r="E601" s="356">
        <v>37496</v>
      </c>
      <c r="F601" s="356">
        <v>37525</v>
      </c>
      <c r="G601" s="355" t="s">
        <v>2878</v>
      </c>
      <c r="H601" s="355" t="s">
        <v>2864</v>
      </c>
      <c r="I601" s="355" t="s">
        <v>488</v>
      </c>
      <c r="J601" s="355" t="s">
        <v>2640</v>
      </c>
      <c r="K601" s="426" t="str">
        <f>HYPERLINK("https://okcountyrecords.com/search/roger%20mills","OKCountyRecords search: Oil and Gas Lease 37525")</f>
        <v>OKCountyRecords search: Oil and Gas Lease 37525</v>
      </c>
    </row>
    <row r="602" spans="1:11" x14ac:dyDescent="0.25">
      <c r="A602" s="355" t="s">
        <v>2879</v>
      </c>
      <c r="B602" s="355">
        <v>21</v>
      </c>
      <c r="C602" s="355" t="s">
        <v>309</v>
      </c>
      <c r="D602" s="355" t="s">
        <v>262</v>
      </c>
      <c r="E602" s="356">
        <v>37496</v>
      </c>
      <c r="F602" s="356">
        <v>37525</v>
      </c>
      <c r="G602" s="355" t="s">
        <v>2878</v>
      </c>
      <c r="H602" s="355" t="s">
        <v>2864</v>
      </c>
      <c r="I602" s="355" t="s">
        <v>488</v>
      </c>
      <c r="J602" s="355" t="s">
        <v>2880</v>
      </c>
      <c r="K602" s="426" t="str">
        <f>HYPERLINK("https://okcountyrecords.com/detail/roger+mills/2002-003773","OKCountyRecords: 2002-003773")</f>
        <v>OKCountyRecords: 2002-003773</v>
      </c>
    </row>
    <row r="603" spans="1:11" x14ac:dyDescent="0.25">
      <c r="A603" s="355" t="s">
        <v>2894</v>
      </c>
      <c r="B603" s="355"/>
      <c r="C603" s="355" t="s">
        <v>1623</v>
      </c>
      <c r="D603" s="355" t="s">
        <v>2895</v>
      </c>
      <c r="E603" s="356">
        <v>37536</v>
      </c>
      <c r="F603" s="356">
        <v>37573</v>
      </c>
      <c r="G603" s="355" t="s">
        <v>2896</v>
      </c>
      <c r="H603" s="355" t="s">
        <v>2897</v>
      </c>
      <c r="I603" s="355" t="s">
        <v>2543</v>
      </c>
      <c r="J603" s="355" t="s">
        <v>1625</v>
      </c>
      <c r="K603" s="426" t="str">
        <f>HYPERLINK("https://okcountyrecords.com/detail/roger+mills/2002-004378","OKCountyRecords: 2002-004378")</f>
        <v>OKCountyRecords: 2002-004378</v>
      </c>
    </row>
    <row r="604" spans="1:11" x14ac:dyDescent="0.25">
      <c r="A604" s="355" t="s">
        <v>2898</v>
      </c>
      <c r="B604" s="355"/>
      <c r="C604" s="355" t="s">
        <v>1623</v>
      </c>
      <c r="D604" s="355" t="s">
        <v>2899</v>
      </c>
      <c r="E604" s="356">
        <v>37586</v>
      </c>
      <c r="F604" s="356">
        <v>37592</v>
      </c>
      <c r="G604" s="355" t="s">
        <v>610</v>
      </c>
      <c r="H604" s="355" t="s">
        <v>2900</v>
      </c>
      <c r="I604" s="355" t="s">
        <v>2515</v>
      </c>
      <c r="J604" s="355" t="s">
        <v>1625</v>
      </c>
      <c r="K604" s="426" t="str">
        <f>HYPERLINK("https://okcountyrecords.com/detail/roger+mills/2002-004595","OKCountyRecords: 2002-004595")</f>
        <v>OKCountyRecords: 2002-004595</v>
      </c>
    </row>
    <row r="605" spans="1:11" ht="38.25" hidden="1" x14ac:dyDescent="0.25">
      <c r="A605" s="355" t="s">
        <v>2905</v>
      </c>
      <c r="B605" s="355"/>
      <c r="C605" s="355" t="s">
        <v>114</v>
      </c>
      <c r="D605" s="355" t="s">
        <v>2906</v>
      </c>
      <c r="E605" s="356">
        <v>37710</v>
      </c>
      <c r="F605" s="356">
        <v>37715</v>
      </c>
      <c r="G605" s="355" t="s">
        <v>2907</v>
      </c>
      <c r="H605" s="357" t="s">
        <v>2908</v>
      </c>
      <c r="I605" s="357" t="s">
        <v>2515</v>
      </c>
      <c r="J605" s="357" t="s">
        <v>996</v>
      </c>
      <c r="K605" s="426" t="str">
        <f>HYPERLINK("https://okcountyrecords.com/detail/roger+mills/2003-001558","OKCountyRecords: 2003-001558")</f>
        <v>OKCountyRecords: 2003-001558</v>
      </c>
    </row>
    <row r="606" spans="1:11" ht="38.25" hidden="1" x14ac:dyDescent="0.25">
      <c r="A606" s="355" t="s">
        <v>2909</v>
      </c>
      <c r="B606" s="355"/>
      <c r="C606" s="355" t="s">
        <v>114</v>
      </c>
      <c r="D606" s="355" t="s">
        <v>2910</v>
      </c>
      <c r="E606" s="356">
        <v>37711</v>
      </c>
      <c r="F606" s="356">
        <v>37715</v>
      </c>
      <c r="G606" s="357" t="s">
        <v>2908</v>
      </c>
      <c r="H606" s="355" t="s">
        <v>2911</v>
      </c>
      <c r="I606" s="357" t="s">
        <v>2515</v>
      </c>
      <c r="J606" s="357" t="s">
        <v>996</v>
      </c>
      <c r="K606" s="426" t="str">
        <f>HYPERLINK("https://okcountyrecords.com/detail/roger+mills/2003-001559","OKCountyRecords: 2003-001559")</f>
        <v>OKCountyRecords: 2003-001559</v>
      </c>
    </row>
    <row r="607" spans="1:11" x14ac:dyDescent="0.25">
      <c r="A607" s="355" t="s">
        <v>2912</v>
      </c>
      <c r="B607" s="355"/>
      <c r="C607" s="355" t="s">
        <v>2913</v>
      </c>
      <c r="D607" s="355" t="s">
        <v>2914</v>
      </c>
      <c r="E607" s="356">
        <v>37729</v>
      </c>
      <c r="F607" s="356">
        <v>37732</v>
      </c>
      <c r="G607" s="355" t="s">
        <v>2915</v>
      </c>
      <c r="H607" s="355" t="s">
        <v>1110</v>
      </c>
      <c r="I607" s="355" t="s">
        <v>2916</v>
      </c>
      <c r="J607" s="606" t="s">
        <v>2917</v>
      </c>
      <c r="K607" s="426" t="str">
        <f>HYPERLINK("https://okcountyrecords.com/detail/roger+mills/2003-001781","OKCountyRecords: 2003-001781")</f>
        <v>OKCountyRecords: 2003-001781</v>
      </c>
    </row>
    <row r="608" spans="1:11" x14ac:dyDescent="0.25">
      <c r="A608" s="355" t="s">
        <v>2918</v>
      </c>
      <c r="B608" s="355"/>
      <c r="C608" s="355" t="s">
        <v>2506</v>
      </c>
      <c r="D608" s="355" t="s">
        <v>2919</v>
      </c>
      <c r="E608" s="356">
        <v>37761</v>
      </c>
      <c r="F608" s="356">
        <v>37797</v>
      </c>
      <c r="G608" s="355" t="s">
        <v>654</v>
      </c>
      <c r="H608" s="355" t="s">
        <v>2920</v>
      </c>
      <c r="I608" s="355" t="s">
        <v>2543</v>
      </c>
      <c r="J608" s="355" t="s">
        <v>985</v>
      </c>
      <c r="K608" s="426" t="str">
        <f>HYPERLINK("https://okcountyrecords.com/detail/roger+mills/2003-003131","OKCountyRecords: 2003-003131")</f>
        <v>OKCountyRecords: 2003-003131</v>
      </c>
    </row>
    <row r="609" spans="1:11" x14ac:dyDescent="0.25">
      <c r="A609" s="355" t="s">
        <v>2927</v>
      </c>
      <c r="B609" s="355"/>
      <c r="C609" s="355" t="s">
        <v>1274</v>
      </c>
      <c r="D609" s="355" t="s">
        <v>2928</v>
      </c>
      <c r="E609" s="356">
        <v>37802</v>
      </c>
      <c r="F609" s="356">
        <v>37937</v>
      </c>
      <c r="G609" s="355" t="s">
        <v>2929</v>
      </c>
      <c r="H609" s="355" t="s">
        <v>1110</v>
      </c>
      <c r="I609" s="355" t="s">
        <v>2930</v>
      </c>
      <c r="J609" s="355" t="s">
        <v>985</v>
      </c>
      <c r="K609" s="426" t="str">
        <f>HYPERLINK("https://okcountyrecords.com/detail/roger+mills/2003-005699","OKCountyRecords: 2003-005699")</f>
        <v>OKCountyRecords: 2003-005699</v>
      </c>
    </row>
    <row r="610" spans="1:11" x14ac:dyDescent="0.25">
      <c r="A610" s="355" t="s">
        <v>2924</v>
      </c>
      <c r="B610" s="355"/>
      <c r="C610" s="355" t="s">
        <v>2430</v>
      </c>
      <c r="D610" s="355" t="s">
        <v>2925</v>
      </c>
      <c r="E610" s="356">
        <v>37848</v>
      </c>
      <c r="F610" s="356">
        <v>37897</v>
      </c>
      <c r="G610" s="355" t="s">
        <v>2272</v>
      </c>
      <c r="H610" s="355" t="s">
        <v>2926</v>
      </c>
      <c r="I610" s="355" t="s">
        <v>2515</v>
      </c>
      <c r="J610" s="355" t="s">
        <v>985</v>
      </c>
      <c r="K610" s="426" t="str">
        <f>HYPERLINK("https://okcountyrecords.com/detail/roger+mills/2003-004945","OKCountyRecords: 2003-004945")</f>
        <v>OKCountyRecords: 2003-004945</v>
      </c>
    </row>
    <row r="611" spans="1:11" x14ac:dyDescent="0.25">
      <c r="A611" s="355" t="s">
        <v>2921</v>
      </c>
      <c r="B611" s="355"/>
      <c r="C611" s="355" t="s">
        <v>2430</v>
      </c>
      <c r="D611" s="355" t="s">
        <v>2922</v>
      </c>
      <c r="E611" s="356">
        <v>37866</v>
      </c>
      <c r="F611" s="356">
        <v>37881</v>
      </c>
      <c r="G611" s="355" t="s">
        <v>2829</v>
      </c>
      <c r="H611" s="355" t="s">
        <v>2923</v>
      </c>
      <c r="I611" s="355" t="s">
        <v>2568</v>
      </c>
      <c r="J611" s="355" t="s">
        <v>985</v>
      </c>
      <c r="K611" s="426" t="str">
        <f>HYPERLINK("https://okcountyrecords.com/detail/roger+mills/2003-004685","OKCountyRecords: 2003-004685")</f>
        <v>OKCountyRecords: 2003-004685</v>
      </c>
    </row>
    <row r="612" spans="1:11" ht="38.25" hidden="1" x14ac:dyDescent="0.25">
      <c r="A612" s="355" t="s">
        <v>2931</v>
      </c>
      <c r="B612" s="355"/>
      <c r="C612" s="355" t="s">
        <v>993</v>
      </c>
      <c r="D612" s="355" t="s">
        <v>2932</v>
      </c>
      <c r="E612" s="356">
        <v>37923</v>
      </c>
      <c r="F612" s="356">
        <v>37957</v>
      </c>
      <c r="G612" s="355" t="s">
        <v>2933</v>
      </c>
      <c r="H612" s="355" t="s">
        <v>533</v>
      </c>
      <c r="I612" s="357" t="s">
        <v>502</v>
      </c>
      <c r="J612" s="357" t="s">
        <v>996</v>
      </c>
      <c r="K612" s="426" t="str">
        <f>HYPERLINK("https://okcountyrecords.com/detail/roger+mills/2003-006068","OKCountyRecords: 2003-006068")</f>
        <v>OKCountyRecords: 2003-006068</v>
      </c>
    </row>
    <row r="613" spans="1:11" ht="38.25" hidden="1" x14ac:dyDescent="0.25">
      <c r="A613" s="355" t="s">
        <v>2934</v>
      </c>
      <c r="B613" s="355"/>
      <c r="C613" s="355" t="s">
        <v>993</v>
      </c>
      <c r="D613" s="355" t="s">
        <v>2935</v>
      </c>
      <c r="E613" s="356">
        <v>37931</v>
      </c>
      <c r="F613" s="356">
        <v>37957</v>
      </c>
      <c r="G613" s="355" t="s">
        <v>487</v>
      </c>
      <c r="H613" s="355" t="s">
        <v>2936</v>
      </c>
      <c r="I613" s="357" t="s">
        <v>502</v>
      </c>
      <c r="J613" s="357" t="s">
        <v>996</v>
      </c>
      <c r="K613" s="426" t="str">
        <f>HYPERLINK("https://okcountyrecords.com/detail/roger+mills/2003-006069","OKCountyRecords: 2003-006069")</f>
        <v>OKCountyRecords: 2003-006069</v>
      </c>
    </row>
    <row r="614" spans="1:11" ht="38.25" hidden="1" x14ac:dyDescent="0.25">
      <c r="A614" s="355" t="s">
        <v>2937</v>
      </c>
      <c r="B614" s="355"/>
      <c r="C614" s="355" t="s">
        <v>993</v>
      </c>
      <c r="D614" s="355" t="s">
        <v>2938</v>
      </c>
      <c r="E614" s="356">
        <v>37931</v>
      </c>
      <c r="F614" s="356">
        <v>37957</v>
      </c>
      <c r="G614" s="355" t="s">
        <v>487</v>
      </c>
      <c r="H614" s="355" t="s">
        <v>2936</v>
      </c>
      <c r="I614" s="357" t="s">
        <v>502</v>
      </c>
      <c r="J614" s="357" t="s">
        <v>996</v>
      </c>
      <c r="K614" s="426" t="str">
        <f>HYPERLINK("https://okcountyrecords.com/detail/roger+mills/2003-006070","OKCountyRecords: 2003-006070")</f>
        <v>OKCountyRecords: 2003-006070</v>
      </c>
    </row>
    <row r="615" spans="1:11" x14ac:dyDescent="0.25">
      <c r="A615" s="355" t="s">
        <v>2942</v>
      </c>
      <c r="B615" s="355"/>
      <c r="C615" s="355" t="s">
        <v>2506</v>
      </c>
      <c r="D615" s="355" t="s">
        <v>2943</v>
      </c>
      <c r="E615" s="356">
        <v>37959</v>
      </c>
      <c r="F615" s="356">
        <v>38008</v>
      </c>
      <c r="G615" s="355" t="s">
        <v>2944</v>
      </c>
      <c r="H615" s="355" t="s">
        <v>2923</v>
      </c>
      <c r="I615" s="355" t="s">
        <v>2818</v>
      </c>
      <c r="J615" s="355" t="s">
        <v>985</v>
      </c>
      <c r="K615" s="426" t="str">
        <f>HYPERLINK("https://okcountyrecords.com/detail/roger+mills/2004-000364","OKCountyRecords: 2004-000364")</f>
        <v>OKCountyRecords: 2004-000364</v>
      </c>
    </row>
    <row r="616" spans="1:11" x14ac:dyDescent="0.25">
      <c r="A616" s="355" t="s">
        <v>2939</v>
      </c>
      <c r="B616" s="355"/>
      <c r="C616" s="355" t="s">
        <v>1274</v>
      </c>
      <c r="D616" s="355" t="s">
        <v>2940</v>
      </c>
      <c r="E616" s="356">
        <v>37990</v>
      </c>
      <c r="F616" s="356">
        <v>37994</v>
      </c>
      <c r="G616" s="355" t="s">
        <v>2941</v>
      </c>
      <c r="H616" s="355" t="s">
        <v>1110</v>
      </c>
      <c r="I616" s="355" t="s">
        <v>2515</v>
      </c>
      <c r="J616" s="355" t="s">
        <v>985</v>
      </c>
      <c r="K616" s="426" t="str">
        <f>HYPERLINK("https://okcountyrecords.com/detail/roger+mills/2004-000099","OKCountyRecords: 2004-000099")</f>
        <v>OKCountyRecords: 2004-000099</v>
      </c>
    </row>
    <row r="617" spans="1:11" x14ac:dyDescent="0.25">
      <c r="A617" s="355"/>
      <c r="B617" s="355">
        <v>22</v>
      </c>
      <c r="C617" s="355" t="s">
        <v>309</v>
      </c>
      <c r="D617" s="359" t="s">
        <v>264</v>
      </c>
      <c r="E617" s="356">
        <v>37999</v>
      </c>
      <c r="F617" s="356">
        <v>38029</v>
      </c>
      <c r="G617" s="355" t="s">
        <v>2964</v>
      </c>
      <c r="H617" s="355" t="s">
        <v>266</v>
      </c>
      <c r="I617" s="355" t="s">
        <v>629</v>
      </c>
      <c r="J617" s="355" t="s">
        <v>2640</v>
      </c>
      <c r="K617" s="426" t="str">
        <f>HYPERLINK("https://okcountyrecords.com/search/roger%20mills","OKCountyRecords search: Oil and Gas Lease 38029")</f>
        <v>OKCountyRecords search: Oil and Gas Lease 38029</v>
      </c>
    </row>
    <row r="618" spans="1:11" x14ac:dyDescent="0.25">
      <c r="A618" s="355" t="s">
        <v>2966</v>
      </c>
      <c r="B618" s="355">
        <v>22</v>
      </c>
      <c r="C618" s="355" t="s">
        <v>309</v>
      </c>
      <c r="D618" s="355" t="s">
        <v>264</v>
      </c>
      <c r="E618" s="356">
        <v>37999</v>
      </c>
      <c r="F618" s="356">
        <v>38029</v>
      </c>
      <c r="G618" s="355" t="s">
        <v>2964</v>
      </c>
      <c r="H618" s="355" t="s">
        <v>266</v>
      </c>
      <c r="I618" s="355" t="s">
        <v>629</v>
      </c>
      <c r="J618" s="355" t="s">
        <v>2967</v>
      </c>
      <c r="K618" s="426" t="str">
        <f>HYPERLINK("https://okcountyrecords.com/detail/roger+mills/2004-000722","OKCountyRecords: 2004-000722")</f>
        <v>OKCountyRecords: 2004-000722</v>
      </c>
    </row>
    <row r="619" spans="1:11" ht="63.75" hidden="1" x14ac:dyDescent="0.25">
      <c r="A619" s="355" t="s">
        <v>2971</v>
      </c>
      <c r="B619" s="355"/>
      <c r="C619" s="355" t="s">
        <v>309</v>
      </c>
      <c r="D619" s="355" t="s">
        <v>2972</v>
      </c>
      <c r="E619" s="356">
        <v>37999</v>
      </c>
      <c r="F619" s="356">
        <v>38029</v>
      </c>
      <c r="G619" s="355" t="s">
        <v>482</v>
      </c>
      <c r="H619" s="355" t="s">
        <v>266</v>
      </c>
      <c r="I619" s="357" t="s">
        <v>629</v>
      </c>
      <c r="J619" s="357" t="s">
        <v>996</v>
      </c>
      <c r="K619" s="426" t="str">
        <f>HYPERLINK("https://okcountyrecords.com/detail/roger+mills/2004-000723","OKCountyRecords: 2004-000723")</f>
        <v>OKCountyRecords: 2004-000723</v>
      </c>
    </row>
    <row r="620" spans="1:11" ht="63.75" hidden="1" x14ac:dyDescent="0.25">
      <c r="A620" s="355" t="s">
        <v>2977</v>
      </c>
      <c r="B620" s="355"/>
      <c r="C620" s="355" t="s">
        <v>309</v>
      </c>
      <c r="D620" s="355" t="s">
        <v>2978</v>
      </c>
      <c r="E620" s="356">
        <v>37999</v>
      </c>
      <c r="F620" s="356">
        <v>38029</v>
      </c>
      <c r="G620" s="355" t="s">
        <v>480</v>
      </c>
      <c r="H620" s="355" t="s">
        <v>266</v>
      </c>
      <c r="I620" s="357" t="s">
        <v>629</v>
      </c>
      <c r="J620" s="357" t="s">
        <v>996</v>
      </c>
      <c r="K620" s="426" t="str">
        <f>HYPERLINK("https://okcountyrecords.com/detail/roger+mills/2004-000726","OKCountyRecords: 2004-000726")</f>
        <v>OKCountyRecords: 2004-000726</v>
      </c>
    </row>
    <row r="621" spans="1:11" ht="63.75" hidden="1" x14ac:dyDescent="0.25">
      <c r="A621" s="355" t="s">
        <v>2979</v>
      </c>
      <c r="B621" s="355"/>
      <c r="C621" s="355" t="s">
        <v>309</v>
      </c>
      <c r="D621" s="355" t="s">
        <v>2980</v>
      </c>
      <c r="E621" s="356">
        <v>37999</v>
      </c>
      <c r="F621" s="356">
        <v>38029</v>
      </c>
      <c r="G621" s="355" t="s">
        <v>554</v>
      </c>
      <c r="H621" s="355" t="s">
        <v>266</v>
      </c>
      <c r="I621" s="357" t="s">
        <v>629</v>
      </c>
      <c r="J621" s="357" t="s">
        <v>996</v>
      </c>
      <c r="K621" s="426" t="str">
        <f>HYPERLINK("https://okcountyrecords.com/detail/roger+mills/2004-000727","OKCountyRecords: 2004-000727")</f>
        <v>OKCountyRecords: 2004-000727</v>
      </c>
    </row>
    <row r="622" spans="1:11" ht="25.5" hidden="1" x14ac:dyDescent="0.25">
      <c r="A622" s="355" t="s">
        <v>2945</v>
      </c>
      <c r="B622" s="355"/>
      <c r="C622" s="355" t="s">
        <v>309</v>
      </c>
      <c r="D622" s="355" t="s">
        <v>2946</v>
      </c>
      <c r="E622" s="356">
        <v>38001</v>
      </c>
      <c r="F622" s="356">
        <v>38020</v>
      </c>
      <c r="G622" s="355" t="s">
        <v>392</v>
      </c>
      <c r="H622" s="355" t="s">
        <v>266</v>
      </c>
      <c r="I622" s="357" t="s">
        <v>488</v>
      </c>
      <c r="J622" s="357" t="s">
        <v>996</v>
      </c>
      <c r="K622" s="426" t="str">
        <f>HYPERLINK("https://okcountyrecords.com/detail/roger+mills/2004-000579","OKCountyRecords: 2004-000579")</f>
        <v>OKCountyRecords: 2004-000579</v>
      </c>
    </row>
    <row r="623" spans="1:11" ht="25.5" hidden="1" x14ac:dyDescent="0.25">
      <c r="A623" s="355" t="s">
        <v>2947</v>
      </c>
      <c r="B623" s="355"/>
      <c r="C623" s="355" t="s">
        <v>309</v>
      </c>
      <c r="D623" s="355" t="s">
        <v>2948</v>
      </c>
      <c r="E623" s="356">
        <v>38001</v>
      </c>
      <c r="F623" s="356">
        <v>38020</v>
      </c>
      <c r="G623" s="355" t="s">
        <v>577</v>
      </c>
      <c r="H623" s="355" t="s">
        <v>266</v>
      </c>
      <c r="I623" s="357" t="s">
        <v>488</v>
      </c>
      <c r="J623" s="357" t="s">
        <v>996</v>
      </c>
      <c r="K623" s="426" t="str">
        <f>HYPERLINK("https://okcountyrecords.com/detail/roger+mills/2004-000580","OKCountyRecords: 2004-000580")</f>
        <v>OKCountyRecords: 2004-000580</v>
      </c>
    </row>
    <row r="624" spans="1:11" ht="25.5" hidden="1" x14ac:dyDescent="0.25">
      <c r="A624" s="355" t="s">
        <v>2951</v>
      </c>
      <c r="B624" s="355"/>
      <c r="C624" s="355" t="s">
        <v>309</v>
      </c>
      <c r="D624" s="355" t="s">
        <v>2952</v>
      </c>
      <c r="E624" s="356">
        <v>38001</v>
      </c>
      <c r="F624" s="356">
        <v>38020</v>
      </c>
      <c r="G624" s="355" t="s">
        <v>571</v>
      </c>
      <c r="H624" s="355" t="s">
        <v>266</v>
      </c>
      <c r="I624" s="357" t="s">
        <v>488</v>
      </c>
      <c r="J624" s="357" t="s">
        <v>996</v>
      </c>
      <c r="K624" s="426" t="str">
        <f>HYPERLINK("https://okcountyrecords.com/detail/roger+mills/2004-000582","OKCountyRecords: 2004-000582")</f>
        <v>OKCountyRecords: 2004-000582</v>
      </c>
    </row>
    <row r="625" spans="1:11" ht="25.5" hidden="1" x14ac:dyDescent="0.25">
      <c r="A625" s="355" t="s">
        <v>2969</v>
      </c>
      <c r="B625" s="355"/>
      <c r="C625" s="355" t="s">
        <v>309</v>
      </c>
      <c r="D625" s="355" t="s">
        <v>2970</v>
      </c>
      <c r="E625" s="356">
        <v>38001</v>
      </c>
      <c r="F625" s="356">
        <v>38029</v>
      </c>
      <c r="G625" s="355" t="s">
        <v>400</v>
      </c>
      <c r="H625" s="355" t="s">
        <v>266</v>
      </c>
      <c r="I625" s="357" t="s">
        <v>488</v>
      </c>
      <c r="J625" s="357" t="s">
        <v>996</v>
      </c>
      <c r="K625" s="426" t="str">
        <f>HYPERLINK("https://okcountyrecords.com/detail/roger+mills/2004-000721","OKCountyRecords: 2004-000721")</f>
        <v>OKCountyRecords: 2004-000721</v>
      </c>
    </row>
    <row r="626" spans="1:11" ht="25.5" hidden="1" x14ac:dyDescent="0.25">
      <c r="A626" s="355" t="s">
        <v>2973</v>
      </c>
      <c r="B626" s="355"/>
      <c r="C626" s="355" t="s">
        <v>309</v>
      </c>
      <c r="D626" s="355" t="s">
        <v>2974</v>
      </c>
      <c r="E626" s="356">
        <v>38001</v>
      </c>
      <c r="F626" s="356">
        <v>38029</v>
      </c>
      <c r="G626" s="355" t="s">
        <v>396</v>
      </c>
      <c r="H626" s="355" t="s">
        <v>266</v>
      </c>
      <c r="I626" s="357" t="s">
        <v>488</v>
      </c>
      <c r="J626" s="357" t="s">
        <v>996</v>
      </c>
      <c r="K626" s="426" t="str">
        <f>HYPERLINK("https://okcountyrecords.com/detail/roger+mills/2004-000724","OKCountyRecords: 2004-000724")</f>
        <v>OKCountyRecords: 2004-000724</v>
      </c>
    </row>
    <row r="627" spans="1:11" ht="25.5" hidden="1" x14ac:dyDescent="0.25">
      <c r="A627" s="355" t="s">
        <v>2975</v>
      </c>
      <c r="B627" s="355"/>
      <c r="C627" s="355" t="s">
        <v>309</v>
      </c>
      <c r="D627" s="355" t="s">
        <v>2976</v>
      </c>
      <c r="E627" s="356">
        <v>38001</v>
      </c>
      <c r="F627" s="356">
        <v>38029</v>
      </c>
      <c r="G627" s="355" t="s">
        <v>639</v>
      </c>
      <c r="H627" s="355" t="s">
        <v>266</v>
      </c>
      <c r="I627" s="357" t="s">
        <v>488</v>
      </c>
      <c r="J627" s="357" t="s">
        <v>996</v>
      </c>
      <c r="K627" s="426" t="str">
        <f>HYPERLINK("https://okcountyrecords.com/detail/roger+mills/2004-000725","OKCountyRecords: 2004-000725")</f>
        <v>OKCountyRecords: 2004-000725</v>
      </c>
    </row>
    <row r="628" spans="1:11" ht="25.5" hidden="1" x14ac:dyDescent="0.25">
      <c r="A628" s="355" t="s">
        <v>3228</v>
      </c>
      <c r="B628" s="355"/>
      <c r="C628" s="355" t="s">
        <v>309</v>
      </c>
      <c r="D628" s="355" t="s">
        <v>3229</v>
      </c>
      <c r="E628" s="356">
        <v>38001</v>
      </c>
      <c r="F628" s="356">
        <v>38762</v>
      </c>
      <c r="G628" s="355" t="s">
        <v>392</v>
      </c>
      <c r="H628" s="355" t="s">
        <v>266</v>
      </c>
      <c r="I628" s="357" t="s">
        <v>488</v>
      </c>
      <c r="J628" s="357" t="s">
        <v>996</v>
      </c>
      <c r="K628" s="426" t="str">
        <f>HYPERLINK("https://okcountyrecords.com/detail/roger+mills/2006-001223","OKCountyRecords: 2006-001223")</f>
        <v>OKCountyRecords: 2006-001223</v>
      </c>
    </row>
    <row r="629" spans="1:11" ht="25.5" hidden="1" x14ac:dyDescent="0.25">
      <c r="A629" s="355" t="s">
        <v>2949</v>
      </c>
      <c r="B629" s="355"/>
      <c r="C629" s="355" t="s">
        <v>309</v>
      </c>
      <c r="D629" s="355" t="s">
        <v>2950</v>
      </c>
      <c r="E629" s="356">
        <v>38007</v>
      </c>
      <c r="F629" s="356">
        <v>38020</v>
      </c>
      <c r="G629" s="355" t="s">
        <v>446</v>
      </c>
      <c r="H629" s="355" t="s">
        <v>266</v>
      </c>
      <c r="I629" s="357" t="s">
        <v>643</v>
      </c>
      <c r="J629" s="357" t="s">
        <v>996</v>
      </c>
      <c r="K629" s="426" t="str">
        <f>HYPERLINK("https://okcountyrecords.com/detail/roger+mills/2004-000581","OKCountyRecords: 2004-000581")</f>
        <v>OKCountyRecords: 2004-000581</v>
      </c>
    </row>
    <row r="630" spans="1:11" x14ac:dyDescent="0.25">
      <c r="A630" s="355"/>
      <c r="B630" s="355">
        <v>23</v>
      </c>
      <c r="C630" s="355" t="s">
        <v>309</v>
      </c>
      <c r="D630" s="359" t="s">
        <v>267</v>
      </c>
      <c r="E630" s="356">
        <v>38007</v>
      </c>
      <c r="F630" s="356">
        <v>38029</v>
      </c>
      <c r="G630" s="355" t="s">
        <v>2965</v>
      </c>
      <c r="H630" s="355" t="s">
        <v>266</v>
      </c>
      <c r="I630" s="355" t="s">
        <v>488</v>
      </c>
      <c r="J630" s="355" t="s">
        <v>2640</v>
      </c>
      <c r="K630" s="426" t="str">
        <f>HYPERLINK("https://okcountyrecords.com/search/roger%20mills","OKCountyRecords search: Oil and Gas Lease 38029")</f>
        <v>OKCountyRecords search: Oil and Gas Lease 38029</v>
      </c>
    </row>
    <row r="631" spans="1:11" x14ac:dyDescent="0.25">
      <c r="A631" s="355" t="s">
        <v>2968</v>
      </c>
      <c r="B631" s="355">
        <v>23</v>
      </c>
      <c r="C631" s="355" t="s">
        <v>309</v>
      </c>
      <c r="D631" s="355" t="s">
        <v>267</v>
      </c>
      <c r="E631" s="356">
        <v>38007</v>
      </c>
      <c r="F631" s="356">
        <v>38029</v>
      </c>
      <c r="G631" s="355" t="s">
        <v>2965</v>
      </c>
      <c r="H631" s="355" t="s">
        <v>266</v>
      </c>
      <c r="I631" s="355" t="s">
        <v>488</v>
      </c>
      <c r="J631" s="355" t="s">
        <v>2967</v>
      </c>
      <c r="K631" s="426" t="str">
        <f>HYPERLINK("https://okcountyrecords.com/detail/roger+mills/2004-000720","OKCountyRecords: 2004-000720")</f>
        <v>OKCountyRecords: 2004-000720</v>
      </c>
    </row>
    <row r="632" spans="1:11" ht="38.25" hidden="1" x14ac:dyDescent="0.25">
      <c r="A632" s="355" t="s">
        <v>2958</v>
      </c>
      <c r="B632" s="355"/>
      <c r="C632" s="355" t="s">
        <v>309</v>
      </c>
      <c r="D632" s="355" t="s">
        <v>2959</v>
      </c>
      <c r="E632" s="356">
        <v>38012</v>
      </c>
      <c r="F632" s="356">
        <v>38027</v>
      </c>
      <c r="G632" s="357" t="s">
        <v>2960</v>
      </c>
      <c r="H632" s="355" t="s">
        <v>266</v>
      </c>
      <c r="I632" s="357" t="s">
        <v>488</v>
      </c>
      <c r="J632" s="357" t="s">
        <v>996</v>
      </c>
      <c r="K632" s="426" t="str">
        <f>HYPERLINK("https://okcountyrecords.com/detail/roger+mills/2004-000690","OKCountyRecords: 2004-000690")</f>
        <v>OKCountyRecords: 2004-000690</v>
      </c>
    </row>
    <row r="633" spans="1:11" x14ac:dyDescent="0.25">
      <c r="A633" s="355" t="s">
        <v>2961</v>
      </c>
      <c r="B633" s="355"/>
      <c r="C633" s="355" t="s">
        <v>2671</v>
      </c>
      <c r="D633" s="355" t="s">
        <v>2962</v>
      </c>
      <c r="E633" s="356">
        <v>38014</v>
      </c>
      <c r="F633" s="356">
        <v>38027</v>
      </c>
      <c r="G633" s="355" t="s">
        <v>2963</v>
      </c>
      <c r="H633" s="355" t="s">
        <v>1110</v>
      </c>
      <c r="I633" s="355" t="s">
        <v>488</v>
      </c>
      <c r="J633" s="355" t="s">
        <v>985</v>
      </c>
      <c r="K633" s="426" t="str">
        <f>HYPERLINK("https://okcountyrecords.com/detail/roger+mills/2004-000691","OKCountyRecords: 2004-000691")</f>
        <v>OKCountyRecords: 2004-000691</v>
      </c>
    </row>
    <row r="634" spans="1:11" ht="38.25" hidden="1" x14ac:dyDescent="0.25">
      <c r="A634" s="355" t="s">
        <v>2956</v>
      </c>
      <c r="B634" s="355"/>
      <c r="C634" s="355" t="s">
        <v>309</v>
      </c>
      <c r="D634" s="355" t="s">
        <v>2957</v>
      </c>
      <c r="E634" s="356">
        <v>38019</v>
      </c>
      <c r="F634" s="356">
        <v>38027</v>
      </c>
      <c r="G634" s="355" t="s">
        <v>372</v>
      </c>
      <c r="H634" s="355" t="s">
        <v>266</v>
      </c>
      <c r="I634" s="357" t="s">
        <v>502</v>
      </c>
      <c r="J634" s="357" t="s">
        <v>996</v>
      </c>
      <c r="K634" s="426" t="str">
        <f>HYPERLINK("https://okcountyrecords.com/detail/roger+mills/2004-000685","OKCountyRecords: 2004-000685")</f>
        <v>OKCountyRecords: 2004-000685</v>
      </c>
    </row>
    <row r="635" spans="1:11" x14ac:dyDescent="0.25">
      <c r="A635" s="355"/>
      <c r="B635" s="355">
        <v>24</v>
      </c>
      <c r="C635" s="355" t="s">
        <v>309</v>
      </c>
      <c r="D635" s="359" t="s">
        <v>269</v>
      </c>
      <c r="E635" s="356">
        <v>38022</v>
      </c>
      <c r="F635" s="356">
        <v>38049</v>
      </c>
      <c r="G635" s="355" t="s">
        <v>2983</v>
      </c>
      <c r="H635" s="355" t="s">
        <v>266</v>
      </c>
      <c r="I635" s="355" t="s">
        <v>488</v>
      </c>
      <c r="J635" s="355" t="s">
        <v>2640</v>
      </c>
      <c r="K635" s="426" t="str">
        <f>HYPERLINK("https://okcountyrecords.com/search/roger%20mills","OKCountyRecords search: Oil and Gas Lease 38049")</f>
        <v>OKCountyRecords search: Oil and Gas Lease 38049</v>
      </c>
    </row>
    <row r="636" spans="1:11" x14ac:dyDescent="0.25">
      <c r="A636" s="355" t="s">
        <v>2984</v>
      </c>
      <c r="B636" s="355">
        <v>24</v>
      </c>
      <c r="C636" s="355" t="s">
        <v>309</v>
      </c>
      <c r="D636" s="355" t="s">
        <v>269</v>
      </c>
      <c r="E636" s="356">
        <v>38022</v>
      </c>
      <c r="F636" s="356">
        <v>38049</v>
      </c>
      <c r="G636" s="355" t="s">
        <v>2983</v>
      </c>
      <c r="H636" s="355" t="s">
        <v>266</v>
      </c>
      <c r="I636" s="355" t="s">
        <v>488</v>
      </c>
      <c r="J636" s="355" t="s">
        <v>2985</v>
      </c>
      <c r="K636" s="426" t="str">
        <f>HYPERLINK("https://okcountyrecords.com/detail/roger+mills/2004-001053","OKCountyRecords: 2004-001053")</f>
        <v>OKCountyRecords: 2004-001053</v>
      </c>
    </row>
    <row r="637" spans="1:11" ht="51" hidden="1" x14ac:dyDescent="0.25">
      <c r="A637" s="355" t="s">
        <v>2986</v>
      </c>
      <c r="B637" s="355"/>
      <c r="C637" s="355" t="s">
        <v>114</v>
      </c>
      <c r="D637" s="355" t="s">
        <v>2987</v>
      </c>
      <c r="E637" s="356">
        <v>38022</v>
      </c>
      <c r="F637" s="356">
        <v>38068</v>
      </c>
      <c r="G637" s="355" t="s">
        <v>266</v>
      </c>
      <c r="H637" s="355" t="s">
        <v>2988</v>
      </c>
      <c r="I637" s="357" t="s">
        <v>2989</v>
      </c>
      <c r="J637" s="357" t="s">
        <v>996</v>
      </c>
      <c r="K637" s="426" t="str">
        <f>HYPERLINK("https://okcountyrecords.com/detail/roger+mills/2004-001426","OKCountyRecords: 2004-001426")</f>
        <v>OKCountyRecords: 2004-001426</v>
      </c>
    </row>
    <row r="638" spans="1:11" x14ac:dyDescent="0.25">
      <c r="A638" s="355"/>
      <c r="B638" s="355">
        <v>25</v>
      </c>
      <c r="C638" s="355" t="s">
        <v>309</v>
      </c>
      <c r="D638" s="359" t="s">
        <v>271</v>
      </c>
      <c r="E638" s="356">
        <v>38025</v>
      </c>
      <c r="F638" s="356">
        <v>38027</v>
      </c>
      <c r="G638" s="355" t="s">
        <v>2953</v>
      </c>
      <c r="H638" s="355" t="s">
        <v>266</v>
      </c>
      <c r="I638" s="355" t="s">
        <v>313</v>
      </c>
      <c r="J638" s="355" t="s">
        <v>2640</v>
      </c>
      <c r="K638" s="426" t="str">
        <f>HYPERLINK("https://okcountyrecords.com/search/roger%20mills","OKCountyRecords search: Oil and Gas Lease 38027")</f>
        <v>OKCountyRecords search: Oil and Gas Lease 38027</v>
      </c>
    </row>
    <row r="639" spans="1:11" x14ac:dyDescent="0.25">
      <c r="A639" s="355" t="s">
        <v>2954</v>
      </c>
      <c r="B639" s="355">
        <v>25</v>
      </c>
      <c r="C639" s="355" t="s">
        <v>309</v>
      </c>
      <c r="D639" s="355" t="s">
        <v>271</v>
      </c>
      <c r="E639" s="356">
        <v>38025</v>
      </c>
      <c r="F639" s="356">
        <v>38027</v>
      </c>
      <c r="G639" s="355" t="s">
        <v>2953</v>
      </c>
      <c r="H639" s="355" t="s">
        <v>266</v>
      </c>
      <c r="I639" s="355" t="s">
        <v>313</v>
      </c>
      <c r="J639" s="355" t="s">
        <v>2955</v>
      </c>
      <c r="K639" s="426" t="str">
        <f>HYPERLINK("https://okcountyrecords.com/detail/roger+mills/2004-000679","OKCountyRecords: 2004-000679")</f>
        <v>OKCountyRecords: 2004-000679</v>
      </c>
    </row>
    <row r="640" spans="1:11" ht="63.75" hidden="1" x14ac:dyDescent="0.25">
      <c r="A640" s="355" t="s">
        <v>2995</v>
      </c>
      <c r="B640" s="355"/>
      <c r="C640" s="355" t="s">
        <v>114</v>
      </c>
      <c r="D640" s="355" t="s">
        <v>2996</v>
      </c>
      <c r="E640" s="356">
        <v>38029</v>
      </c>
      <c r="F640" s="356">
        <v>38117</v>
      </c>
      <c r="G640" s="355" t="s">
        <v>266</v>
      </c>
      <c r="H640" s="355" t="s">
        <v>2997</v>
      </c>
      <c r="I640" s="357" t="s">
        <v>2998</v>
      </c>
      <c r="J640" s="357" t="s">
        <v>996</v>
      </c>
      <c r="K640" s="426" t="str">
        <f>HYPERLINK("https://okcountyrecords.com/detail/roger+mills/2004-002305","OKCountyRecords: 2004-002305")</f>
        <v>OKCountyRecords: 2004-002305</v>
      </c>
    </row>
    <row r="641" spans="1:11" hidden="1" x14ac:dyDescent="0.25">
      <c r="A641" s="355" t="s">
        <v>2981</v>
      </c>
      <c r="B641" s="355"/>
      <c r="C641" s="355" t="s">
        <v>309</v>
      </c>
      <c r="D641" s="355" t="s">
        <v>2982</v>
      </c>
      <c r="E641" s="356">
        <v>38032</v>
      </c>
      <c r="F641" s="356">
        <v>38040</v>
      </c>
      <c r="G641" s="355" t="s">
        <v>531</v>
      </c>
      <c r="H641" s="355" t="s">
        <v>650</v>
      </c>
      <c r="I641" s="357" t="s">
        <v>313</v>
      </c>
      <c r="J641" s="357" t="s">
        <v>996</v>
      </c>
      <c r="K641" s="426" t="str">
        <f>HYPERLINK("https://okcountyrecords.com/detail/roger+mills/2004-000880","OKCountyRecords: 2004-000880")</f>
        <v>OKCountyRecords: 2004-000880</v>
      </c>
    </row>
    <row r="642" spans="1:11" ht="38.25" hidden="1" x14ac:dyDescent="0.25">
      <c r="A642" s="355" t="s">
        <v>2990</v>
      </c>
      <c r="B642" s="355"/>
      <c r="C642" s="355" t="s">
        <v>114</v>
      </c>
      <c r="D642" s="355" t="s">
        <v>2991</v>
      </c>
      <c r="E642" s="356">
        <v>38041</v>
      </c>
      <c r="F642" s="356">
        <v>38071</v>
      </c>
      <c r="G642" s="355" t="s">
        <v>266</v>
      </c>
      <c r="H642" s="355" t="s">
        <v>2992</v>
      </c>
      <c r="I642" s="357" t="s">
        <v>502</v>
      </c>
      <c r="J642" s="357" t="s">
        <v>996</v>
      </c>
      <c r="K642" s="426" t="str">
        <f>HYPERLINK("https://okcountyrecords.com/detail/roger+mills/2004-001493","OKCountyRecords: 2004-001493")</f>
        <v>OKCountyRecords: 2004-001493</v>
      </c>
    </row>
    <row r="643" spans="1:11" ht="25.5" hidden="1" x14ac:dyDescent="0.25">
      <c r="A643" s="355" t="s">
        <v>3008</v>
      </c>
      <c r="B643" s="355"/>
      <c r="C643" s="355" t="s">
        <v>114</v>
      </c>
      <c r="D643" s="355" t="s">
        <v>3009</v>
      </c>
      <c r="E643" s="356">
        <v>38041</v>
      </c>
      <c r="F643" s="356">
        <v>38168</v>
      </c>
      <c r="G643" s="355" t="s">
        <v>266</v>
      </c>
      <c r="H643" s="355" t="s">
        <v>3010</v>
      </c>
      <c r="I643" s="357" t="s">
        <v>3011</v>
      </c>
      <c r="J643" s="357" t="s">
        <v>996</v>
      </c>
      <c r="K643" s="426" t="str">
        <f>HYPERLINK("https://okcountyrecords.com/detail/roger+mills/2004-003392","OKCountyRecords: 2004-003392")</f>
        <v>OKCountyRecords: 2004-003392</v>
      </c>
    </row>
    <row r="644" spans="1:11" x14ac:dyDescent="0.25">
      <c r="A644" s="355" t="s">
        <v>2993</v>
      </c>
      <c r="B644" s="355"/>
      <c r="C644" s="355" t="s">
        <v>1107</v>
      </c>
      <c r="D644" s="355" t="s">
        <v>2994</v>
      </c>
      <c r="E644" s="356">
        <v>38078</v>
      </c>
      <c r="F644" s="356">
        <v>38084</v>
      </c>
      <c r="G644" s="355" t="s">
        <v>280</v>
      </c>
      <c r="H644" s="355" t="s">
        <v>1110</v>
      </c>
      <c r="I644" s="355" t="s">
        <v>2515</v>
      </c>
      <c r="J644" s="355" t="s">
        <v>1095</v>
      </c>
      <c r="K644" s="571" t="str">
        <f>HYPERLINK("https://okcountyrecords.com/detail/roger+mills/2004-001735","OKCountyRecords: 2004-001735")</f>
        <v>OKCountyRecords: 2004-001735</v>
      </c>
    </row>
    <row r="645" spans="1:11" x14ac:dyDescent="0.25">
      <c r="A645" s="355" t="s">
        <v>2999</v>
      </c>
      <c r="B645" s="355"/>
      <c r="C645" s="355" t="s">
        <v>1107</v>
      </c>
      <c r="D645" s="355" t="s">
        <v>3000</v>
      </c>
      <c r="E645" s="356">
        <v>38112</v>
      </c>
      <c r="F645" s="356">
        <v>38121</v>
      </c>
      <c r="G645" s="355" t="s">
        <v>3001</v>
      </c>
      <c r="H645" s="355" t="s">
        <v>1110</v>
      </c>
      <c r="I645" s="355" t="s">
        <v>2543</v>
      </c>
      <c r="J645" s="355" t="s">
        <v>1095</v>
      </c>
      <c r="K645" s="426" t="str">
        <f>HYPERLINK("https://okcountyrecords.com/detail/roger+mills/2004-002491","OKCountyRecords: 2004-002491")</f>
        <v>OKCountyRecords: 2004-002491</v>
      </c>
    </row>
    <row r="646" spans="1:11" ht="38.25" hidden="1" x14ac:dyDescent="0.25">
      <c r="A646" s="355" t="s">
        <v>3002</v>
      </c>
      <c r="B646" s="355"/>
      <c r="C646" s="355" t="s">
        <v>114</v>
      </c>
      <c r="D646" s="355" t="s">
        <v>3003</v>
      </c>
      <c r="E646" s="356">
        <v>38127</v>
      </c>
      <c r="F646" s="356">
        <v>38145</v>
      </c>
      <c r="G646" s="355" t="s">
        <v>2997</v>
      </c>
      <c r="H646" s="355" t="s">
        <v>266</v>
      </c>
      <c r="I646" s="357" t="s">
        <v>3004</v>
      </c>
      <c r="J646" s="357" t="s">
        <v>996</v>
      </c>
      <c r="K646" s="426" t="str">
        <f>HYPERLINK("https://okcountyrecords.com/detail/roger+mills/2004-002933","OKCountyRecords: 2004-002933")</f>
        <v>OKCountyRecords: 2004-002933</v>
      </c>
    </row>
    <row r="647" spans="1:11" ht="38.25" hidden="1" x14ac:dyDescent="0.25">
      <c r="A647" s="355" t="s">
        <v>3005</v>
      </c>
      <c r="B647" s="355"/>
      <c r="C647" s="355" t="s">
        <v>114</v>
      </c>
      <c r="D647" s="355" t="s">
        <v>3006</v>
      </c>
      <c r="E647" s="356">
        <v>38139</v>
      </c>
      <c r="F647" s="356">
        <v>38145</v>
      </c>
      <c r="G647" s="355" t="s">
        <v>266</v>
      </c>
      <c r="H647" s="355" t="s">
        <v>3007</v>
      </c>
      <c r="I647" s="357" t="s">
        <v>3004</v>
      </c>
      <c r="J647" s="357" t="s">
        <v>996</v>
      </c>
      <c r="K647" s="571" t="str">
        <f>HYPERLINK("https://okcountyrecords.com/detail/roger+mills/2004-002934","OKCountyRecords: 2004-002934")</f>
        <v>OKCountyRecords: 2004-002934</v>
      </c>
    </row>
    <row r="648" spans="1:11" ht="25.5" hidden="1" x14ac:dyDescent="0.25">
      <c r="A648" s="355" t="s">
        <v>3012</v>
      </c>
      <c r="B648" s="355"/>
      <c r="C648" s="355" t="s">
        <v>309</v>
      </c>
      <c r="D648" s="355" t="s">
        <v>3013</v>
      </c>
      <c r="E648" s="356">
        <v>38251</v>
      </c>
      <c r="F648" s="356">
        <v>38272</v>
      </c>
      <c r="G648" s="355" t="s">
        <v>652</v>
      </c>
      <c r="H648" s="355" t="s">
        <v>266</v>
      </c>
      <c r="I648" s="357" t="s">
        <v>488</v>
      </c>
      <c r="J648" s="357" t="s">
        <v>996</v>
      </c>
      <c r="K648" s="571" t="str">
        <f>HYPERLINK("https://okcountyrecords.com/detail/roger+mills/2004-005686","OKCountyRecords: 2004-005686")</f>
        <v>OKCountyRecords: 2004-005686</v>
      </c>
    </row>
    <row r="649" spans="1:11" ht="25.5" hidden="1" x14ac:dyDescent="0.25">
      <c r="A649" s="355" t="s">
        <v>3014</v>
      </c>
      <c r="B649" s="355"/>
      <c r="C649" s="355" t="s">
        <v>309</v>
      </c>
      <c r="D649" s="355" t="s">
        <v>3015</v>
      </c>
      <c r="E649" s="356">
        <v>38251</v>
      </c>
      <c r="F649" s="356">
        <v>38272</v>
      </c>
      <c r="G649" s="355" t="s">
        <v>654</v>
      </c>
      <c r="H649" s="355" t="s">
        <v>266</v>
      </c>
      <c r="I649" s="357" t="s">
        <v>488</v>
      </c>
      <c r="J649" s="357" t="s">
        <v>996</v>
      </c>
      <c r="K649" s="571" t="str">
        <f>HYPERLINK("https://okcountyrecords.com/detail/roger+mills/2004-005687","OKCountyRecords: 2004-005687")</f>
        <v>OKCountyRecords: 2004-005687</v>
      </c>
    </row>
    <row r="650" spans="1:11" ht="25.5" hidden="1" x14ac:dyDescent="0.25">
      <c r="A650" s="355" t="s">
        <v>3016</v>
      </c>
      <c r="B650" s="355"/>
      <c r="C650" s="355" t="s">
        <v>309</v>
      </c>
      <c r="D650" s="355" t="s">
        <v>3017</v>
      </c>
      <c r="E650" s="356">
        <v>38251</v>
      </c>
      <c r="F650" s="356">
        <v>38272</v>
      </c>
      <c r="G650" s="355" t="s">
        <v>656</v>
      </c>
      <c r="H650" s="355" t="s">
        <v>266</v>
      </c>
      <c r="I650" s="357" t="s">
        <v>657</v>
      </c>
      <c r="J650" s="357" t="s">
        <v>996</v>
      </c>
      <c r="K650" s="426" t="str">
        <f>HYPERLINK("https://okcountyrecords.com/detail/roger+mills/2004-005689","OKCountyRecords: 2004-005689")</f>
        <v>OKCountyRecords: 2004-005689</v>
      </c>
    </row>
    <row r="651" spans="1:11" x14ac:dyDescent="0.25">
      <c r="A651" s="355" t="s">
        <v>3020</v>
      </c>
      <c r="B651" s="355"/>
      <c r="C651" s="355" t="s">
        <v>1623</v>
      </c>
      <c r="D651" s="355" t="s">
        <v>3021</v>
      </c>
      <c r="E651" s="356">
        <v>38260</v>
      </c>
      <c r="F651" s="356">
        <v>38274</v>
      </c>
      <c r="G651" s="355" t="s">
        <v>3022</v>
      </c>
      <c r="H651" s="355" t="s">
        <v>3023</v>
      </c>
      <c r="I651" s="355" t="s">
        <v>561</v>
      </c>
      <c r="J651" s="355" t="s">
        <v>1625</v>
      </c>
      <c r="K651" s="426" t="str">
        <f>HYPERLINK("https://okcountyrecords.com/detail/roger+mills/2004-005738","OKCountyRecords: 2004-005738")</f>
        <v>OKCountyRecords: 2004-005738</v>
      </c>
    </row>
    <row r="652" spans="1:11" ht="25.5" hidden="1" x14ac:dyDescent="0.25">
      <c r="A652" s="355" t="s">
        <v>3018</v>
      </c>
      <c r="B652" s="355"/>
      <c r="C652" s="355" t="s">
        <v>114</v>
      </c>
      <c r="D652" s="355" t="s">
        <v>3019</v>
      </c>
      <c r="E652" s="356">
        <v>38266</v>
      </c>
      <c r="F652" s="356">
        <v>38272</v>
      </c>
      <c r="G652" s="355" t="s">
        <v>266</v>
      </c>
      <c r="H652" s="355" t="s">
        <v>407</v>
      </c>
      <c r="I652" s="357" t="s">
        <v>488</v>
      </c>
      <c r="J652" s="357" t="s">
        <v>996</v>
      </c>
      <c r="K652" s="426" t="str">
        <f>HYPERLINK("https://okcountyrecords.com/detail/roger+mills/2004-005692","OKCountyRecords: 2004-005692")</f>
        <v>OKCountyRecords: 2004-005692</v>
      </c>
    </row>
    <row r="653" spans="1:11" x14ac:dyDescent="0.25">
      <c r="A653" s="355" t="s">
        <v>3024</v>
      </c>
      <c r="B653" s="355"/>
      <c r="C653" s="355" t="s">
        <v>1623</v>
      </c>
      <c r="D653" s="355" t="s">
        <v>3025</v>
      </c>
      <c r="E653" s="356">
        <v>38267</v>
      </c>
      <c r="F653" s="356">
        <v>38274</v>
      </c>
      <c r="G653" s="355" t="s">
        <v>3022</v>
      </c>
      <c r="H653" s="355" t="s">
        <v>3023</v>
      </c>
      <c r="I653" s="355" t="s">
        <v>561</v>
      </c>
      <c r="J653" s="355" t="s">
        <v>1625</v>
      </c>
      <c r="K653" s="426" t="str">
        <f>HYPERLINK("https://okcountyrecords.com/detail/roger+mills/2004-005739","OKCountyRecords: 2004-005739")</f>
        <v>OKCountyRecords: 2004-005739</v>
      </c>
    </row>
    <row r="654" spans="1:11" x14ac:dyDescent="0.25">
      <c r="A654" s="355" t="s">
        <v>3026</v>
      </c>
      <c r="B654" s="355"/>
      <c r="C654" s="355" t="s">
        <v>1623</v>
      </c>
      <c r="D654" s="355" t="s">
        <v>3027</v>
      </c>
      <c r="E654" s="356">
        <v>38275</v>
      </c>
      <c r="F654" s="356">
        <v>38281</v>
      </c>
      <c r="G654" s="355" t="s">
        <v>3028</v>
      </c>
      <c r="H654" s="355" t="s">
        <v>3029</v>
      </c>
      <c r="I654" s="355" t="s">
        <v>2515</v>
      </c>
      <c r="J654" s="355" t="s">
        <v>1625</v>
      </c>
      <c r="K654" s="426" t="str">
        <f>HYPERLINK("https://okcountyrecords.com/detail/roger+mills/2004-005901","OKCountyRecords: 2004-005901")</f>
        <v>OKCountyRecords: 2004-005901</v>
      </c>
    </row>
    <row r="655" spans="1:11" x14ac:dyDescent="0.25">
      <c r="A655" s="355" t="s">
        <v>3353</v>
      </c>
      <c r="B655" s="355"/>
      <c r="C655" s="355" t="s">
        <v>1623</v>
      </c>
      <c r="D655" s="355" t="s">
        <v>3354</v>
      </c>
      <c r="E655" s="356">
        <v>38286</v>
      </c>
      <c r="F655" s="356">
        <v>39748</v>
      </c>
      <c r="G655" s="355" t="s">
        <v>3355</v>
      </c>
      <c r="H655" s="355" t="s">
        <v>611</v>
      </c>
      <c r="I655" s="355" t="s">
        <v>3356</v>
      </c>
      <c r="J655" s="355" t="s">
        <v>1625</v>
      </c>
      <c r="K655" s="426" t="str">
        <f>HYPERLINK("https://okcountyrecords.com/detail/roger+mills/2008-006536","OKCountyRecords: 2008-006536")</f>
        <v>OKCountyRecords: 2008-006536</v>
      </c>
    </row>
    <row r="656" spans="1:11" x14ac:dyDescent="0.25">
      <c r="A656" s="355" t="s">
        <v>3030</v>
      </c>
      <c r="B656" s="355"/>
      <c r="C656" s="355" t="s">
        <v>1623</v>
      </c>
      <c r="D656" s="355" t="s">
        <v>3031</v>
      </c>
      <c r="E656" s="356">
        <v>38292</v>
      </c>
      <c r="F656" s="356">
        <v>38308</v>
      </c>
      <c r="G656" s="355" t="s">
        <v>3032</v>
      </c>
      <c r="H656" s="355" t="s">
        <v>944</v>
      </c>
      <c r="I656" s="355" t="s">
        <v>3033</v>
      </c>
      <c r="J656" s="355" t="s">
        <v>1625</v>
      </c>
      <c r="K656" s="426" t="str">
        <f>HYPERLINK("https://okcountyrecords.com/detail/roger+mills/2004-006577","OKCountyRecords: 2004-006577")</f>
        <v>OKCountyRecords: 2004-006577</v>
      </c>
    </row>
    <row r="657" spans="1:11" x14ac:dyDescent="0.25">
      <c r="A657" s="355" t="s">
        <v>3038</v>
      </c>
      <c r="B657" s="355"/>
      <c r="C657" s="355" t="s">
        <v>969</v>
      </c>
      <c r="D657" s="355" t="s">
        <v>3039</v>
      </c>
      <c r="E657" s="356">
        <v>38338</v>
      </c>
      <c r="F657" s="356">
        <v>38376</v>
      </c>
      <c r="G657" s="355" t="s">
        <v>3040</v>
      </c>
      <c r="H657" s="355" t="s">
        <v>3041</v>
      </c>
      <c r="I657" s="355" t="s">
        <v>3042</v>
      </c>
      <c r="J657" s="355" t="s">
        <v>985</v>
      </c>
      <c r="K657" s="426" t="str">
        <f>HYPERLINK("https://okcountyrecords.com/detail/roger+mills/2005-000347","OKCountyRecords: 2005-000347")</f>
        <v>OKCountyRecords: 2005-000347</v>
      </c>
    </row>
    <row r="658" spans="1:11" x14ac:dyDescent="0.25">
      <c r="A658" s="355" t="s">
        <v>3034</v>
      </c>
      <c r="B658" s="355"/>
      <c r="C658" s="355" t="s">
        <v>1623</v>
      </c>
      <c r="D658" s="355" t="s">
        <v>3035</v>
      </c>
      <c r="E658" s="356">
        <v>38362</v>
      </c>
      <c r="F658" s="356">
        <v>38365</v>
      </c>
      <c r="G658" s="355" t="s">
        <v>3036</v>
      </c>
      <c r="H658" s="355" t="s">
        <v>3037</v>
      </c>
      <c r="I658" s="355" t="s">
        <v>2515</v>
      </c>
      <c r="J658" s="355" t="s">
        <v>1625</v>
      </c>
      <c r="K658" s="426" t="str">
        <f>HYPERLINK("https://okcountyrecords.com/detail/roger+mills/2005-000158","OKCountyRecords: 2005-000158")</f>
        <v>OKCountyRecords: 2005-000158</v>
      </c>
    </row>
    <row r="659" spans="1:11" ht="25.5" hidden="1" x14ac:dyDescent="0.25">
      <c r="A659" s="355" t="s">
        <v>3043</v>
      </c>
      <c r="B659" s="355"/>
      <c r="C659" s="355" t="s">
        <v>309</v>
      </c>
      <c r="D659" s="355" t="s">
        <v>3044</v>
      </c>
      <c r="E659" s="356">
        <v>38406</v>
      </c>
      <c r="F659" s="356">
        <v>38420</v>
      </c>
      <c r="G659" s="355" t="s">
        <v>490</v>
      </c>
      <c r="H659" s="355" t="s">
        <v>659</v>
      </c>
      <c r="I659" s="357" t="s">
        <v>488</v>
      </c>
      <c r="J659" s="357" t="s">
        <v>996</v>
      </c>
      <c r="K659" s="426" t="str">
        <f>HYPERLINK("https://okcountyrecords.com/detail/roger+mills/2005-001365","OKCountyRecords: 2005-001365")</f>
        <v>OKCountyRecords: 2005-001365</v>
      </c>
    </row>
    <row r="660" spans="1:11" ht="25.5" hidden="1" x14ac:dyDescent="0.25">
      <c r="A660" s="355" t="s">
        <v>3047</v>
      </c>
      <c r="B660" s="355"/>
      <c r="C660" s="355" t="s">
        <v>309</v>
      </c>
      <c r="D660" s="355" t="s">
        <v>3048</v>
      </c>
      <c r="E660" s="356">
        <v>38407</v>
      </c>
      <c r="F660" s="356">
        <v>38432</v>
      </c>
      <c r="G660" s="355" t="s">
        <v>495</v>
      </c>
      <c r="H660" s="355" t="s">
        <v>659</v>
      </c>
      <c r="I660" s="357" t="s">
        <v>488</v>
      </c>
      <c r="J660" s="357" t="s">
        <v>996</v>
      </c>
      <c r="K660" s="426" t="str">
        <f>HYPERLINK("https://okcountyrecords.com/detail/roger+mills/2005-001688","OKCountyRecords: 2005-001688")</f>
        <v>OKCountyRecords: 2005-001688</v>
      </c>
    </row>
    <row r="661" spans="1:11" ht="25.5" hidden="1" x14ac:dyDescent="0.25">
      <c r="A661" s="355" t="s">
        <v>3045</v>
      </c>
      <c r="B661" s="355"/>
      <c r="C661" s="355" t="s">
        <v>309</v>
      </c>
      <c r="D661" s="355" t="s">
        <v>3046</v>
      </c>
      <c r="E661" s="356">
        <v>38411</v>
      </c>
      <c r="F661" s="356">
        <v>38426</v>
      </c>
      <c r="G661" s="355" t="s">
        <v>499</v>
      </c>
      <c r="H661" s="355" t="s">
        <v>659</v>
      </c>
      <c r="I661" s="357" t="s">
        <v>488</v>
      </c>
      <c r="J661" s="357" t="s">
        <v>996</v>
      </c>
      <c r="K661" s="426" t="str">
        <f>HYPERLINK("https://okcountyrecords.com/detail/roger+mills/2005-001515","OKCountyRecords: 2005-001515")</f>
        <v>OKCountyRecords: 2005-001515</v>
      </c>
    </row>
    <row r="662" spans="1:11" ht="25.5" hidden="1" x14ac:dyDescent="0.25">
      <c r="A662" s="355" t="s">
        <v>3049</v>
      </c>
      <c r="B662" s="355"/>
      <c r="C662" s="355" t="s">
        <v>309</v>
      </c>
      <c r="D662" s="355" t="s">
        <v>3050</v>
      </c>
      <c r="E662" s="356">
        <v>38411</v>
      </c>
      <c r="F662" s="356">
        <v>38432</v>
      </c>
      <c r="G662" s="355" t="s">
        <v>527</v>
      </c>
      <c r="H662" s="355" t="s">
        <v>659</v>
      </c>
      <c r="I662" s="357" t="s">
        <v>488</v>
      </c>
      <c r="J662" s="357" t="s">
        <v>996</v>
      </c>
      <c r="K662" s="426" t="str">
        <f>HYPERLINK("https://okcountyrecords.com/detail/roger+mills/2005-001690","OKCountyRecords: 2005-001690")</f>
        <v>OKCountyRecords: 2005-001690</v>
      </c>
    </row>
    <row r="663" spans="1:11" hidden="1" x14ac:dyDescent="0.25">
      <c r="A663" s="355" t="s">
        <v>3061</v>
      </c>
      <c r="B663" s="355"/>
      <c r="C663" s="355" t="s">
        <v>309</v>
      </c>
      <c r="D663" s="355" t="s">
        <v>3062</v>
      </c>
      <c r="E663" s="356">
        <v>38419</v>
      </c>
      <c r="F663" s="356">
        <v>38457</v>
      </c>
      <c r="G663" s="355" t="s">
        <v>3063</v>
      </c>
      <c r="H663" s="355" t="s">
        <v>487</v>
      </c>
      <c r="I663" s="357" t="s">
        <v>505</v>
      </c>
      <c r="J663" s="357" t="s">
        <v>996</v>
      </c>
      <c r="K663" s="426" t="str">
        <f>HYPERLINK("https://okcountyrecords.com/detail/roger+mills/2005-002326","OKCountyRecords: 2005-002326")</f>
        <v>OKCountyRecords: 2005-002326</v>
      </c>
    </row>
    <row r="664" spans="1:11" hidden="1" x14ac:dyDescent="0.25">
      <c r="A664" s="355" t="s">
        <v>3066</v>
      </c>
      <c r="B664" s="355"/>
      <c r="C664" s="355" t="s">
        <v>309</v>
      </c>
      <c r="D664" s="355" t="s">
        <v>3067</v>
      </c>
      <c r="E664" s="356">
        <v>38419</v>
      </c>
      <c r="F664" s="356">
        <v>38457</v>
      </c>
      <c r="G664" s="355" t="s">
        <v>2525</v>
      </c>
      <c r="H664" s="355" t="s">
        <v>487</v>
      </c>
      <c r="I664" s="357" t="s">
        <v>505</v>
      </c>
      <c r="J664" s="357" t="s">
        <v>996</v>
      </c>
      <c r="K664" s="426" t="str">
        <f>HYPERLINK("https://okcountyrecords.com/detail/roger+mills/2005-002328","OKCountyRecords: 2005-002328")</f>
        <v>OKCountyRecords: 2005-002328</v>
      </c>
    </row>
    <row r="665" spans="1:11" ht="38.25" hidden="1" x14ac:dyDescent="0.25">
      <c r="A665" s="355" t="s">
        <v>3064</v>
      </c>
      <c r="B665" s="355"/>
      <c r="C665" s="355" t="s">
        <v>309</v>
      </c>
      <c r="D665" s="355" t="s">
        <v>3065</v>
      </c>
      <c r="E665" s="356">
        <v>38420</v>
      </c>
      <c r="F665" s="356">
        <v>38457</v>
      </c>
      <c r="G665" s="355" t="s">
        <v>515</v>
      </c>
      <c r="H665" s="355" t="s">
        <v>487</v>
      </c>
      <c r="I665" s="357" t="s">
        <v>548</v>
      </c>
      <c r="J665" s="357" t="s">
        <v>996</v>
      </c>
      <c r="K665" s="426" t="str">
        <f>HYPERLINK("https://okcountyrecords.com/detail/roger+mills/2005-002327","OKCountyRecords: 2005-002327")</f>
        <v>OKCountyRecords: 2005-002327</v>
      </c>
    </row>
    <row r="666" spans="1:11" x14ac:dyDescent="0.25">
      <c r="A666" s="355" t="s">
        <v>3051</v>
      </c>
      <c r="B666" s="355"/>
      <c r="C666" s="355" t="s">
        <v>1107</v>
      </c>
      <c r="D666" s="355" t="s">
        <v>3052</v>
      </c>
      <c r="E666" s="356">
        <v>38427</v>
      </c>
      <c r="F666" s="356">
        <v>38440</v>
      </c>
      <c r="G666" s="355" t="s">
        <v>2227</v>
      </c>
      <c r="H666" s="355" t="s">
        <v>1110</v>
      </c>
      <c r="I666" s="355" t="s">
        <v>2534</v>
      </c>
      <c r="J666" s="355" t="s">
        <v>1095</v>
      </c>
      <c r="K666" s="426" t="str">
        <f>HYPERLINK("https://okcountyrecords.com/detail/roger+mills/2005-001839","OKCountyRecords: 2005-001839")</f>
        <v>OKCountyRecords: 2005-001839</v>
      </c>
    </row>
    <row r="667" spans="1:11" ht="63.75" hidden="1" x14ac:dyDescent="0.25">
      <c r="A667" s="355" t="s">
        <v>3071</v>
      </c>
      <c r="B667" s="355"/>
      <c r="C667" s="355" t="s">
        <v>309</v>
      </c>
      <c r="D667" s="355" t="s">
        <v>3072</v>
      </c>
      <c r="E667" s="356">
        <v>38435</v>
      </c>
      <c r="F667" s="356">
        <v>38464</v>
      </c>
      <c r="G667" s="357" t="s">
        <v>3073</v>
      </c>
      <c r="H667" s="355" t="s">
        <v>659</v>
      </c>
      <c r="I667" s="357" t="s">
        <v>502</v>
      </c>
      <c r="J667" s="357" t="s">
        <v>996</v>
      </c>
      <c r="K667" s="426" t="str">
        <f>HYPERLINK("https://okcountyrecords.com/detail/roger+mills/2005-002646","OKCountyRecords: 2005-002646")</f>
        <v>OKCountyRecords: 2005-002646</v>
      </c>
    </row>
    <row r="668" spans="1:11" x14ac:dyDescent="0.25">
      <c r="A668" s="355"/>
      <c r="B668" s="355">
        <v>26</v>
      </c>
      <c r="C668" s="355" t="s">
        <v>309</v>
      </c>
      <c r="D668" s="359" t="s">
        <v>273</v>
      </c>
      <c r="E668" s="356">
        <v>38440</v>
      </c>
      <c r="F668" s="356">
        <v>38504</v>
      </c>
      <c r="G668" s="355" t="s">
        <v>3086</v>
      </c>
      <c r="H668" s="355" t="s">
        <v>2666</v>
      </c>
      <c r="I668" s="355" t="s">
        <v>505</v>
      </c>
      <c r="J668" s="355" t="s">
        <v>2640</v>
      </c>
      <c r="K668" s="426" t="str">
        <f>HYPERLINK("https://okcountyrecords.com/search/roger%20mills","OKCountyRecords search: Oil and Gas Lease 38504")</f>
        <v>OKCountyRecords search: Oil and Gas Lease 38504</v>
      </c>
    </row>
    <row r="669" spans="1:11" x14ac:dyDescent="0.25">
      <c r="A669" s="355" t="s">
        <v>3087</v>
      </c>
      <c r="B669" s="355">
        <v>26</v>
      </c>
      <c r="C669" s="355" t="s">
        <v>309</v>
      </c>
      <c r="D669" s="355" t="s">
        <v>273</v>
      </c>
      <c r="E669" s="356">
        <v>38440</v>
      </c>
      <c r="F669" s="356">
        <v>38504</v>
      </c>
      <c r="G669" s="355" t="s">
        <v>3086</v>
      </c>
      <c r="H669" s="355" t="s">
        <v>2666</v>
      </c>
      <c r="I669" s="355" t="s">
        <v>505</v>
      </c>
      <c r="J669" s="355" t="s">
        <v>3088</v>
      </c>
      <c r="K669" s="426" t="str">
        <f>HYPERLINK("https://okcountyrecords.com/detail/roger+mills/2005-003756","OKCountyRecords: 2005-003756")</f>
        <v>OKCountyRecords: 2005-003756</v>
      </c>
    </row>
    <row r="670" spans="1:11" hidden="1" x14ac:dyDescent="0.25">
      <c r="A670" s="355" t="s">
        <v>3089</v>
      </c>
      <c r="B670" s="355"/>
      <c r="C670" s="355" t="s">
        <v>615</v>
      </c>
      <c r="D670" s="355" t="s">
        <v>3090</v>
      </c>
      <c r="E670" s="356">
        <v>38441</v>
      </c>
      <c r="F670" s="356">
        <v>38511</v>
      </c>
      <c r="G670" s="355" t="s">
        <v>671</v>
      </c>
      <c r="H670" s="355" t="s">
        <v>487</v>
      </c>
      <c r="I670" s="357" t="s">
        <v>505</v>
      </c>
      <c r="J670" s="357" t="s">
        <v>996</v>
      </c>
      <c r="K670" s="426" t="str">
        <f>HYPERLINK("https://okcountyrecords.com/detail/roger+mills/2005-003939","OKCountyRecords: 2005-003939")</f>
        <v>OKCountyRecords: 2005-003939</v>
      </c>
    </row>
    <row r="671" spans="1:11" ht="25.5" hidden="1" x14ac:dyDescent="0.25">
      <c r="A671" s="355" t="s">
        <v>3091</v>
      </c>
      <c r="B671" s="355"/>
      <c r="C671" s="355" t="s">
        <v>615</v>
      </c>
      <c r="D671" s="355" t="s">
        <v>3092</v>
      </c>
      <c r="E671" s="356">
        <v>38441</v>
      </c>
      <c r="F671" s="356">
        <v>38511</v>
      </c>
      <c r="G671" s="355" t="s">
        <v>673</v>
      </c>
      <c r="H671" s="355" t="s">
        <v>487</v>
      </c>
      <c r="I671" s="357" t="s">
        <v>505</v>
      </c>
      <c r="J671" s="428" t="s">
        <v>3093</v>
      </c>
      <c r="K671" s="426" t="str">
        <f>HYPERLINK("https://okcountyrecords.com/detail/roger+mills/2005-003940","OKCountyRecords: 2005-003940")</f>
        <v>OKCountyRecords: 2005-003940</v>
      </c>
    </row>
    <row r="672" spans="1:11" x14ac:dyDescent="0.25">
      <c r="A672" s="355" t="s">
        <v>3053</v>
      </c>
      <c r="B672" s="355"/>
      <c r="C672" s="355" t="s">
        <v>1623</v>
      </c>
      <c r="D672" s="355" t="s">
        <v>3054</v>
      </c>
      <c r="E672" s="356">
        <v>38446</v>
      </c>
      <c r="F672" s="356">
        <v>38446</v>
      </c>
      <c r="G672" s="355" t="s">
        <v>3055</v>
      </c>
      <c r="H672" s="355" t="s">
        <v>3056</v>
      </c>
      <c r="I672" s="355" t="s">
        <v>2543</v>
      </c>
      <c r="J672" s="355" t="s">
        <v>1625</v>
      </c>
      <c r="K672" s="426" t="str">
        <f>HYPERLINK("https://okcountyrecords.com/detail/roger+mills/2005-001909","OKCountyRecords: 2005-001909")</f>
        <v>OKCountyRecords: 2005-001909</v>
      </c>
    </row>
    <row r="673" spans="1:11" ht="25.5" hidden="1" x14ac:dyDescent="0.25">
      <c r="A673" s="355" t="s">
        <v>3068</v>
      </c>
      <c r="B673" s="355"/>
      <c r="C673" s="355" t="s">
        <v>309</v>
      </c>
      <c r="D673" s="355" t="s">
        <v>3069</v>
      </c>
      <c r="E673" s="356">
        <v>38447</v>
      </c>
      <c r="F673" s="356">
        <v>38462</v>
      </c>
      <c r="G673" s="357" t="s">
        <v>675</v>
      </c>
      <c r="H673" s="355" t="s">
        <v>3070</v>
      </c>
      <c r="I673" s="357" t="s">
        <v>584</v>
      </c>
      <c r="J673" s="357" t="s">
        <v>996</v>
      </c>
      <c r="K673" s="426" t="str">
        <f>HYPERLINK("https://okcountyrecords.com/detail/roger+mills/2005-002552","OKCountyRecords: 2005-002552")</f>
        <v>OKCountyRecords: 2005-002552</v>
      </c>
    </row>
    <row r="674" spans="1:11" x14ac:dyDescent="0.25">
      <c r="A674" s="355" t="s">
        <v>3057</v>
      </c>
      <c r="B674" s="355"/>
      <c r="C674" s="355" t="s">
        <v>2619</v>
      </c>
      <c r="D674" s="355" t="s">
        <v>3058</v>
      </c>
      <c r="E674" s="356">
        <v>38455</v>
      </c>
      <c r="F674" s="356">
        <v>38455</v>
      </c>
      <c r="G674" s="355" t="s">
        <v>3059</v>
      </c>
      <c r="H674" s="355" t="s">
        <v>1110</v>
      </c>
      <c r="I674" s="355" t="s">
        <v>3060</v>
      </c>
      <c r="J674" s="355" t="s">
        <v>985</v>
      </c>
      <c r="K674" s="426" t="str">
        <f>HYPERLINK("https://okcountyrecords.com/detail/roger+mills/2005-002196","OKCountyRecords: 2005-002196")</f>
        <v>OKCountyRecords: 2005-002196</v>
      </c>
    </row>
    <row r="675" spans="1:11" hidden="1" x14ac:dyDescent="0.25">
      <c r="A675" s="355" t="s">
        <v>3074</v>
      </c>
      <c r="B675" s="355"/>
      <c r="C675" s="355" t="s">
        <v>309</v>
      </c>
      <c r="D675" s="355" t="s">
        <v>3075</v>
      </c>
      <c r="E675" s="356">
        <v>38457</v>
      </c>
      <c r="F675" s="356">
        <v>38474</v>
      </c>
      <c r="G675" s="355" t="s">
        <v>944</v>
      </c>
      <c r="H675" s="355" t="s">
        <v>3076</v>
      </c>
      <c r="I675" s="357" t="s">
        <v>505</v>
      </c>
      <c r="J675" s="357" t="s">
        <v>996</v>
      </c>
      <c r="K675" s="426" t="str">
        <f>HYPERLINK("https://okcountyrecords.com/detail/roger+mills/2005-002831","OKCountyRecords: 2005-002831")</f>
        <v>OKCountyRecords: 2005-002831</v>
      </c>
    </row>
    <row r="676" spans="1:11" x14ac:dyDescent="0.25">
      <c r="A676" s="355"/>
      <c r="B676" s="355">
        <v>27</v>
      </c>
      <c r="C676" s="355" t="s">
        <v>309</v>
      </c>
      <c r="D676" s="359" t="s">
        <v>275</v>
      </c>
      <c r="E676" s="356">
        <v>38468</v>
      </c>
      <c r="F676" s="356">
        <v>38551</v>
      </c>
      <c r="G676" s="355" t="s">
        <v>3105</v>
      </c>
      <c r="H676" s="355" t="s">
        <v>2835</v>
      </c>
      <c r="I676" s="355" t="s">
        <v>488</v>
      </c>
      <c r="J676" s="355" t="s">
        <v>2640</v>
      </c>
      <c r="K676" s="426" t="str">
        <f>HYPERLINK("https://okcountyrecords.com/search/roger%20mills","OKCountyRecords search: Oil and Gas Lease 38551")</f>
        <v>OKCountyRecords search: Oil and Gas Lease 38551</v>
      </c>
    </row>
    <row r="677" spans="1:11" x14ac:dyDescent="0.25">
      <c r="A677" s="355" t="s">
        <v>3106</v>
      </c>
      <c r="B677" s="355">
        <v>27</v>
      </c>
      <c r="C677" s="355" t="s">
        <v>309</v>
      </c>
      <c r="D677" s="355" t="s">
        <v>275</v>
      </c>
      <c r="E677" s="356">
        <v>38468</v>
      </c>
      <c r="F677" s="356">
        <v>38551</v>
      </c>
      <c r="G677" s="355" t="s">
        <v>3105</v>
      </c>
      <c r="H677" s="355" t="s">
        <v>2835</v>
      </c>
      <c r="I677" s="355" t="s">
        <v>488</v>
      </c>
      <c r="J677" s="355" t="s">
        <v>3107</v>
      </c>
      <c r="K677" s="426" t="str">
        <f>HYPERLINK("https://okcountyrecords.com/detail/roger+mills/2005-004816","OKCountyRecords: 2005-004816")</f>
        <v>OKCountyRecords: 2005-004816</v>
      </c>
    </row>
    <row r="678" spans="1:11" ht="25.5" hidden="1" x14ac:dyDescent="0.25">
      <c r="A678" s="355" t="s">
        <v>3108</v>
      </c>
      <c r="B678" s="355"/>
      <c r="C678" s="355" t="s">
        <v>309</v>
      </c>
      <c r="D678" s="355" t="s">
        <v>3109</v>
      </c>
      <c r="E678" s="356">
        <v>38468</v>
      </c>
      <c r="F678" s="356">
        <v>38551</v>
      </c>
      <c r="G678" s="355" t="s">
        <v>513</v>
      </c>
      <c r="H678" s="355" t="s">
        <v>3070</v>
      </c>
      <c r="I678" s="357" t="s">
        <v>488</v>
      </c>
      <c r="J678" s="357" t="s">
        <v>996</v>
      </c>
      <c r="K678" s="426" t="str">
        <f>HYPERLINK("https://okcountyrecords.com/detail/roger+mills/2005-004817","OKCountyRecords: 2005-004817")</f>
        <v>OKCountyRecords: 2005-004817</v>
      </c>
    </row>
    <row r="679" spans="1:11" ht="25.5" hidden="1" x14ac:dyDescent="0.25">
      <c r="A679" s="355" t="s">
        <v>3110</v>
      </c>
      <c r="B679" s="355"/>
      <c r="C679" s="355" t="s">
        <v>309</v>
      </c>
      <c r="D679" s="355" t="s">
        <v>3111</v>
      </c>
      <c r="E679" s="356">
        <v>38468</v>
      </c>
      <c r="F679" s="356">
        <v>38551</v>
      </c>
      <c r="G679" s="357" t="s">
        <v>3112</v>
      </c>
      <c r="H679" s="355" t="s">
        <v>3070</v>
      </c>
      <c r="I679" s="357" t="s">
        <v>686</v>
      </c>
      <c r="J679" s="357" t="s">
        <v>996</v>
      </c>
      <c r="K679" s="426" t="str">
        <f>HYPERLINK("https://okcountyrecords.com/detail/roger+mills/2005-004818","OKCountyRecords: 2005-004818")</f>
        <v>OKCountyRecords: 2005-004818</v>
      </c>
    </row>
    <row r="680" spans="1:11" ht="25.5" hidden="1" x14ac:dyDescent="0.25">
      <c r="A680" s="355" t="s">
        <v>3113</v>
      </c>
      <c r="B680" s="355"/>
      <c r="C680" s="355" t="s">
        <v>309</v>
      </c>
      <c r="D680" s="355" t="s">
        <v>3114</v>
      </c>
      <c r="E680" s="356">
        <v>38468</v>
      </c>
      <c r="F680" s="356">
        <v>38552</v>
      </c>
      <c r="G680" s="355" t="s">
        <v>2586</v>
      </c>
      <c r="H680" s="355" t="s">
        <v>3115</v>
      </c>
      <c r="I680" s="357" t="s">
        <v>488</v>
      </c>
      <c r="J680" s="357" t="s">
        <v>996</v>
      </c>
      <c r="K680" s="426" t="str">
        <f>HYPERLINK("https://okcountyrecords.com/detail/roger+mills/2005-004863","OKCountyRecords: 2005-004863")</f>
        <v>OKCountyRecords: 2005-004863</v>
      </c>
    </row>
    <row r="681" spans="1:11" x14ac:dyDescent="0.25">
      <c r="A681" s="355" t="s">
        <v>3101</v>
      </c>
      <c r="B681" s="355"/>
      <c r="C681" s="355" t="s">
        <v>1623</v>
      </c>
      <c r="D681" s="355" t="s">
        <v>3102</v>
      </c>
      <c r="E681" s="356">
        <v>38473</v>
      </c>
      <c r="F681" s="356">
        <v>38548</v>
      </c>
      <c r="G681" s="355" t="s">
        <v>944</v>
      </c>
      <c r="H681" s="355" t="s">
        <v>3103</v>
      </c>
      <c r="I681" s="355" t="s">
        <v>3104</v>
      </c>
      <c r="J681" s="355" t="s">
        <v>1625</v>
      </c>
      <c r="K681" s="426" t="str">
        <f>HYPERLINK("https://okcountyrecords.com/detail/roger+mills/2005-004793","OKCountyRecords: 2005-004793")</f>
        <v>OKCountyRecords: 2005-004793</v>
      </c>
    </row>
    <row r="682" spans="1:11" x14ac:dyDescent="0.25">
      <c r="A682" s="355" t="s">
        <v>3126</v>
      </c>
      <c r="B682" s="355"/>
      <c r="C682" s="355" t="s">
        <v>1623</v>
      </c>
      <c r="D682" s="355" t="s">
        <v>3127</v>
      </c>
      <c r="E682" s="356">
        <v>38473</v>
      </c>
      <c r="F682" s="356">
        <v>38573</v>
      </c>
      <c r="G682" s="355" t="s">
        <v>944</v>
      </c>
      <c r="H682" s="355" t="s">
        <v>3128</v>
      </c>
      <c r="I682" s="355" t="s">
        <v>505</v>
      </c>
      <c r="J682" s="355" t="s">
        <v>1625</v>
      </c>
      <c r="K682" s="426" t="str">
        <f>HYPERLINK("https://okcountyrecords.com/detail/roger+mills/2005-005251","OKCountyRecords: 2005-005251")</f>
        <v>OKCountyRecords: 2005-005251</v>
      </c>
    </row>
    <row r="683" spans="1:11" x14ac:dyDescent="0.25">
      <c r="A683" s="355"/>
      <c r="B683" s="355">
        <v>28</v>
      </c>
      <c r="C683" s="355" t="s">
        <v>309</v>
      </c>
      <c r="D683" s="359" t="s">
        <v>277</v>
      </c>
      <c r="E683" s="356">
        <v>38482</v>
      </c>
      <c r="F683" s="356">
        <v>38541</v>
      </c>
      <c r="G683" s="355" t="s">
        <v>3098</v>
      </c>
      <c r="H683" s="355" t="s">
        <v>2666</v>
      </c>
      <c r="I683" s="355" t="s">
        <v>488</v>
      </c>
      <c r="J683" s="355" t="s">
        <v>2640</v>
      </c>
      <c r="K683" s="426" t="str">
        <f>HYPERLINK("https://okcountyrecords.com/search/roger%20mills","OKCountyRecords search: Oil and Gas Lease 38541")</f>
        <v>OKCountyRecords search: Oil and Gas Lease 38541</v>
      </c>
    </row>
    <row r="684" spans="1:11" x14ac:dyDescent="0.25">
      <c r="A684" s="355" t="s">
        <v>3099</v>
      </c>
      <c r="B684" s="355">
        <v>28</v>
      </c>
      <c r="C684" s="355" t="s">
        <v>309</v>
      </c>
      <c r="D684" s="355" t="s">
        <v>277</v>
      </c>
      <c r="E684" s="356">
        <v>38482</v>
      </c>
      <c r="F684" s="356">
        <v>38541</v>
      </c>
      <c r="G684" s="355" t="s">
        <v>3098</v>
      </c>
      <c r="H684" s="355" t="s">
        <v>2666</v>
      </c>
      <c r="I684" s="355" t="s">
        <v>488</v>
      </c>
      <c r="J684" s="355" t="s">
        <v>3100</v>
      </c>
      <c r="K684" s="426" t="str">
        <f>HYPERLINK("https://okcountyrecords.com/detail/roger+mills/2005-004681","OKCountyRecords: 2005-004681")</f>
        <v>OKCountyRecords: 2005-004681</v>
      </c>
    </row>
    <row r="685" spans="1:11" ht="25.5" hidden="1" x14ac:dyDescent="0.25">
      <c r="A685" s="355" t="s">
        <v>3116</v>
      </c>
      <c r="B685" s="355"/>
      <c r="C685" s="355" t="s">
        <v>309</v>
      </c>
      <c r="D685" s="355" t="s">
        <v>3117</v>
      </c>
      <c r="E685" s="356">
        <v>38482</v>
      </c>
      <c r="F685" s="356">
        <v>38554</v>
      </c>
      <c r="G685" s="355" t="s">
        <v>692</v>
      </c>
      <c r="H685" s="355" t="s">
        <v>487</v>
      </c>
      <c r="I685" s="357" t="s">
        <v>488</v>
      </c>
      <c r="J685" s="357" t="s">
        <v>996</v>
      </c>
      <c r="K685" s="426" t="str">
        <f>HYPERLINK("https://okcountyrecords.com/detail/roger+mills/2005-004938","OKCountyRecords: 2005-004938")</f>
        <v>OKCountyRecords: 2005-004938</v>
      </c>
    </row>
    <row r="686" spans="1:11" ht="25.5" hidden="1" x14ac:dyDescent="0.25">
      <c r="A686" s="355" t="s">
        <v>3118</v>
      </c>
      <c r="B686" s="355"/>
      <c r="C686" s="355" t="s">
        <v>309</v>
      </c>
      <c r="D686" s="355" t="s">
        <v>3119</v>
      </c>
      <c r="E686" s="356">
        <v>38482</v>
      </c>
      <c r="F686" s="356">
        <v>38554</v>
      </c>
      <c r="G686" s="355" t="s">
        <v>622</v>
      </c>
      <c r="H686" s="355" t="s">
        <v>487</v>
      </c>
      <c r="I686" s="357" t="s">
        <v>488</v>
      </c>
      <c r="J686" s="357" t="s">
        <v>996</v>
      </c>
      <c r="K686" s="426" t="str">
        <f>HYPERLINK("https://okcountyrecords.com/detail/roger+mills/2005-004939","OKCountyRecords: 2005-004939")</f>
        <v>OKCountyRecords: 2005-004939</v>
      </c>
    </row>
    <row r="687" spans="1:11" ht="25.5" hidden="1" x14ac:dyDescent="0.25">
      <c r="A687" s="355" t="s">
        <v>3120</v>
      </c>
      <c r="B687" s="355"/>
      <c r="C687" s="355" t="s">
        <v>309</v>
      </c>
      <c r="D687" s="355" t="s">
        <v>3121</v>
      </c>
      <c r="E687" s="356">
        <v>38482</v>
      </c>
      <c r="F687" s="356">
        <v>38554</v>
      </c>
      <c r="G687" s="355" t="s">
        <v>695</v>
      </c>
      <c r="H687" s="355" t="s">
        <v>487</v>
      </c>
      <c r="I687" s="357" t="s">
        <v>488</v>
      </c>
      <c r="J687" s="357" t="s">
        <v>996</v>
      </c>
      <c r="K687" s="426" t="str">
        <f>HYPERLINK("https://okcountyrecords.com/detail/roger+mills/2005-004940","OKCountyRecords: 2005-004940")</f>
        <v>OKCountyRecords: 2005-004940</v>
      </c>
    </row>
    <row r="688" spans="1:11" ht="25.5" hidden="1" x14ac:dyDescent="0.25">
      <c r="A688" s="355" t="s">
        <v>3122</v>
      </c>
      <c r="B688" s="355"/>
      <c r="C688" s="355" t="s">
        <v>309</v>
      </c>
      <c r="D688" s="355" t="s">
        <v>3123</v>
      </c>
      <c r="E688" s="356">
        <v>38482</v>
      </c>
      <c r="F688" s="356">
        <v>38554</v>
      </c>
      <c r="G688" s="355" t="s">
        <v>626</v>
      </c>
      <c r="H688" s="355" t="s">
        <v>487</v>
      </c>
      <c r="I688" s="357" t="s">
        <v>488</v>
      </c>
      <c r="J688" s="357" t="s">
        <v>996</v>
      </c>
      <c r="K688" s="426" t="str">
        <f>HYPERLINK("https://okcountyrecords.com/detail/roger+mills/2005-004941","OKCountyRecords: 2005-004941")</f>
        <v>OKCountyRecords: 2005-004941</v>
      </c>
    </row>
    <row r="689" spans="1:11" ht="25.5" hidden="1" x14ac:dyDescent="0.25">
      <c r="A689" s="355" t="s">
        <v>3124</v>
      </c>
      <c r="B689" s="355"/>
      <c r="C689" s="355" t="s">
        <v>309</v>
      </c>
      <c r="D689" s="355" t="s">
        <v>3125</v>
      </c>
      <c r="E689" s="356">
        <v>38482</v>
      </c>
      <c r="F689" s="356">
        <v>38555</v>
      </c>
      <c r="G689" s="355" t="s">
        <v>698</v>
      </c>
      <c r="H689" s="355" t="s">
        <v>487</v>
      </c>
      <c r="I689" s="357" t="s">
        <v>488</v>
      </c>
      <c r="J689" s="357" t="s">
        <v>996</v>
      </c>
      <c r="K689" s="426" t="str">
        <f>HYPERLINK("https://okcountyrecords.com/detail/roger+mills/2005-004951","OKCountyRecords: 2005-004951")</f>
        <v>OKCountyRecords: 2005-004951</v>
      </c>
    </row>
    <row r="690" spans="1:11" x14ac:dyDescent="0.25">
      <c r="A690" s="355" t="s">
        <v>3077</v>
      </c>
      <c r="B690" s="355"/>
      <c r="C690" s="355" t="s">
        <v>1623</v>
      </c>
      <c r="D690" s="355" t="s">
        <v>3078</v>
      </c>
      <c r="E690" s="356">
        <v>38483</v>
      </c>
      <c r="F690" s="356">
        <v>38490</v>
      </c>
      <c r="G690" s="355" t="s">
        <v>3079</v>
      </c>
      <c r="H690" s="355" t="s">
        <v>3080</v>
      </c>
      <c r="I690" s="355" t="s">
        <v>2543</v>
      </c>
      <c r="J690" s="355" t="s">
        <v>1625</v>
      </c>
      <c r="K690" s="426" t="str">
        <f>HYPERLINK("https://okcountyrecords.com/detail/roger+mills/2005-003389","OKCountyRecords: 2005-003389")</f>
        <v>OKCountyRecords: 2005-003389</v>
      </c>
    </row>
    <row r="691" spans="1:11" ht="51" hidden="1" x14ac:dyDescent="0.25">
      <c r="A691" s="355" t="s">
        <v>3081</v>
      </c>
      <c r="B691" s="355"/>
      <c r="C691" s="355" t="s">
        <v>3082</v>
      </c>
      <c r="D691" s="355" t="s">
        <v>3083</v>
      </c>
      <c r="E691" s="356">
        <v>38497</v>
      </c>
      <c r="F691" s="356">
        <v>38499</v>
      </c>
      <c r="G691" s="355" t="s">
        <v>659</v>
      </c>
      <c r="H691" s="355" t="s">
        <v>3084</v>
      </c>
      <c r="I691" s="357" t="s">
        <v>3085</v>
      </c>
      <c r="J691" s="357" t="s">
        <v>996</v>
      </c>
      <c r="K691" s="426" t="str">
        <f>HYPERLINK("https://okcountyrecords.com/detail/roger+mills/2005-003691","OKCountyRecords: 2005-003691")</f>
        <v>OKCountyRecords: 2005-003691</v>
      </c>
    </row>
    <row r="692" spans="1:11" x14ac:dyDescent="0.25">
      <c r="A692" s="355" t="s">
        <v>3094</v>
      </c>
      <c r="B692" s="355"/>
      <c r="C692" s="355" t="s">
        <v>1623</v>
      </c>
      <c r="D692" s="355" t="s">
        <v>3095</v>
      </c>
      <c r="E692" s="356">
        <v>38516</v>
      </c>
      <c r="F692" s="356">
        <v>38517</v>
      </c>
      <c r="G692" s="355" t="s">
        <v>3096</v>
      </c>
      <c r="H692" s="355" t="s">
        <v>3097</v>
      </c>
      <c r="I692" s="355" t="s">
        <v>3011</v>
      </c>
      <c r="J692" s="355" t="s">
        <v>1625</v>
      </c>
      <c r="K692" s="426" t="str">
        <f>HYPERLINK("https://okcountyrecords.com/detail/roger+mills/2005-004044","OKCountyRecords: 2005-004044")</f>
        <v>OKCountyRecords: 2005-004044</v>
      </c>
    </row>
    <row r="693" spans="1:11" ht="51" hidden="1" x14ac:dyDescent="0.25">
      <c r="A693" s="355" t="s">
        <v>3129</v>
      </c>
      <c r="B693" s="355"/>
      <c r="C693" s="355" t="s">
        <v>3082</v>
      </c>
      <c r="D693" s="355" t="s">
        <v>3130</v>
      </c>
      <c r="E693" s="356">
        <v>38523</v>
      </c>
      <c r="F693" s="356">
        <v>38579</v>
      </c>
      <c r="G693" s="355" t="s">
        <v>659</v>
      </c>
      <c r="H693" s="355" t="s">
        <v>3131</v>
      </c>
      <c r="I693" s="357" t="s">
        <v>3085</v>
      </c>
      <c r="J693" s="357" t="s">
        <v>996</v>
      </c>
      <c r="K693" s="426" t="str">
        <f>HYPERLINK("https://okcountyrecords.com/detail/roger+mills/2005-005406","OKCountyRecords: 2005-005406")</f>
        <v>OKCountyRecords: 2005-005406</v>
      </c>
    </row>
    <row r="694" spans="1:11" x14ac:dyDescent="0.25">
      <c r="A694" s="355" t="s">
        <v>3148</v>
      </c>
      <c r="B694" s="355"/>
      <c r="C694" s="355" t="s">
        <v>1623</v>
      </c>
      <c r="D694" s="355" t="s">
        <v>3149</v>
      </c>
      <c r="E694" s="356">
        <v>38608</v>
      </c>
      <c r="F694" s="356">
        <v>38658</v>
      </c>
      <c r="G694" s="355" t="s">
        <v>626</v>
      </c>
      <c r="H694" s="355" t="s">
        <v>3150</v>
      </c>
      <c r="I694" s="355" t="s">
        <v>2543</v>
      </c>
      <c r="J694" s="355" t="s">
        <v>1625</v>
      </c>
      <c r="K694" s="426" t="str">
        <f>HYPERLINK("https://okcountyrecords.com/detail/roger+mills/2005-007540","OKCountyRecords: 2005-007540")</f>
        <v>OKCountyRecords: 2005-007540</v>
      </c>
    </row>
    <row r="695" spans="1:11" x14ac:dyDescent="0.25">
      <c r="A695" s="355"/>
      <c r="B695" s="355">
        <v>29</v>
      </c>
      <c r="C695" s="355" t="s">
        <v>309</v>
      </c>
      <c r="D695" s="359" t="s">
        <v>279</v>
      </c>
      <c r="E695" s="356">
        <v>38621</v>
      </c>
      <c r="F695" s="356">
        <v>38709</v>
      </c>
      <c r="G695" s="355" t="s">
        <v>3177</v>
      </c>
      <c r="H695" s="355" t="s">
        <v>755</v>
      </c>
      <c r="I695" s="355" t="s">
        <v>502</v>
      </c>
      <c r="J695" s="355" t="s">
        <v>2640</v>
      </c>
      <c r="K695" s="426" t="str">
        <f>HYPERLINK("https://okcountyrecords.com/search/roger%20mills","OKCountyRecords search: Oil and Gas Lease 38709")</f>
        <v>OKCountyRecords search: Oil and Gas Lease 38709</v>
      </c>
    </row>
    <row r="696" spans="1:11" x14ac:dyDescent="0.25">
      <c r="A696" s="355" t="s">
        <v>3178</v>
      </c>
      <c r="B696" s="355">
        <v>29</v>
      </c>
      <c r="C696" s="355" t="s">
        <v>309</v>
      </c>
      <c r="D696" s="355" t="s">
        <v>279</v>
      </c>
      <c r="E696" s="356">
        <v>38621</v>
      </c>
      <c r="F696" s="356">
        <v>38709</v>
      </c>
      <c r="G696" s="355" t="s">
        <v>3177</v>
      </c>
      <c r="H696" s="355" t="s">
        <v>755</v>
      </c>
      <c r="I696" s="355" t="s">
        <v>502</v>
      </c>
      <c r="J696" s="355" t="s">
        <v>3179</v>
      </c>
      <c r="K696" s="426" t="str">
        <f>HYPERLINK("https://okcountyrecords.com/detail/roger+mills/2005-008721","OKCountyRecords: 2005-008721")</f>
        <v>OKCountyRecords: 2005-008721</v>
      </c>
    </row>
    <row r="697" spans="1:11" ht="25.5" hidden="1" x14ac:dyDescent="0.25">
      <c r="A697" s="355" t="s">
        <v>3180</v>
      </c>
      <c r="B697" s="355"/>
      <c r="C697" s="355" t="s">
        <v>309</v>
      </c>
      <c r="D697" s="355" t="s">
        <v>3181</v>
      </c>
      <c r="E697" s="356">
        <v>38621</v>
      </c>
      <c r="F697" s="356">
        <v>38709</v>
      </c>
      <c r="G697" s="355" t="s">
        <v>701</v>
      </c>
      <c r="H697" s="355" t="s">
        <v>755</v>
      </c>
      <c r="I697" s="357" t="s">
        <v>488</v>
      </c>
      <c r="J697" s="357" t="s">
        <v>996</v>
      </c>
      <c r="K697" s="426" t="str">
        <f>HYPERLINK("https://okcountyrecords.com/detail/roger+mills/2005-008722","OKCountyRecords: 2005-008722")</f>
        <v>OKCountyRecords: 2005-008722</v>
      </c>
    </row>
    <row r="698" spans="1:11" x14ac:dyDescent="0.25">
      <c r="A698" s="355" t="s">
        <v>3139</v>
      </c>
      <c r="B698" s="355"/>
      <c r="C698" s="355" t="s">
        <v>1623</v>
      </c>
      <c r="D698" s="355" t="s">
        <v>3140</v>
      </c>
      <c r="E698" s="356">
        <v>38624</v>
      </c>
      <c r="F698" s="356">
        <v>38642</v>
      </c>
      <c r="G698" s="355" t="s">
        <v>695</v>
      </c>
      <c r="H698" s="355" t="s">
        <v>3138</v>
      </c>
      <c r="I698" s="355" t="s">
        <v>488</v>
      </c>
      <c r="J698" s="355" t="s">
        <v>1625</v>
      </c>
      <c r="K698" s="426" t="str">
        <f>HYPERLINK("https://okcountyrecords.com/detail/roger+mills/2005-007117","OKCountyRecords: 2005-007117")</f>
        <v>OKCountyRecords: 2005-007117</v>
      </c>
    </row>
    <row r="699" spans="1:11" x14ac:dyDescent="0.25">
      <c r="A699" s="355" t="s">
        <v>3136</v>
      </c>
      <c r="B699" s="355"/>
      <c r="C699" s="355" t="s">
        <v>1623</v>
      </c>
      <c r="D699" s="355" t="s">
        <v>3137</v>
      </c>
      <c r="E699" s="356">
        <v>38625</v>
      </c>
      <c r="F699" s="356">
        <v>38642</v>
      </c>
      <c r="G699" s="355" t="s">
        <v>278</v>
      </c>
      <c r="H699" s="355" t="s">
        <v>3138</v>
      </c>
      <c r="I699" s="355" t="s">
        <v>488</v>
      </c>
      <c r="J699" s="355" t="s">
        <v>1625</v>
      </c>
      <c r="K699" s="426" t="str">
        <f>HYPERLINK("https://okcountyrecords.com/detail/roger+mills/2005-007116","OKCountyRecords: 2005-007116")</f>
        <v>OKCountyRecords: 2005-007116</v>
      </c>
    </row>
    <row r="700" spans="1:11" x14ac:dyDescent="0.25">
      <c r="A700" s="355" t="s">
        <v>3141</v>
      </c>
      <c r="B700" s="355"/>
      <c r="C700" s="355" t="s">
        <v>1623</v>
      </c>
      <c r="D700" s="355" t="s">
        <v>3142</v>
      </c>
      <c r="E700" s="356">
        <v>38626</v>
      </c>
      <c r="F700" s="356">
        <v>38642</v>
      </c>
      <c r="G700" s="355" t="s">
        <v>620</v>
      </c>
      <c r="H700" s="355" t="s">
        <v>3138</v>
      </c>
      <c r="I700" s="355" t="s">
        <v>488</v>
      </c>
      <c r="J700" s="355" t="s">
        <v>1625</v>
      </c>
      <c r="K700" s="426" t="str">
        <f>HYPERLINK("https://okcountyrecords.com/detail/roger+mills/2005-007119","OKCountyRecords: 2005-007119")</f>
        <v>OKCountyRecords: 2005-007119</v>
      </c>
    </row>
    <row r="701" spans="1:11" x14ac:dyDescent="0.25">
      <c r="A701" s="355" t="s">
        <v>3143</v>
      </c>
      <c r="B701" s="355"/>
      <c r="C701" s="355" t="s">
        <v>1623</v>
      </c>
      <c r="D701" s="355" t="s">
        <v>3144</v>
      </c>
      <c r="E701" s="356">
        <v>38626</v>
      </c>
      <c r="F701" s="356">
        <v>38642</v>
      </c>
      <c r="G701" s="355" t="s">
        <v>620</v>
      </c>
      <c r="H701" s="355" t="s">
        <v>3138</v>
      </c>
      <c r="I701" s="355" t="s">
        <v>488</v>
      </c>
      <c r="J701" s="355" t="s">
        <v>1625</v>
      </c>
      <c r="K701" s="426" t="str">
        <f>HYPERLINK("https://okcountyrecords.com/detail/roger+mills/2005-007120","OKCountyRecords: 2005-007120")</f>
        <v>OKCountyRecords: 2005-007120</v>
      </c>
    </row>
    <row r="702" spans="1:11" ht="76.5" hidden="1" x14ac:dyDescent="0.25">
      <c r="A702" s="355" t="s">
        <v>3132</v>
      </c>
      <c r="B702" s="355"/>
      <c r="C702" s="355" t="s">
        <v>114</v>
      </c>
      <c r="D702" s="355" t="s">
        <v>3133</v>
      </c>
      <c r="E702" s="356">
        <v>38629</v>
      </c>
      <c r="F702" s="356">
        <v>38632</v>
      </c>
      <c r="G702" s="357" t="s">
        <v>3134</v>
      </c>
      <c r="H702" s="355" t="s">
        <v>3135</v>
      </c>
      <c r="I702" s="357" t="s">
        <v>2515</v>
      </c>
      <c r="J702" s="357" t="s">
        <v>996</v>
      </c>
      <c r="K702" s="426" t="str">
        <f>HYPERLINK("https://okcountyrecords.com/detail/roger+mills/2005-006992","OKCountyRecords: 2005-006992")</f>
        <v>OKCountyRecords: 2005-006992</v>
      </c>
    </row>
    <row r="703" spans="1:11" ht="38.25" hidden="1" x14ac:dyDescent="0.25">
      <c r="A703" s="355" t="s">
        <v>3145</v>
      </c>
      <c r="B703" s="355"/>
      <c r="C703" s="355" t="s">
        <v>309</v>
      </c>
      <c r="D703" s="355" t="s">
        <v>3146</v>
      </c>
      <c r="E703" s="356">
        <v>38632</v>
      </c>
      <c r="F703" s="356">
        <v>38644</v>
      </c>
      <c r="G703" s="357" t="s">
        <v>3147</v>
      </c>
      <c r="H703" s="355" t="s">
        <v>611</v>
      </c>
      <c r="I703" s="357" t="s">
        <v>502</v>
      </c>
      <c r="J703" s="357" t="s">
        <v>996</v>
      </c>
      <c r="K703" s="426" t="str">
        <f>HYPERLINK("https://okcountyrecords.com/detail/roger+mills/2005-007202","OKCountyRecords: 2005-007202")</f>
        <v>OKCountyRecords: 2005-007202</v>
      </c>
    </row>
    <row r="704" spans="1:11" x14ac:dyDescent="0.25">
      <c r="A704" s="355"/>
      <c r="B704" s="355">
        <v>30</v>
      </c>
      <c r="C704" s="355" t="s">
        <v>309</v>
      </c>
      <c r="D704" s="359" t="s">
        <v>282</v>
      </c>
      <c r="E704" s="356">
        <v>38636</v>
      </c>
      <c r="F704" s="356">
        <v>38701</v>
      </c>
      <c r="G704" s="355" t="s">
        <v>3163</v>
      </c>
      <c r="H704" s="355" t="s">
        <v>3164</v>
      </c>
      <c r="I704" s="355" t="s">
        <v>505</v>
      </c>
      <c r="J704" s="355" t="s">
        <v>2640</v>
      </c>
      <c r="K704" s="426" t="str">
        <f>HYPERLINK("https://okcountyrecords.com/search/roger%20mills","OKCountyRecords search: Oil and Gas Lease 38701")</f>
        <v>OKCountyRecords search: Oil and Gas Lease 38701</v>
      </c>
    </row>
    <row r="705" spans="1:11" x14ac:dyDescent="0.25">
      <c r="A705" s="355" t="s">
        <v>3168</v>
      </c>
      <c r="B705" s="355">
        <v>30</v>
      </c>
      <c r="C705" s="355" t="s">
        <v>309</v>
      </c>
      <c r="D705" s="355" t="s">
        <v>282</v>
      </c>
      <c r="E705" s="356">
        <v>38636</v>
      </c>
      <c r="F705" s="356">
        <v>38701</v>
      </c>
      <c r="G705" s="355" t="s">
        <v>3163</v>
      </c>
      <c r="H705" s="355" t="s">
        <v>3164</v>
      </c>
      <c r="I705" s="355" t="s">
        <v>505</v>
      </c>
      <c r="J705" s="355" t="s">
        <v>3169</v>
      </c>
      <c r="K705" s="426" t="str">
        <f>HYPERLINK("https://okcountyrecords.com/detail/roger+mills/2005-008515","OKCountyRecords: 2005-008515")</f>
        <v>OKCountyRecords: 2005-008515</v>
      </c>
    </row>
    <row r="706" spans="1:11" x14ac:dyDescent="0.25">
      <c r="A706" s="355"/>
      <c r="B706" s="355">
        <v>31</v>
      </c>
      <c r="C706" s="355" t="s">
        <v>309</v>
      </c>
      <c r="D706" s="359" t="s">
        <v>285</v>
      </c>
      <c r="E706" s="356">
        <v>38636</v>
      </c>
      <c r="F706" s="356">
        <v>38701</v>
      </c>
      <c r="G706" s="355" t="s">
        <v>3165</v>
      </c>
      <c r="H706" s="355" t="s">
        <v>3164</v>
      </c>
      <c r="I706" s="355" t="s">
        <v>313</v>
      </c>
      <c r="J706" s="355" t="s">
        <v>2640</v>
      </c>
      <c r="K706" s="426" t="str">
        <f>HYPERLINK("https://okcountyrecords.com/search/roger%20mills","OKCountyRecords search: Oil and Gas Lease 38701")</f>
        <v>OKCountyRecords search: Oil and Gas Lease 38701</v>
      </c>
    </row>
    <row r="707" spans="1:11" x14ac:dyDescent="0.25">
      <c r="A707" s="355" t="s">
        <v>3170</v>
      </c>
      <c r="B707" s="355">
        <v>31</v>
      </c>
      <c r="C707" s="355" t="s">
        <v>309</v>
      </c>
      <c r="D707" s="355" t="s">
        <v>285</v>
      </c>
      <c r="E707" s="356">
        <v>38636</v>
      </c>
      <c r="F707" s="356">
        <v>38701</v>
      </c>
      <c r="G707" s="355" t="s">
        <v>3165</v>
      </c>
      <c r="H707" s="355" t="s">
        <v>3164</v>
      </c>
      <c r="I707" s="355" t="s">
        <v>313</v>
      </c>
      <c r="J707" s="355" t="s">
        <v>3169</v>
      </c>
      <c r="K707" s="426" t="str">
        <f>HYPERLINK("https://okcountyrecords.com/detail/roger+mills/2005-008517","OKCountyRecords: 2005-008517")</f>
        <v>OKCountyRecords: 2005-008517</v>
      </c>
    </row>
    <row r="708" spans="1:11" x14ac:dyDescent="0.25">
      <c r="A708" s="355"/>
      <c r="B708" s="355">
        <v>32</v>
      </c>
      <c r="C708" s="355" t="s">
        <v>309</v>
      </c>
      <c r="D708" s="359" t="s">
        <v>287</v>
      </c>
      <c r="E708" s="356">
        <v>38637</v>
      </c>
      <c r="F708" s="356">
        <v>38701</v>
      </c>
      <c r="G708" s="355" t="s">
        <v>3166</v>
      </c>
      <c r="H708" s="355" t="s">
        <v>3164</v>
      </c>
      <c r="I708" s="355" t="s">
        <v>313</v>
      </c>
      <c r="J708" s="355" t="s">
        <v>2640</v>
      </c>
      <c r="K708" s="426" t="str">
        <f>HYPERLINK("https://okcountyrecords.com/search/roger%20mills","OKCountyRecords search: Oil and Gas Lease 38701")</f>
        <v>OKCountyRecords search: Oil and Gas Lease 38701</v>
      </c>
    </row>
    <row r="709" spans="1:11" x14ac:dyDescent="0.25">
      <c r="A709" s="355" t="s">
        <v>3171</v>
      </c>
      <c r="B709" s="355">
        <v>32</v>
      </c>
      <c r="C709" s="355" t="s">
        <v>309</v>
      </c>
      <c r="D709" s="355" t="s">
        <v>287</v>
      </c>
      <c r="E709" s="356">
        <v>38637</v>
      </c>
      <c r="F709" s="356">
        <v>38701</v>
      </c>
      <c r="G709" s="355" t="s">
        <v>3166</v>
      </c>
      <c r="H709" s="355" t="s">
        <v>3164</v>
      </c>
      <c r="I709" s="355" t="s">
        <v>313</v>
      </c>
      <c r="J709" s="355" t="s">
        <v>3169</v>
      </c>
      <c r="K709" s="426" t="str">
        <f>HYPERLINK("https://okcountyrecords.com/detail/roger+mills/2005-008528","OKCountyRecords: 2005-008528")</f>
        <v>OKCountyRecords: 2005-008528</v>
      </c>
    </row>
    <row r="710" spans="1:11" x14ac:dyDescent="0.25">
      <c r="A710" s="355" t="s">
        <v>3154</v>
      </c>
      <c r="B710" s="355"/>
      <c r="C710" s="355" t="s">
        <v>1623</v>
      </c>
      <c r="D710" s="355" t="s">
        <v>3155</v>
      </c>
      <c r="E710" s="356">
        <v>38650</v>
      </c>
      <c r="F710" s="356">
        <v>38658</v>
      </c>
      <c r="G710" s="355" t="s">
        <v>2518</v>
      </c>
      <c r="H710" s="355" t="s">
        <v>3037</v>
      </c>
      <c r="I710" s="355" t="s">
        <v>2515</v>
      </c>
      <c r="J710" s="355" t="s">
        <v>1625</v>
      </c>
      <c r="K710" s="426" t="str">
        <f>HYPERLINK("https://okcountyrecords.com/detail/roger+mills/2005-007551","OKCountyRecords: 2005-007551")</f>
        <v>OKCountyRecords: 2005-007551</v>
      </c>
    </row>
    <row r="711" spans="1:11" ht="25.5" hidden="1" x14ac:dyDescent="0.25">
      <c r="A711" s="355" t="s">
        <v>3206</v>
      </c>
      <c r="B711" s="355"/>
      <c r="C711" s="355" t="s">
        <v>114</v>
      </c>
      <c r="D711" s="355" t="s">
        <v>3207</v>
      </c>
      <c r="E711" s="356">
        <v>38651</v>
      </c>
      <c r="F711" s="356">
        <v>38749</v>
      </c>
      <c r="G711" s="355" t="s">
        <v>756</v>
      </c>
      <c r="H711" s="355" t="s">
        <v>3007</v>
      </c>
      <c r="I711" s="357" t="s">
        <v>3188</v>
      </c>
      <c r="J711" s="357" t="s">
        <v>996</v>
      </c>
      <c r="K711" s="426" t="str">
        <f>HYPERLINK("https://okcountyrecords.com/detail/roger+mills/2006-000767","OKCountyRecords: 2006-000767")</f>
        <v>OKCountyRecords: 2006-000767</v>
      </c>
    </row>
    <row r="712" spans="1:11" ht="25.5" hidden="1" x14ac:dyDescent="0.25">
      <c r="A712" s="355" t="s">
        <v>3175</v>
      </c>
      <c r="B712" s="355"/>
      <c r="C712" s="355" t="s">
        <v>309</v>
      </c>
      <c r="D712" s="355" t="s">
        <v>3176</v>
      </c>
      <c r="E712" s="356">
        <v>38653</v>
      </c>
      <c r="F712" s="356">
        <v>38701</v>
      </c>
      <c r="G712" s="355" t="s">
        <v>708</v>
      </c>
      <c r="H712" s="355" t="s">
        <v>756</v>
      </c>
      <c r="I712" s="357" t="s">
        <v>497</v>
      </c>
      <c r="J712" s="428" t="s">
        <v>996</v>
      </c>
      <c r="K712" s="426" t="str">
        <f>HYPERLINK("https://okcountyrecords.com/detail/roger+mills/2005-008530","OKCountyRecords: 2005-008530")</f>
        <v>OKCountyRecords: 2005-008530</v>
      </c>
    </row>
    <row r="713" spans="1:11" x14ac:dyDescent="0.25">
      <c r="A713" s="355" t="s">
        <v>3151</v>
      </c>
      <c r="B713" s="355"/>
      <c r="C713" s="355" t="s">
        <v>1623</v>
      </c>
      <c r="D713" s="355" t="s">
        <v>3152</v>
      </c>
      <c r="E713" s="356">
        <v>38655</v>
      </c>
      <c r="F713" s="356">
        <v>38658</v>
      </c>
      <c r="G713" s="355" t="s">
        <v>3150</v>
      </c>
      <c r="H713" s="355" t="s">
        <v>3153</v>
      </c>
      <c r="I713" s="355" t="s">
        <v>2543</v>
      </c>
      <c r="J713" s="355" t="s">
        <v>1625</v>
      </c>
      <c r="K713" s="426" t="str">
        <f>HYPERLINK("https://okcountyrecords.com/detail/roger+mills/2005-007541","OKCountyRecords: 2005-007541")</f>
        <v>OKCountyRecords: 2005-007541</v>
      </c>
    </row>
    <row r="714" spans="1:11" ht="38.25" hidden="1" x14ac:dyDescent="0.25">
      <c r="A714" s="355" t="s">
        <v>3156</v>
      </c>
      <c r="B714" s="355"/>
      <c r="C714" s="355" t="s">
        <v>114</v>
      </c>
      <c r="D714" s="355" t="s">
        <v>3157</v>
      </c>
      <c r="E714" s="356">
        <v>38657</v>
      </c>
      <c r="F714" s="356">
        <v>38692</v>
      </c>
      <c r="G714" s="357" t="s">
        <v>3158</v>
      </c>
      <c r="H714" s="355" t="s">
        <v>3159</v>
      </c>
      <c r="I714" s="357" t="s">
        <v>2515</v>
      </c>
      <c r="J714" s="357" t="s">
        <v>996</v>
      </c>
      <c r="K714" s="426" t="str">
        <f>HYPERLINK("https://okcountyrecords.com/detail/roger+mills/2005-008247","OKCountyRecords: 2005-008247")</f>
        <v>OKCountyRecords: 2005-008247</v>
      </c>
    </row>
    <row r="715" spans="1:11" ht="25.5" hidden="1" x14ac:dyDescent="0.25">
      <c r="A715" s="355" t="s">
        <v>3173</v>
      </c>
      <c r="B715" s="355"/>
      <c r="C715" s="355" t="s">
        <v>309</v>
      </c>
      <c r="D715" s="355" t="s">
        <v>3174</v>
      </c>
      <c r="E715" s="356">
        <v>38657</v>
      </c>
      <c r="F715" s="356">
        <v>38701</v>
      </c>
      <c r="G715" s="357" t="s">
        <v>1958</v>
      </c>
      <c r="H715" s="355" t="s">
        <v>756</v>
      </c>
      <c r="I715" s="357" t="s">
        <v>497</v>
      </c>
      <c r="J715" s="357" t="s">
        <v>996</v>
      </c>
      <c r="K715" s="426" t="str">
        <f>HYPERLINK("https://okcountyrecords.com/detail/roger+mills/2005-008523","OKCountyRecords: 2005-008523")</f>
        <v>OKCountyRecords: 2005-008523</v>
      </c>
    </row>
    <row r="716" spans="1:11" x14ac:dyDescent="0.25">
      <c r="A716" s="355"/>
      <c r="B716" s="355">
        <v>33</v>
      </c>
      <c r="C716" s="355" t="s">
        <v>309</v>
      </c>
      <c r="D716" s="359" t="s">
        <v>289</v>
      </c>
      <c r="E716" s="356">
        <v>38657</v>
      </c>
      <c r="F716" s="356">
        <v>38754</v>
      </c>
      <c r="G716" s="355" t="s">
        <v>2840</v>
      </c>
      <c r="H716" s="355" t="s">
        <v>756</v>
      </c>
      <c r="I716" s="355" t="s">
        <v>497</v>
      </c>
      <c r="J716" s="355" t="s">
        <v>2640</v>
      </c>
      <c r="K716" s="426" t="str">
        <f>HYPERLINK("https://okcountyrecords.com/search/roger%20mills","OKCountyRecords search: Oil and Gas Lease 38754")</f>
        <v>OKCountyRecords search: Oil and Gas Lease 38754</v>
      </c>
    </row>
    <row r="717" spans="1:11" x14ac:dyDescent="0.25">
      <c r="A717" s="355" t="s">
        <v>3219</v>
      </c>
      <c r="B717" s="355">
        <v>33</v>
      </c>
      <c r="C717" s="355" t="s">
        <v>309</v>
      </c>
      <c r="D717" s="355" t="s">
        <v>289</v>
      </c>
      <c r="E717" s="356">
        <v>38657</v>
      </c>
      <c r="F717" s="356">
        <v>38754</v>
      </c>
      <c r="G717" s="355" t="s">
        <v>2840</v>
      </c>
      <c r="H717" s="355" t="s">
        <v>756</v>
      </c>
      <c r="I717" s="355" t="s">
        <v>497</v>
      </c>
      <c r="J717" s="355" t="s">
        <v>3220</v>
      </c>
      <c r="K717" s="426" t="str">
        <f>HYPERLINK("https://okcountyrecords.com/detail/roger+mills/2006-000936","OKCountyRecords: 2006-000936")</f>
        <v>OKCountyRecords: 2006-000936</v>
      </c>
    </row>
    <row r="718" spans="1:11" ht="25.5" hidden="1" x14ac:dyDescent="0.25">
      <c r="A718" s="355" t="s">
        <v>3222</v>
      </c>
      <c r="B718" s="355"/>
      <c r="C718" s="355" t="s">
        <v>309</v>
      </c>
      <c r="D718" s="355" t="s">
        <v>3223</v>
      </c>
      <c r="E718" s="356">
        <v>38657</v>
      </c>
      <c r="F718" s="356">
        <v>38754</v>
      </c>
      <c r="G718" s="355" t="s">
        <v>712</v>
      </c>
      <c r="H718" s="355" t="s">
        <v>756</v>
      </c>
      <c r="I718" s="357" t="s">
        <v>497</v>
      </c>
      <c r="J718" s="357" t="s">
        <v>996</v>
      </c>
      <c r="K718" s="426" t="str">
        <f>HYPERLINK("https://okcountyrecords.com/detail/roger+mills/2006-000937","OKCountyRecords: 2006-000937")</f>
        <v>OKCountyRecords: 2006-000937</v>
      </c>
    </row>
    <row r="719" spans="1:11" ht="25.5" hidden="1" x14ac:dyDescent="0.25">
      <c r="A719" s="355" t="s">
        <v>3226</v>
      </c>
      <c r="B719" s="355"/>
      <c r="C719" s="355" t="s">
        <v>309</v>
      </c>
      <c r="D719" s="355" t="s">
        <v>3227</v>
      </c>
      <c r="E719" s="356">
        <v>38657</v>
      </c>
      <c r="F719" s="356">
        <v>38754</v>
      </c>
      <c r="G719" s="355" t="s">
        <v>252</v>
      </c>
      <c r="H719" s="355" t="s">
        <v>756</v>
      </c>
      <c r="I719" s="357" t="s">
        <v>497</v>
      </c>
      <c r="J719" s="357" t="s">
        <v>996</v>
      </c>
      <c r="K719" s="426" t="str">
        <f>HYPERLINK("https://okcountyrecords.com/detail/roger+mills/2006-000939","OKCountyRecords: 2006-000939")</f>
        <v>OKCountyRecords: 2006-000939</v>
      </c>
    </row>
    <row r="720" spans="1:11" ht="25.5" hidden="1" x14ac:dyDescent="0.25">
      <c r="A720" s="355" t="s">
        <v>3211</v>
      </c>
      <c r="B720" s="355"/>
      <c r="C720" s="355" t="s">
        <v>114</v>
      </c>
      <c r="D720" s="355" t="s">
        <v>3212</v>
      </c>
      <c r="E720" s="356">
        <v>38666</v>
      </c>
      <c r="F720" s="356">
        <v>38749</v>
      </c>
      <c r="G720" s="355" t="s">
        <v>756</v>
      </c>
      <c r="H720" s="355" t="s">
        <v>3213</v>
      </c>
      <c r="I720" s="357" t="s">
        <v>497</v>
      </c>
      <c r="J720" s="357" t="s">
        <v>996</v>
      </c>
      <c r="K720" s="426" t="str">
        <f>HYPERLINK("https://okcountyrecords.com/detail/roger+mills/2006-000776","OKCountyRecords: 2006-000776")</f>
        <v>OKCountyRecords: 2006-000776</v>
      </c>
    </row>
    <row r="721" spans="1:11" ht="25.5" hidden="1" x14ac:dyDescent="0.25">
      <c r="A721" s="355" t="s">
        <v>3214</v>
      </c>
      <c r="B721" s="355"/>
      <c r="C721" s="355" t="s">
        <v>114</v>
      </c>
      <c r="D721" s="355" t="s">
        <v>3215</v>
      </c>
      <c r="E721" s="356">
        <v>38666</v>
      </c>
      <c r="F721" s="356">
        <v>38749</v>
      </c>
      <c r="G721" s="355" t="s">
        <v>756</v>
      </c>
      <c r="H721" s="355" t="s">
        <v>3007</v>
      </c>
      <c r="I721" s="357" t="s">
        <v>497</v>
      </c>
      <c r="J721" s="357" t="s">
        <v>996</v>
      </c>
      <c r="K721" s="426" t="str">
        <f>HYPERLINK("https://okcountyrecords.com/detail/roger+mills/2006-000778","OKCountyRecords: 2006-000778")</f>
        <v>OKCountyRecords: 2006-000778</v>
      </c>
    </row>
    <row r="722" spans="1:11" x14ac:dyDescent="0.25">
      <c r="A722" s="355"/>
      <c r="B722" s="355">
        <v>34</v>
      </c>
      <c r="C722" s="355" t="s">
        <v>309</v>
      </c>
      <c r="D722" s="359" t="s">
        <v>291</v>
      </c>
      <c r="E722" s="356">
        <v>38670</v>
      </c>
      <c r="F722" s="356">
        <v>38701</v>
      </c>
      <c r="G722" s="355" t="s">
        <v>3167</v>
      </c>
      <c r="H722" s="355" t="s">
        <v>3164</v>
      </c>
      <c r="I722" s="355" t="s">
        <v>715</v>
      </c>
      <c r="J722" s="355" t="s">
        <v>2640</v>
      </c>
      <c r="K722" s="426" t="str">
        <f>HYPERLINK("https://okcountyrecords.com/search/roger%20mills","OKCountyRecords search: Oil and Gas Lease 38701")</f>
        <v>OKCountyRecords search: Oil and Gas Lease 38701</v>
      </c>
    </row>
    <row r="723" spans="1:11" x14ac:dyDescent="0.25">
      <c r="A723" s="355" t="s">
        <v>3172</v>
      </c>
      <c r="B723" s="355">
        <v>34</v>
      </c>
      <c r="C723" s="355" t="s">
        <v>309</v>
      </c>
      <c r="D723" s="355" t="s">
        <v>291</v>
      </c>
      <c r="E723" s="356">
        <v>38670</v>
      </c>
      <c r="F723" s="356">
        <v>38701</v>
      </c>
      <c r="G723" s="355" t="s">
        <v>3167</v>
      </c>
      <c r="H723" s="355" t="s">
        <v>3164</v>
      </c>
      <c r="I723" s="355" t="s">
        <v>715</v>
      </c>
      <c r="J723" s="355" t="s">
        <v>3169</v>
      </c>
      <c r="K723" s="426" t="str">
        <f>HYPERLINK("https://okcountyrecords.com/detail/roger+mills/2005-008522","OKCountyRecords: 2005-008522")</f>
        <v>OKCountyRecords: 2005-008522</v>
      </c>
    </row>
    <row r="724" spans="1:11" hidden="1" x14ac:dyDescent="0.25">
      <c r="A724" s="355" t="s">
        <v>3204</v>
      </c>
      <c r="B724" s="355"/>
      <c r="C724" s="355" t="s">
        <v>114</v>
      </c>
      <c r="D724" s="355" t="s">
        <v>3205</v>
      </c>
      <c r="E724" s="356">
        <v>38677</v>
      </c>
      <c r="F724" s="356">
        <v>38749</v>
      </c>
      <c r="G724" s="355" t="s">
        <v>756</v>
      </c>
      <c r="H724" s="355" t="s">
        <v>3007</v>
      </c>
      <c r="I724" s="357" t="s">
        <v>505</v>
      </c>
      <c r="J724" s="357" t="s">
        <v>996</v>
      </c>
      <c r="K724" s="426" t="str">
        <f>HYPERLINK("https://okcountyrecords.com/detail/roger+mills/2006-000766","OKCountyRecords: 2006-000766")</f>
        <v>OKCountyRecords: 2006-000766</v>
      </c>
    </row>
    <row r="725" spans="1:11" hidden="1" x14ac:dyDescent="0.25">
      <c r="A725" s="355" t="s">
        <v>3224</v>
      </c>
      <c r="B725" s="355"/>
      <c r="C725" s="355" t="s">
        <v>309</v>
      </c>
      <c r="D725" s="355" t="s">
        <v>3225</v>
      </c>
      <c r="E725" s="356">
        <v>38677</v>
      </c>
      <c r="F725" s="356">
        <v>38754</v>
      </c>
      <c r="G725" s="355" t="s">
        <v>535</v>
      </c>
      <c r="H725" s="355" t="s">
        <v>756</v>
      </c>
      <c r="I725" s="357" t="s">
        <v>717</v>
      </c>
      <c r="J725" s="357" t="s">
        <v>996</v>
      </c>
      <c r="K725" s="426" t="str">
        <f>HYPERLINK("https://okcountyrecords.com/detail/roger+mills/2006-000938","OKCountyRecords: 2006-000938")</f>
        <v>OKCountyRecords: 2006-000938</v>
      </c>
    </row>
    <row r="726" spans="1:11" ht="38.25" hidden="1" x14ac:dyDescent="0.25">
      <c r="A726" s="355" t="s">
        <v>3208</v>
      </c>
      <c r="B726" s="355"/>
      <c r="C726" s="355" t="s">
        <v>114</v>
      </c>
      <c r="D726" s="355" t="s">
        <v>3209</v>
      </c>
      <c r="E726" s="356">
        <v>38686</v>
      </c>
      <c r="F726" s="356">
        <v>38749</v>
      </c>
      <c r="G726" s="355" t="s">
        <v>756</v>
      </c>
      <c r="H726" s="355" t="s">
        <v>3007</v>
      </c>
      <c r="I726" s="357" t="s">
        <v>3210</v>
      </c>
      <c r="J726" s="357" t="s">
        <v>996</v>
      </c>
      <c r="K726" s="426" t="str">
        <f>HYPERLINK("https://okcountyrecords.com/detail/roger+mills/2006-000770","OKCountyRecords: 2006-000770")</f>
        <v>OKCountyRecords: 2006-000770</v>
      </c>
    </row>
    <row r="727" spans="1:11" ht="38.25" hidden="1" x14ac:dyDescent="0.25">
      <c r="A727" s="355" t="s">
        <v>3244</v>
      </c>
      <c r="B727" s="355"/>
      <c r="C727" s="355" t="s">
        <v>114</v>
      </c>
      <c r="D727" s="355" t="s">
        <v>3245</v>
      </c>
      <c r="E727" s="356">
        <v>38687</v>
      </c>
      <c r="F727" s="356">
        <v>38806</v>
      </c>
      <c r="G727" s="355" t="s">
        <v>3239</v>
      </c>
      <c r="H727" s="355" t="s">
        <v>3246</v>
      </c>
      <c r="I727" s="357" t="s">
        <v>3247</v>
      </c>
      <c r="J727" s="357" t="s">
        <v>996</v>
      </c>
      <c r="K727" s="426" t="str">
        <f>HYPERLINK("https://okcountyrecords.com/detail/roger+mills/2006-002436","OKCountyRecords: 2006-002436")</f>
        <v>OKCountyRecords: 2006-002436</v>
      </c>
    </row>
    <row r="728" spans="1:11" ht="38.25" hidden="1" x14ac:dyDescent="0.25">
      <c r="A728" s="355" t="s">
        <v>3248</v>
      </c>
      <c r="B728" s="355"/>
      <c r="C728" s="355" t="s">
        <v>114</v>
      </c>
      <c r="D728" s="355" t="s">
        <v>3249</v>
      </c>
      <c r="E728" s="356">
        <v>38687</v>
      </c>
      <c r="F728" s="356">
        <v>38806</v>
      </c>
      <c r="G728" s="355" t="s">
        <v>3239</v>
      </c>
      <c r="H728" s="355" t="s">
        <v>3246</v>
      </c>
      <c r="I728" s="357" t="s">
        <v>3247</v>
      </c>
      <c r="J728" s="357" t="s">
        <v>996</v>
      </c>
      <c r="K728" s="426" t="str">
        <f>HYPERLINK("https://okcountyrecords.com/detail/roger+mills/2006-002437","OKCountyRecords: 2006-002437")</f>
        <v>OKCountyRecords: 2006-002437</v>
      </c>
    </row>
    <row r="729" spans="1:11" x14ac:dyDescent="0.25">
      <c r="A729" s="355" t="s">
        <v>3252</v>
      </c>
      <c r="B729" s="355"/>
      <c r="C729" s="355" t="s">
        <v>1196</v>
      </c>
      <c r="D729" s="355" t="s">
        <v>3253</v>
      </c>
      <c r="E729" s="356">
        <v>38691</v>
      </c>
      <c r="F729" s="356">
        <v>38807</v>
      </c>
      <c r="G729" s="355" t="s">
        <v>535</v>
      </c>
      <c r="H729" s="355" t="s">
        <v>3239</v>
      </c>
      <c r="I729" s="355" t="s">
        <v>3254</v>
      </c>
      <c r="J729" s="355" t="s">
        <v>1095</v>
      </c>
      <c r="K729" s="426" t="str">
        <f>HYPERLINK("https://okcountyrecords.com/detail/roger+mills/2006-002508","OKCountyRecords: 2006-002508")</f>
        <v>OKCountyRecords: 2006-002508</v>
      </c>
    </row>
    <row r="730" spans="1:11" x14ac:dyDescent="0.25">
      <c r="A730" s="355"/>
      <c r="B730" s="355">
        <v>35</v>
      </c>
      <c r="C730" s="355" t="s">
        <v>309</v>
      </c>
      <c r="D730" s="359" t="s">
        <v>293</v>
      </c>
      <c r="E730" s="356">
        <v>38693</v>
      </c>
      <c r="F730" s="356">
        <v>38754</v>
      </c>
      <c r="G730" s="355" t="s">
        <v>3218</v>
      </c>
      <c r="H730" s="355" t="s">
        <v>756</v>
      </c>
      <c r="I730" s="355" t="s">
        <v>717</v>
      </c>
      <c r="J730" s="355" t="s">
        <v>2640</v>
      </c>
      <c r="K730" s="426" t="str">
        <f>HYPERLINK("https://okcountyrecords.com/search/roger%20mills","OKCountyRecords search: Oil and Gas Lease 38754")</f>
        <v>OKCountyRecords search: Oil and Gas Lease 38754</v>
      </c>
    </row>
    <row r="731" spans="1:11" x14ac:dyDescent="0.25">
      <c r="A731" s="355" t="s">
        <v>3221</v>
      </c>
      <c r="B731" s="355">
        <v>35</v>
      </c>
      <c r="C731" s="355" t="s">
        <v>309</v>
      </c>
      <c r="D731" s="355" t="s">
        <v>293</v>
      </c>
      <c r="E731" s="356">
        <v>38693</v>
      </c>
      <c r="F731" s="356">
        <v>38754</v>
      </c>
      <c r="G731" s="355" t="s">
        <v>3218</v>
      </c>
      <c r="H731" s="355" t="s">
        <v>756</v>
      </c>
      <c r="I731" s="355" t="s">
        <v>717</v>
      </c>
      <c r="J731" s="355" t="s">
        <v>3220</v>
      </c>
      <c r="K731" s="426" t="str">
        <f>HYPERLINK("https://okcountyrecords.com/detail/roger+mills/2006-000931","OKCountyRecords: 2006-000931")</f>
        <v>OKCountyRecords: 2006-000931</v>
      </c>
    </row>
    <row r="732" spans="1:11" x14ac:dyDescent="0.25">
      <c r="A732" s="355" t="s">
        <v>3186</v>
      </c>
      <c r="B732" s="355"/>
      <c r="C732" s="355" t="s">
        <v>2913</v>
      </c>
      <c r="D732" s="355" t="s">
        <v>3187</v>
      </c>
      <c r="E732" s="356">
        <v>38694</v>
      </c>
      <c r="F732" s="356">
        <v>38727</v>
      </c>
      <c r="G732" s="355" t="s">
        <v>286</v>
      </c>
      <c r="H732" s="355" t="s">
        <v>1110</v>
      </c>
      <c r="I732" s="355" t="s">
        <v>3188</v>
      </c>
      <c r="J732" s="355" t="s">
        <v>1095</v>
      </c>
      <c r="K732" s="426" t="str">
        <f>HYPERLINK("https://okcountyrecords.com/detail/roger+mills/2006-000153","OKCountyRecords: 2006-000153")</f>
        <v>OKCountyRecords: 2006-000153</v>
      </c>
    </row>
    <row r="733" spans="1:11" x14ac:dyDescent="0.25">
      <c r="A733" s="355" t="s">
        <v>3182</v>
      </c>
      <c r="B733" s="355"/>
      <c r="C733" s="355" t="s">
        <v>2913</v>
      </c>
      <c r="D733" s="355" t="s">
        <v>3183</v>
      </c>
      <c r="E733" s="356">
        <v>38698</v>
      </c>
      <c r="F733" s="356">
        <v>38727</v>
      </c>
      <c r="G733" s="355" t="s">
        <v>3184</v>
      </c>
      <c r="H733" s="355" t="s">
        <v>3185</v>
      </c>
      <c r="I733" s="355" t="s">
        <v>2543</v>
      </c>
      <c r="J733" s="355" t="s">
        <v>1095</v>
      </c>
      <c r="K733" s="426" t="str">
        <f>HYPERLINK("https://okcountyrecords.com/detail/roger+mills/2006-000151","OKCountyRecords: 2006-000151")</f>
        <v>OKCountyRecords: 2006-000151</v>
      </c>
    </row>
    <row r="734" spans="1:11" x14ac:dyDescent="0.25">
      <c r="A734" s="355" t="s">
        <v>3189</v>
      </c>
      <c r="B734" s="355"/>
      <c r="C734" s="355" t="s">
        <v>2913</v>
      </c>
      <c r="D734" s="355" t="s">
        <v>3190</v>
      </c>
      <c r="E734" s="356">
        <v>38699</v>
      </c>
      <c r="F734" s="356">
        <v>38727</v>
      </c>
      <c r="G734" s="355" t="s">
        <v>3191</v>
      </c>
      <c r="H734" s="355" t="s">
        <v>1110</v>
      </c>
      <c r="I734" s="355" t="s">
        <v>502</v>
      </c>
      <c r="J734" s="355" t="s">
        <v>1095</v>
      </c>
      <c r="K734" s="426" t="str">
        <f>HYPERLINK("https://okcountyrecords.com/detail/roger+mills/2006-000154","OKCountyRecords: 2006-000154")</f>
        <v>OKCountyRecords: 2006-000154</v>
      </c>
    </row>
    <row r="735" spans="1:11" ht="25.5" hidden="1" x14ac:dyDescent="0.25">
      <c r="A735" s="355" t="s">
        <v>3367</v>
      </c>
      <c r="B735" s="355"/>
      <c r="C735" s="355" t="s">
        <v>114</v>
      </c>
      <c r="D735" s="355" t="s">
        <v>3368</v>
      </c>
      <c r="E735" s="356">
        <v>38701</v>
      </c>
      <c r="F735" s="356">
        <v>39833</v>
      </c>
      <c r="G735" s="355" t="s">
        <v>3369</v>
      </c>
      <c r="H735" s="355" t="s">
        <v>3370</v>
      </c>
      <c r="I735" s="357" t="s">
        <v>497</v>
      </c>
      <c r="J735" s="357" t="s">
        <v>996</v>
      </c>
      <c r="K735" s="426" t="str">
        <f>HYPERLINK("https://okcountyrecords.com/detail/roger+mills/2009-000272","OKCountyRecords: 2009-000272")</f>
        <v>OKCountyRecords: 2009-000272</v>
      </c>
    </row>
    <row r="736" spans="1:11" hidden="1" x14ac:dyDescent="0.25">
      <c r="A736" s="355" t="s">
        <v>3250</v>
      </c>
      <c r="B736" s="355"/>
      <c r="C736" s="355" t="s">
        <v>114</v>
      </c>
      <c r="D736" s="355" t="s">
        <v>3251</v>
      </c>
      <c r="E736" s="356">
        <v>38702</v>
      </c>
      <c r="F736" s="356">
        <v>38806</v>
      </c>
      <c r="G736" s="355" t="s">
        <v>3239</v>
      </c>
      <c r="H736" s="355" t="s">
        <v>3246</v>
      </c>
      <c r="I736" s="357" t="s">
        <v>717</v>
      </c>
      <c r="J736" s="357" t="s">
        <v>996</v>
      </c>
      <c r="K736" s="426" t="str">
        <f>HYPERLINK("https://okcountyrecords.com/detail/roger+mills/2006-002438","OKCountyRecords: 2006-002438")</f>
        <v>OKCountyRecords: 2006-002438</v>
      </c>
    </row>
    <row r="737" spans="1:11" x14ac:dyDescent="0.25">
      <c r="A737" s="355"/>
      <c r="B737" s="355">
        <v>36</v>
      </c>
      <c r="C737" s="355" t="s">
        <v>309</v>
      </c>
      <c r="D737" s="359" t="s">
        <v>295</v>
      </c>
      <c r="E737" s="356">
        <v>38708</v>
      </c>
      <c r="F737" s="356">
        <v>38733</v>
      </c>
      <c r="G737" s="355" t="s">
        <v>2834</v>
      </c>
      <c r="H737" s="355" t="s">
        <v>3192</v>
      </c>
      <c r="I737" s="355" t="s">
        <v>488</v>
      </c>
      <c r="J737" s="355" t="s">
        <v>2640</v>
      </c>
      <c r="K737" s="426" t="str">
        <f>HYPERLINK("https://okcountyrecords.com/search/roger%20mills","OKCountyRecords search: Oil and Gas Lease 38733")</f>
        <v>OKCountyRecords search: Oil and Gas Lease 38733</v>
      </c>
    </row>
    <row r="738" spans="1:11" x14ac:dyDescent="0.25">
      <c r="A738" s="355" t="s">
        <v>3193</v>
      </c>
      <c r="B738" s="355">
        <v>36</v>
      </c>
      <c r="C738" s="355" t="s">
        <v>309</v>
      </c>
      <c r="D738" s="355" t="s">
        <v>295</v>
      </c>
      <c r="E738" s="356">
        <v>38708</v>
      </c>
      <c r="F738" s="356">
        <v>38733</v>
      </c>
      <c r="G738" s="355" t="s">
        <v>2834</v>
      </c>
      <c r="H738" s="355" t="s">
        <v>3192</v>
      </c>
      <c r="I738" s="355" t="s">
        <v>488</v>
      </c>
      <c r="J738" s="355" t="s">
        <v>3194</v>
      </c>
      <c r="K738" s="426" t="str">
        <f>HYPERLINK("https://okcountyrecords.com/detail/roger+mills/2006-000321","OKCountyRecords: 2006-000321")</f>
        <v>OKCountyRecords: 2006-000321</v>
      </c>
    </row>
    <row r="739" spans="1:11" ht="127.5" hidden="1" x14ac:dyDescent="0.25">
      <c r="A739" s="355" t="s">
        <v>3291</v>
      </c>
      <c r="B739" s="355"/>
      <c r="C739" s="355" t="s">
        <v>2902</v>
      </c>
      <c r="D739" s="355" t="s">
        <v>3292</v>
      </c>
      <c r="E739" s="356">
        <v>38717</v>
      </c>
      <c r="F739" s="356">
        <v>38982</v>
      </c>
      <c r="G739" s="355" t="s">
        <v>3293</v>
      </c>
      <c r="H739" s="357" t="s">
        <v>3294</v>
      </c>
      <c r="I739" s="357" t="s">
        <v>717</v>
      </c>
      <c r="J739" s="428" t="s">
        <v>3295</v>
      </c>
      <c r="K739" s="426" t="str">
        <f>HYPERLINK("https://okcountyrecords.com/detail/roger+mills/2006-006475","OKCountyRecords: 2006-006475")</f>
        <v>OKCountyRecords: 2006-006475</v>
      </c>
    </row>
    <row r="740" spans="1:11" ht="38.25" hidden="1" x14ac:dyDescent="0.25">
      <c r="A740" s="355" t="s">
        <v>3234</v>
      </c>
      <c r="B740" s="355"/>
      <c r="C740" s="355" t="s">
        <v>309</v>
      </c>
      <c r="D740" s="355" t="s">
        <v>3235</v>
      </c>
      <c r="E740" s="356">
        <v>38720</v>
      </c>
      <c r="F740" s="356">
        <v>38785</v>
      </c>
      <c r="G740" s="357" t="s">
        <v>3236</v>
      </c>
      <c r="H740" s="355" t="s">
        <v>756</v>
      </c>
      <c r="I740" s="357" t="s">
        <v>502</v>
      </c>
      <c r="J740" s="357" t="s">
        <v>996</v>
      </c>
      <c r="K740" s="426" t="str">
        <f>HYPERLINK("https://okcountyrecords.com/detail/roger+mills/2006-001886","OKCountyRecords: 2006-001886")</f>
        <v>OKCountyRecords: 2006-001886</v>
      </c>
    </row>
    <row r="741" spans="1:11" ht="25.5" hidden="1" x14ac:dyDescent="0.25">
      <c r="A741" s="355" t="s">
        <v>3201</v>
      </c>
      <c r="B741" s="355"/>
      <c r="C741" s="355" t="s">
        <v>114</v>
      </c>
      <c r="D741" s="355" t="s">
        <v>3202</v>
      </c>
      <c r="E741" s="356">
        <v>38723</v>
      </c>
      <c r="F741" s="356">
        <v>38749</v>
      </c>
      <c r="G741" s="355" t="s">
        <v>650</v>
      </c>
      <c r="H741" s="355" t="s">
        <v>3007</v>
      </c>
      <c r="I741" s="357" t="s">
        <v>3203</v>
      </c>
      <c r="J741" s="357" t="s">
        <v>996</v>
      </c>
      <c r="K741" s="426" t="str">
        <f>HYPERLINK("https://okcountyrecords.com/detail/roger+mills/2006-000762","OKCountyRecords: 2006-000762")</f>
        <v>OKCountyRecords: 2006-000762</v>
      </c>
    </row>
    <row r="742" spans="1:11" x14ac:dyDescent="0.25">
      <c r="A742" s="355"/>
      <c r="B742" s="355">
        <v>37</v>
      </c>
      <c r="C742" s="355" t="s">
        <v>309</v>
      </c>
      <c r="D742" s="359" t="s">
        <v>297</v>
      </c>
      <c r="E742" s="356">
        <v>38725</v>
      </c>
      <c r="F742" s="356">
        <v>38742</v>
      </c>
      <c r="G742" s="355" t="s">
        <v>3195</v>
      </c>
      <c r="H742" s="355" t="s">
        <v>299</v>
      </c>
      <c r="I742" s="355" t="s">
        <v>488</v>
      </c>
      <c r="J742" s="355" t="s">
        <v>2640</v>
      </c>
      <c r="K742" s="426" t="str">
        <f>HYPERLINK("https://okcountyrecords.com/search/roger%20mills","OKCountyRecords search: Oil and Gas Lease 38742")</f>
        <v>OKCountyRecords search: Oil and Gas Lease 38742</v>
      </c>
    </row>
    <row r="743" spans="1:11" x14ac:dyDescent="0.25">
      <c r="A743" s="355" t="s">
        <v>3196</v>
      </c>
      <c r="B743" s="355">
        <v>37</v>
      </c>
      <c r="C743" s="355" t="s">
        <v>309</v>
      </c>
      <c r="D743" s="355" t="s">
        <v>297</v>
      </c>
      <c r="E743" s="356">
        <v>38725</v>
      </c>
      <c r="F743" s="356">
        <v>38742</v>
      </c>
      <c r="G743" s="355" t="s">
        <v>3195</v>
      </c>
      <c r="H743" s="355" t="s">
        <v>299</v>
      </c>
      <c r="I743" s="355" t="s">
        <v>488</v>
      </c>
      <c r="J743" s="355" t="s">
        <v>3197</v>
      </c>
      <c r="K743" s="426" t="str">
        <f>HYPERLINK("https://okcountyrecords.com/detail/roger+mills/2006-000583","OKCountyRecords: 2006-000583")</f>
        <v>OKCountyRecords: 2006-000583</v>
      </c>
    </row>
    <row r="744" spans="1:11" x14ac:dyDescent="0.25">
      <c r="A744" s="355"/>
      <c r="B744" s="355">
        <v>38</v>
      </c>
      <c r="C744" s="355" t="s">
        <v>309</v>
      </c>
      <c r="D744" s="359" t="s">
        <v>300</v>
      </c>
      <c r="E744" s="356">
        <v>38732</v>
      </c>
      <c r="F744" s="356">
        <v>38747</v>
      </c>
      <c r="G744" s="355" t="s">
        <v>3198</v>
      </c>
      <c r="H744" s="355" t="s">
        <v>302</v>
      </c>
      <c r="I744" s="355" t="s">
        <v>488</v>
      </c>
      <c r="J744" s="355" t="s">
        <v>2640</v>
      </c>
      <c r="K744" s="426" t="str">
        <f>HYPERLINK("https://okcountyrecords.com/search/roger%20mills","OKCountyRecords search: Oil and Gas Lease 38747")</f>
        <v>OKCountyRecords search: Oil and Gas Lease 38747</v>
      </c>
    </row>
    <row r="745" spans="1:11" x14ac:dyDescent="0.25">
      <c r="A745" s="355" t="s">
        <v>3199</v>
      </c>
      <c r="B745" s="355">
        <v>38</v>
      </c>
      <c r="C745" s="355" t="s">
        <v>309</v>
      </c>
      <c r="D745" s="355" t="s">
        <v>300</v>
      </c>
      <c r="E745" s="356">
        <v>38732</v>
      </c>
      <c r="F745" s="356">
        <v>38747</v>
      </c>
      <c r="G745" s="355" t="s">
        <v>3198</v>
      </c>
      <c r="H745" s="355" t="s">
        <v>302</v>
      </c>
      <c r="I745" s="355" t="s">
        <v>488</v>
      </c>
      <c r="J745" s="355" t="s">
        <v>3200</v>
      </c>
      <c r="K745" s="426" t="str">
        <f>HYPERLINK("https://okcountyrecords.com/detail/roger+mills/2006-000702","OKCountyRecords: 2006-000702")</f>
        <v>OKCountyRecords: 2006-000702</v>
      </c>
    </row>
    <row r="746" spans="1:11" x14ac:dyDescent="0.25">
      <c r="A746" s="355" t="s">
        <v>3216</v>
      </c>
      <c r="B746" s="355"/>
      <c r="C746" s="355" t="s">
        <v>2441</v>
      </c>
      <c r="D746" s="355" t="s">
        <v>3217</v>
      </c>
      <c r="E746" s="356">
        <v>38733</v>
      </c>
      <c r="F746" s="356">
        <v>38751</v>
      </c>
      <c r="G746" s="355" t="s">
        <v>944</v>
      </c>
      <c r="H746" s="355" t="s">
        <v>3103</v>
      </c>
      <c r="I746" s="355" t="s">
        <v>505</v>
      </c>
      <c r="J746" s="355" t="s">
        <v>1095</v>
      </c>
      <c r="K746" s="426" t="str">
        <f>HYPERLINK("https://okcountyrecords.com/detail/roger+mills/2006-000870","OKCountyRecords: 2006-000870")</f>
        <v>OKCountyRecords: 2006-000870</v>
      </c>
    </row>
    <row r="747" spans="1:11" hidden="1" x14ac:dyDescent="0.25">
      <c r="A747" s="355" t="s">
        <v>3237</v>
      </c>
      <c r="B747" s="355"/>
      <c r="C747" s="355" t="s">
        <v>114</v>
      </c>
      <c r="D747" s="355" t="s">
        <v>3238</v>
      </c>
      <c r="E747" s="356">
        <v>38737</v>
      </c>
      <c r="F747" s="356">
        <v>38789</v>
      </c>
      <c r="G747" s="355" t="s">
        <v>3239</v>
      </c>
      <c r="H747" s="355" t="s">
        <v>3007</v>
      </c>
      <c r="I747" s="357" t="s">
        <v>717</v>
      </c>
      <c r="J747" s="357" t="s">
        <v>996</v>
      </c>
      <c r="K747" s="426" t="str">
        <f>HYPERLINK("https://okcountyrecords.com/detail/roger+mills/2006-001930","OKCountyRecords: 2006-001930")</f>
        <v>OKCountyRecords: 2006-001930</v>
      </c>
    </row>
    <row r="748" spans="1:11" ht="51" hidden="1" x14ac:dyDescent="0.25">
      <c r="A748" s="355" t="s">
        <v>3230</v>
      </c>
      <c r="B748" s="355"/>
      <c r="C748" s="355" t="s">
        <v>114</v>
      </c>
      <c r="D748" s="355" t="s">
        <v>3231</v>
      </c>
      <c r="E748" s="356">
        <v>38748</v>
      </c>
      <c r="F748" s="356">
        <v>38765</v>
      </c>
      <c r="G748" s="355" t="s">
        <v>755</v>
      </c>
      <c r="H748" s="355" t="s">
        <v>3232</v>
      </c>
      <c r="I748" s="357" t="s">
        <v>3233</v>
      </c>
      <c r="J748" s="357" t="s">
        <v>996</v>
      </c>
      <c r="K748" s="426" t="str">
        <f>HYPERLINK("https://okcountyrecords.com/detail/roger+mills/2006-001349","OKCountyRecords: 2006-001349")</f>
        <v>OKCountyRecords: 2006-001349</v>
      </c>
    </row>
    <row r="749" spans="1:11" ht="38.25" hidden="1" x14ac:dyDescent="0.25">
      <c r="A749" s="355" t="s">
        <v>3255</v>
      </c>
      <c r="B749" s="355"/>
      <c r="C749" s="355" t="s">
        <v>726</v>
      </c>
      <c r="D749" s="355" t="s">
        <v>3256</v>
      </c>
      <c r="E749" s="356">
        <v>38748</v>
      </c>
      <c r="F749" s="356">
        <v>38810</v>
      </c>
      <c r="G749" s="355" t="s">
        <v>611</v>
      </c>
      <c r="H749" s="355" t="s">
        <v>950</v>
      </c>
      <c r="I749" s="357" t="s">
        <v>502</v>
      </c>
      <c r="J749" s="357" t="s">
        <v>996</v>
      </c>
      <c r="K749" s="426" t="str">
        <f>HYPERLINK("https://okcountyrecords.com/detail/roger+mills/2006-002590","OKCountyRecords: 2006-002590")</f>
        <v>OKCountyRecords: 2006-002590</v>
      </c>
    </row>
    <row r="750" spans="1:11" hidden="1" x14ac:dyDescent="0.25">
      <c r="A750" s="355" t="s">
        <v>3260</v>
      </c>
      <c r="B750" s="355"/>
      <c r="C750" s="355" t="s">
        <v>309</v>
      </c>
      <c r="D750" s="355" t="s">
        <v>3261</v>
      </c>
      <c r="E750" s="356">
        <v>38748</v>
      </c>
      <c r="F750" s="356">
        <v>38824</v>
      </c>
      <c r="G750" s="355" t="s">
        <v>730</v>
      </c>
      <c r="H750" s="355" t="s">
        <v>756</v>
      </c>
      <c r="I750" s="357" t="s">
        <v>561</v>
      </c>
      <c r="J750" s="357" t="s">
        <v>996</v>
      </c>
      <c r="K750" s="426" t="str">
        <f>HYPERLINK("https://okcountyrecords.com/detail/roger+mills/2006-002915","OKCountyRecords: 2006-002915")</f>
        <v>OKCountyRecords: 2006-002915</v>
      </c>
    </row>
    <row r="751" spans="1:11" ht="25.5" hidden="1" x14ac:dyDescent="0.25">
      <c r="A751" s="355" t="s">
        <v>3242</v>
      </c>
      <c r="B751" s="355"/>
      <c r="C751" s="355" t="s">
        <v>114</v>
      </c>
      <c r="D751" s="355" t="s">
        <v>3243</v>
      </c>
      <c r="E751" s="356">
        <v>38757</v>
      </c>
      <c r="F751" s="356">
        <v>38804</v>
      </c>
      <c r="G751" s="355" t="s">
        <v>2988</v>
      </c>
      <c r="H751" s="355" t="s">
        <v>487</v>
      </c>
      <c r="I751" s="357" t="s">
        <v>488</v>
      </c>
      <c r="J751" s="357" t="s">
        <v>996</v>
      </c>
      <c r="K751" s="426" t="str">
        <f>HYPERLINK("https://okcountyrecords.com/detail/roger+mills/2006-002339","OKCountyRecords: 2006-002339")</f>
        <v>OKCountyRecords: 2006-002339</v>
      </c>
    </row>
    <row r="752" spans="1:11" x14ac:dyDescent="0.25">
      <c r="A752" s="355"/>
      <c r="B752" s="355">
        <v>39</v>
      </c>
      <c r="C752" s="355" t="s">
        <v>309</v>
      </c>
      <c r="D752" s="359" t="s">
        <v>303</v>
      </c>
      <c r="E752" s="356">
        <v>38760</v>
      </c>
      <c r="F752" s="356">
        <v>38792</v>
      </c>
      <c r="G752" s="355" t="s">
        <v>304</v>
      </c>
      <c r="H752" s="355" t="s">
        <v>299</v>
      </c>
      <c r="I752" s="355" t="s">
        <v>502</v>
      </c>
      <c r="J752" s="355" t="s">
        <v>2640</v>
      </c>
      <c r="K752" s="426" t="str">
        <f>HYPERLINK("https://okcountyrecords.com/search/roger%20mills","OKCountyRecords search: Oil and Gas Lease 38792")</f>
        <v>OKCountyRecords search: Oil and Gas Lease 38792</v>
      </c>
    </row>
    <row r="753" spans="1:11" ht="38.25" hidden="1" x14ac:dyDescent="0.25">
      <c r="A753" s="355" t="s">
        <v>3240</v>
      </c>
      <c r="B753" s="355">
        <v>39</v>
      </c>
      <c r="C753" s="355" t="s">
        <v>309</v>
      </c>
      <c r="D753" s="355" t="s">
        <v>303</v>
      </c>
      <c r="E753" s="356">
        <v>38760</v>
      </c>
      <c r="F753" s="356">
        <v>38792</v>
      </c>
      <c r="G753" s="355" t="s">
        <v>304</v>
      </c>
      <c r="H753" s="355" t="s">
        <v>3241</v>
      </c>
      <c r="I753" s="357" t="s">
        <v>502</v>
      </c>
      <c r="J753" s="357" t="s">
        <v>996</v>
      </c>
      <c r="K753" s="426" t="str">
        <f>HYPERLINK("https://okcountyrecords.com/detail/roger+mills/2006-002044","OKCountyRecords: 2006-002044")</f>
        <v>OKCountyRecords: 2006-002044</v>
      </c>
    </row>
    <row r="754" spans="1:11" ht="25.5" hidden="1" x14ac:dyDescent="0.25">
      <c r="A754" s="355" t="s">
        <v>3371</v>
      </c>
      <c r="B754" s="355"/>
      <c r="C754" s="355" t="s">
        <v>114</v>
      </c>
      <c r="D754" s="355" t="s">
        <v>3372</v>
      </c>
      <c r="E754" s="356">
        <v>38760</v>
      </c>
      <c r="F754" s="356">
        <v>39833</v>
      </c>
      <c r="G754" s="355" t="s">
        <v>3369</v>
      </c>
      <c r="H754" s="355" t="s">
        <v>3370</v>
      </c>
      <c r="I754" s="357" t="s">
        <v>3373</v>
      </c>
      <c r="J754" s="357" t="s">
        <v>996</v>
      </c>
      <c r="K754" s="426" t="str">
        <f>HYPERLINK("https://okcountyrecords.com/detail/roger+mills/2009-000273","OKCountyRecords: 2009-000273")</f>
        <v>OKCountyRecords: 2009-000273</v>
      </c>
    </row>
    <row r="755" spans="1:11" ht="38.25" hidden="1" x14ac:dyDescent="0.25">
      <c r="A755" s="355" t="s">
        <v>3265</v>
      </c>
      <c r="B755" s="355"/>
      <c r="C755" s="355" t="s">
        <v>114</v>
      </c>
      <c r="D755" s="355" t="s">
        <v>3266</v>
      </c>
      <c r="E755" s="356">
        <v>38769</v>
      </c>
      <c r="F755" s="356">
        <v>38863</v>
      </c>
      <c r="G755" s="355" t="s">
        <v>3239</v>
      </c>
      <c r="H755" s="355" t="s">
        <v>950</v>
      </c>
      <c r="I755" s="357" t="s">
        <v>502</v>
      </c>
      <c r="J755" s="357" t="s">
        <v>996</v>
      </c>
      <c r="K755" s="426" t="str">
        <f>HYPERLINK("https://okcountyrecords.com/detail/roger+mills/2006-003963","OKCountyRecords: 2006-003963")</f>
        <v>OKCountyRecords: 2006-003963</v>
      </c>
    </row>
    <row r="756" spans="1:11" ht="25.5" hidden="1" x14ac:dyDescent="0.25">
      <c r="A756" s="355" t="s">
        <v>3257</v>
      </c>
      <c r="B756" s="355"/>
      <c r="C756" s="355" t="s">
        <v>3082</v>
      </c>
      <c r="D756" s="355" t="s">
        <v>3258</v>
      </c>
      <c r="E756" s="356">
        <v>38798</v>
      </c>
      <c r="F756" s="356">
        <v>38813</v>
      </c>
      <c r="G756" s="355" t="s">
        <v>487</v>
      </c>
      <c r="H756" s="355" t="s">
        <v>3259</v>
      </c>
      <c r="I756" s="357" t="s">
        <v>488</v>
      </c>
      <c r="J756" s="357" t="s">
        <v>996</v>
      </c>
      <c r="K756" s="426" t="str">
        <f>HYPERLINK("https://okcountyrecords.com/detail/roger+mills/2006-002685","OKCountyRecords: 2006-002685")</f>
        <v>OKCountyRecords: 2006-002685</v>
      </c>
    </row>
    <row r="757" spans="1:11" x14ac:dyDescent="0.25">
      <c r="A757" s="355" t="s">
        <v>3322</v>
      </c>
      <c r="B757" s="355"/>
      <c r="C757" s="355" t="s">
        <v>2441</v>
      </c>
      <c r="D757" s="355" t="s">
        <v>3323</v>
      </c>
      <c r="E757" s="356">
        <v>38798</v>
      </c>
      <c r="F757" s="356">
        <v>39262</v>
      </c>
      <c r="G757" s="355" t="s">
        <v>487</v>
      </c>
      <c r="H757" s="355" t="s">
        <v>3324</v>
      </c>
      <c r="I757" s="355" t="s">
        <v>488</v>
      </c>
      <c r="J757" s="355" t="s">
        <v>1095</v>
      </c>
      <c r="K757" s="426" t="str">
        <f>HYPERLINK("https://okcountyrecords.com/detail/roger+mills/2007-002804","OKCountyRecords: 2007-002804")</f>
        <v>OKCountyRecords: 2007-002804</v>
      </c>
    </row>
    <row r="758" spans="1:11" x14ac:dyDescent="0.25">
      <c r="A758" s="355" t="s">
        <v>3262</v>
      </c>
      <c r="B758" s="355"/>
      <c r="C758" s="355" t="s">
        <v>1623</v>
      </c>
      <c r="D758" s="355" t="s">
        <v>3263</v>
      </c>
      <c r="E758" s="356">
        <v>38855</v>
      </c>
      <c r="F758" s="356">
        <v>38856</v>
      </c>
      <c r="G758" s="355" t="s">
        <v>3056</v>
      </c>
      <c r="H758" s="355" t="s">
        <v>3264</v>
      </c>
      <c r="I758" s="355" t="s">
        <v>2543</v>
      </c>
      <c r="J758" s="355" t="s">
        <v>1625</v>
      </c>
      <c r="K758" s="426" t="str">
        <f>HYPERLINK("https://okcountyrecords.com/detail/roger+mills/2006-003765","OKCountyRecords: 2006-003765")</f>
        <v>OKCountyRecords: 2006-003765</v>
      </c>
    </row>
    <row r="759" spans="1:11" x14ac:dyDescent="0.25">
      <c r="A759" s="355" t="s">
        <v>3287</v>
      </c>
      <c r="B759" s="355"/>
      <c r="C759" s="355" t="s">
        <v>2441</v>
      </c>
      <c r="D759" s="355" t="s">
        <v>3288</v>
      </c>
      <c r="E759" s="356">
        <v>38861</v>
      </c>
      <c r="F759" s="356">
        <v>38961</v>
      </c>
      <c r="G759" s="355" t="s">
        <v>3289</v>
      </c>
      <c r="H759" s="355" t="s">
        <v>3290</v>
      </c>
      <c r="I759" s="355" t="s">
        <v>2543</v>
      </c>
      <c r="J759" s="355" t="s">
        <v>1095</v>
      </c>
      <c r="K759" s="426" t="str">
        <f>HYPERLINK("https://okcountyrecords.com/detail/roger+mills/2006-006122","OKCountyRecords: 2006-006122")</f>
        <v>OKCountyRecords: 2006-006122</v>
      </c>
    </row>
    <row r="760" spans="1:11" ht="51" hidden="1" x14ac:dyDescent="0.25">
      <c r="A760" s="355" t="s">
        <v>3308</v>
      </c>
      <c r="B760" s="355"/>
      <c r="C760" s="355" t="s">
        <v>114</v>
      </c>
      <c r="D760" s="355" t="s">
        <v>3309</v>
      </c>
      <c r="E760" s="356">
        <v>38861</v>
      </c>
      <c r="F760" s="356">
        <v>39162</v>
      </c>
      <c r="G760" s="355" t="s">
        <v>3310</v>
      </c>
      <c r="H760" s="355" t="s">
        <v>3311</v>
      </c>
      <c r="I760" s="357" t="s">
        <v>3312</v>
      </c>
      <c r="J760" s="357" t="s">
        <v>996</v>
      </c>
      <c r="K760" s="426" t="str">
        <f>HYPERLINK("https://okcountyrecords.com/detail/roger+mills/2007-001310","OKCountyRecords: 2007-001310")</f>
        <v>OKCountyRecords: 2007-001310</v>
      </c>
    </row>
    <row r="761" spans="1:11" ht="38.25" hidden="1" x14ac:dyDescent="0.25">
      <c r="A761" s="355" t="s">
        <v>3267</v>
      </c>
      <c r="B761" s="355"/>
      <c r="C761" s="355" t="s">
        <v>3082</v>
      </c>
      <c r="D761" s="355" t="s">
        <v>3268</v>
      </c>
      <c r="E761" s="356">
        <v>38862</v>
      </c>
      <c r="F761" s="356">
        <v>38867</v>
      </c>
      <c r="G761" s="355" t="s">
        <v>3269</v>
      </c>
      <c r="H761" s="357" t="s">
        <v>3270</v>
      </c>
      <c r="I761" s="357" t="s">
        <v>488</v>
      </c>
      <c r="J761" s="357" t="s">
        <v>996</v>
      </c>
      <c r="K761" s="426" t="str">
        <f>HYPERLINK("https://okcountyrecords.com/detail/roger+mills/2006-003993","OKCountyRecords: 2006-003993")</f>
        <v>OKCountyRecords: 2006-003993</v>
      </c>
    </row>
    <row r="762" spans="1:11" ht="25.5" hidden="1" x14ac:dyDescent="0.25">
      <c r="A762" s="355" t="s">
        <v>3283</v>
      </c>
      <c r="B762" s="355"/>
      <c r="C762" s="355" t="s">
        <v>3284</v>
      </c>
      <c r="D762" s="355" t="s">
        <v>3285</v>
      </c>
      <c r="E762" s="356">
        <v>38869</v>
      </c>
      <c r="F762" s="356">
        <v>38915</v>
      </c>
      <c r="G762" s="355" t="s">
        <v>3286</v>
      </c>
      <c r="H762" s="355" t="s">
        <v>1110</v>
      </c>
      <c r="I762" s="357" t="s">
        <v>1980</v>
      </c>
      <c r="J762" s="357" t="s">
        <v>996</v>
      </c>
      <c r="K762" s="426" t="str">
        <f>HYPERLINK("https://okcountyrecords.com/detail/roger+mills/2006-005146","OKCountyRecords: 2006-005146")</f>
        <v>OKCountyRecords: 2006-005146</v>
      </c>
    </row>
    <row r="763" spans="1:11" ht="38.25" hidden="1" x14ac:dyDescent="0.25">
      <c r="A763" s="355" t="s">
        <v>3271</v>
      </c>
      <c r="B763" s="355"/>
      <c r="C763" s="355" t="s">
        <v>3082</v>
      </c>
      <c r="D763" s="355" t="s">
        <v>3272</v>
      </c>
      <c r="E763" s="356">
        <v>38890</v>
      </c>
      <c r="F763" s="356">
        <v>38897</v>
      </c>
      <c r="G763" s="355" t="s">
        <v>3273</v>
      </c>
      <c r="H763" s="357" t="s">
        <v>3274</v>
      </c>
      <c r="I763" s="357" t="s">
        <v>488</v>
      </c>
      <c r="J763" s="357" t="s">
        <v>996</v>
      </c>
      <c r="K763" s="426" t="str">
        <f>HYPERLINK("https://okcountyrecords.com/detail/roger+mills/2006-004747","OKCountyRecords: 2006-004747")</f>
        <v>OKCountyRecords: 2006-004747</v>
      </c>
    </row>
    <row r="764" spans="1:11" ht="25.5" hidden="1" x14ac:dyDescent="0.25">
      <c r="A764" s="355" t="s">
        <v>3275</v>
      </c>
      <c r="B764" s="355"/>
      <c r="C764" s="355" t="s">
        <v>114</v>
      </c>
      <c r="D764" s="355" t="s">
        <v>3276</v>
      </c>
      <c r="E764" s="356">
        <v>38905</v>
      </c>
      <c r="F764" s="356">
        <v>38911</v>
      </c>
      <c r="G764" s="355" t="s">
        <v>3277</v>
      </c>
      <c r="H764" s="355" t="s">
        <v>3278</v>
      </c>
      <c r="I764" s="357" t="s">
        <v>488</v>
      </c>
      <c r="J764" s="357" t="s">
        <v>996</v>
      </c>
      <c r="K764" s="426" t="str">
        <f>HYPERLINK("https://okcountyrecords.com/detail/roger+mills/2006-005043","OKCountyRecords: 2006-005043")</f>
        <v>OKCountyRecords: 2006-005043</v>
      </c>
    </row>
    <row r="765" spans="1:11" ht="25.5" hidden="1" x14ac:dyDescent="0.25">
      <c r="A765" s="355" t="s">
        <v>3279</v>
      </c>
      <c r="B765" s="355"/>
      <c r="C765" s="355" t="s">
        <v>114</v>
      </c>
      <c r="D765" s="355" t="s">
        <v>3280</v>
      </c>
      <c r="E765" s="356">
        <v>38909</v>
      </c>
      <c r="F765" s="356">
        <v>38912</v>
      </c>
      <c r="G765" s="355" t="s">
        <v>3281</v>
      </c>
      <c r="H765" s="355" t="s">
        <v>3282</v>
      </c>
      <c r="I765" s="357" t="s">
        <v>488</v>
      </c>
      <c r="J765" s="357" t="s">
        <v>996</v>
      </c>
      <c r="K765" s="426" t="str">
        <f>HYPERLINK("https://okcountyrecords.com/detail/roger+mills/2006-005081","OKCountyRecords: 2006-005081")</f>
        <v>OKCountyRecords: 2006-005081</v>
      </c>
    </row>
    <row r="766" spans="1:11" ht="25.5" hidden="1" x14ac:dyDescent="0.25">
      <c r="A766" s="355" t="s">
        <v>3296</v>
      </c>
      <c r="B766" s="355"/>
      <c r="C766" s="355" t="s">
        <v>3082</v>
      </c>
      <c r="D766" s="355" t="s">
        <v>3297</v>
      </c>
      <c r="E766" s="356">
        <v>39009</v>
      </c>
      <c r="F766" s="356">
        <v>39029</v>
      </c>
      <c r="G766" s="355" t="s">
        <v>3298</v>
      </c>
      <c r="H766" s="357" t="s">
        <v>3299</v>
      </c>
      <c r="I766" s="357" t="s">
        <v>488</v>
      </c>
      <c r="J766" s="357" t="s">
        <v>996</v>
      </c>
      <c r="K766" s="426" t="str">
        <f>HYPERLINK("https://okcountyrecords.com/detail/roger+mills/2006-007198","OKCountyRecords: 2006-007198")</f>
        <v>OKCountyRecords: 2006-007198</v>
      </c>
    </row>
    <row r="767" spans="1:11" ht="25.5" hidden="1" x14ac:dyDescent="0.25">
      <c r="A767" s="355" t="s">
        <v>3300</v>
      </c>
      <c r="B767" s="355"/>
      <c r="C767" s="355" t="s">
        <v>114</v>
      </c>
      <c r="D767" s="355" t="s">
        <v>3301</v>
      </c>
      <c r="E767" s="356">
        <v>39052</v>
      </c>
      <c r="F767" s="356">
        <v>39104</v>
      </c>
      <c r="G767" s="355" t="s">
        <v>3302</v>
      </c>
      <c r="H767" s="355" t="s">
        <v>3303</v>
      </c>
      <c r="I767" s="357" t="s">
        <v>488</v>
      </c>
      <c r="J767" s="357" t="s">
        <v>996</v>
      </c>
      <c r="K767" s="426" t="str">
        <f>HYPERLINK("https://okcountyrecords.com/detail/roger+mills/2007-000328","OKCountyRecords: 2007-000328")</f>
        <v>OKCountyRecords: 2007-000328</v>
      </c>
    </row>
    <row r="768" spans="1:11" ht="25.5" hidden="1" x14ac:dyDescent="0.25">
      <c r="A768" s="355" t="s">
        <v>3328</v>
      </c>
      <c r="B768" s="355"/>
      <c r="C768" s="355" t="s">
        <v>3284</v>
      </c>
      <c r="D768" s="355" t="s">
        <v>3329</v>
      </c>
      <c r="E768" s="356">
        <v>39145</v>
      </c>
      <c r="F768" s="356">
        <v>39325</v>
      </c>
      <c r="G768" s="357" t="s">
        <v>2552</v>
      </c>
      <c r="H768" s="355" t="s">
        <v>3330</v>
      </c>
      <c r="I768" s="357" t="s">
        <v>3331</v>
      </c>
      <c r="J768" s="357" t="s">
        <v>996</v>
      </c>
      <c r="K768" s="426" t="str">
        <f>HYPERLINK("https://okcountyrecords.com/detail/roger+mills/2007-003914","OKCountyRecords: 2007-003914")</f>
        <v>OKCountyRecords: 2007-003914</v>
      </c>
    </row>
    <row r="769" spans="1:11" x14ac:dyDescent="0.25">
      <c r="A769" s="355" t="s">
        <v>3313</v>
      </c>
      <c r="B769" s="355"/>
      <c r="C769" s="355" t="s">
        <v>1623</v>
      </c>
      <c r="D769" s="355" t="s">
        <v>3314</v>
      </c>
      <c r="E769" s="356">
        <v>39160</v>
      </c>
      <c r="F769" s="356">
        <v>39167</v>
      </c>
      <c r="G769" s="355" t="s">
        <v>3315</v>
      </c>
      <c r="H769" s="355" t="s">
        <v>944</v>
      </c>
      <c r="I769" s="355" t="s">
        <v>2543</v>
      </c>
      <c r="J769" s="606" t="s">
        <v>3316</v>
      </c>
      <c r="K769" s="426" t="str">
        <f>HYPERLINK("https://okcountyrecords.com/detail/roger+mills/2007-001374","OKCountyRecords: 2007-001374")</f>
        <v>OKCountyRecords: 2007-001374</v>
      </c>
    </row>
    <row r="770" spans="1:11" x14ac:dyDescent="0.25">
      <c r="A770" s="355" t="s">
        <v>3317</v>
      </c>
      <c r="B770" s="355"/>
      <c r="C770" s="355" t="s">
        <v>2506</v>
      </c>
      <c r="D770" s="355" t="s">
        <v>3318</v>
      </c>
      <c r="E770" s="356">
        <v>39162</v>
      </c>
      <c r="F770" s="356">
        <v>39197</v>
      </c>
      <c r="G770" s="355" t="s">
        <v>3319</v>
      </c>
      <c r="H770" s="355" t="s">
        <v>3320</v>
      </c>
      <c r="I770" s="355" t="s">
        <v>3321</v>
      </c>
      <c r="J770" s="355" t="s">
        <v>985</v>
      </c>
      <c r="K770" s="426" t="str">
        <f>HYPERLINK("https://okcountyrecords.com/detail/roger+mills/2007-001848","OKCountyRecords: 2007-001848")</f>
        <v>OKCountyRecords: 2007-001848</v>
      </c>
    </row>
    <row r="771" spans="1:11" x14ac:dyDescent="0.25">
      <c r="A771" s="355" t="s">
        <v>3325</v>
      </c>
      <c r="B771" s="355"/>
      <c r="C771" s="355" t="s">
        <v>2441</v>
      </c>
      <c r="D771" s="355" t="s">
        <v>3326</v>
      </c>
      <c r="E771" s="356">
        <v>39268</v>
      </c>
      <c r="F771" s="356">
        <v>39269</v>
      </c>
      <c r="G771" s="355" t="s">
        <v>2988</v>
      </c>
      <c r="H771" s="355" t="s">
        <v>487</v>
      </c>
      <c r="I771" s="355" t="s">
        <v>3327</v>
      </c>
      <c r="J771" s="355" t="s">
        <v>1095</v>
      </c>
      <c r="K771" s="426" t="str">
        <f>HYPERLINK("https://okcountyrecords.com/detail/roger+mills/2007-002874","OKCountyRecords: 2007-002874")</f>
        <v>OKCountyRecords: 2007-002874</v>
      </c>
    </row>
    <row r="772" spans="1:11" x14ac:dyDescent="0.25">
      <c r="A772" s="360" t="s">
        <v>3332</v>
      </c>
      <c r="B772" s="360"/>
      <c r="C772" s="360" t="s">
        <v>3333</v>
      </c>
      <c r="D772" s="360" t="s">
        <v>3334</v>
      </c>
      <c r="E772" s="361">
        <v>39315</v>
      </c>
      <c r="F772" s="361">
        <v>39329</v>
      </c>
      <c r="G772" s="360" t="s">
        <v>3335</v>
      </c>
      <c r="H772" s="360" t="s">
        <v>1110</v>
      </c>
      <c r="I772" s="360" t="s">
        <v>1003</v>
      </c>
      <c r="J772" s="360" t="s">
        <v>1095</v>
      </c>
      <c r="K772" s="427" t="str">
        <f>HYPERLINK("https://okcountyrecords.com/detail/roger+mills/2007-004018","OKCountyRecords: 2007-004018")</f>
        <v>OKCountyRecords: 2007-004018</v>
      </c>
    </row>
    <row r="773" spans="1:11" x14ac:dyDescent="0.25">
      <c r="A773" s="355" t="s">
        <v>3336</v>
      </c>
      <c r="B773" s="355">
        <v>40</v>
      </c>
      <c r="C773" s="355" t="s">
        <v>114</v>
      </c>
      <c r="D773" s="359" t="s">
        <v>3337</v>
      </c>
      <c r="E773" s="356">
        <v>39336</v>
      </c>
      <c r="F773" s="356">
        <v>39336</v>
      </c>
      <c r="G773" s="355" t="s">
        <v>3338</v>
      </c>
      <c r="H773" s="355" t="s">
        <v>3339</v>
      </c>
      <c r="I773" s="355" t="s">
        <v>717</v>
      </c>
      <c r="J773" s="355" t="s">
        <v>2688</v>
      </c>
      <c r="K773" s="426" t="str">
        <f>HYPERLINK("https://okcountyrecords.com/detail/roger+mills/2007-008043","63e8b9a8d056433a9994fe46ca85076b.pdf | OKCountyRecords: 2007-008043")</f>
        <v>63e8b9a8d056433a9994fe46ca85076b.pdf | OKCountyRecords: 2007-008043</v>
      </c>
    </row>
    <row r="774" spans="1:11" x14ac:dyDescent="0.25">
      <c r="A774" s="355" t="s">
        <v>3342</v>
      </c>
      <c r="B774" s="355"/>
      <c r="C774" s="355" t="s">
        <v>1274</v>
      </c>
      <c r="D774" s="355" t="s">
        <v>3343</v>
      </c>
      <c r="E774" s="356">
        <v>39400</v>
      </c>
      <c r="F774" s="356">
        <v>39400</v>
      </c>
      <c r="G774" s="355" t="s">
        <v>433</v>
      </c>
      <c r="H774" s="355" t="s">
        <v>1110</v>
      </c>
      <c r="I774" s="355" t="s">
        <v>2543</v>
      </c>
      <c r="J774" s="355" t="s">
        <v>985</v>
      </c>
      <c r="K774" s="426" t="str">
        <f>HYPERLINK("https://okcountyrecords.com/detail/roger+mills/2007-005167","OKCountyRecords: 2007-005167")</f>
        <v>OKCountyRecords: 2007-005167</v>
      </c>
    </row>
    <row r="775" spans="1:11" x14ac:dyDescent="0.25">
      <c r="A775" s="355" t="s">
        <v>3344</v>
      </c>
      <c r="B775" s="355"/>
      <c r="C775" s="355" t="s">
        <v>2827</v>
      </c>
      <c r="D775" s="355" t="s">
        <v>3345</v>
      </c>
      <c r="E775" s="356">
        <v>39609</v>
      </c>
      <c r="F775" s="356">
        <v>39612</v>
      </c>
      <c r="G775" s="355" t="s">
        <v>3346</v>
      </c>
      <c r="H775" s="355" t="s">
        <v>3347</v>
      </c>
      <c r="I775" s="355" t="s">
        <v>3348</v>
      </c>
      <c r="J775" s="355" t="s">
        <v>985</v>
      </c>
      <c r="K775" s="426" t="str">
        <f>HYPERLINK("https://okcountyrecords.com/detail/roger+mills/2008-003157","OKCountyRecords: 2008-003157")</f>
        <v>OKCountyRecords: 2008-003157</v>
      </c>
    </row>
    <row r="776" spans="1:11" x14ac:dyDescent="0.25">
      <c r="A776" s="355" t="s">
        <v>3349</v>
      </c>
      <c r="B776" s="355"/>
      <c r="C776" s="355" t="s">
        <v>82</v>
      </c>
      <c r="D776" s="355" t="s">
        <v>3350</v>
      </c>
      <c r="E776" s="356">
        <v>39645</v>
      </c>
      <c r="F776" s="356">
        <v>39652</v>
      </c>
      <c r="G776" s="355" t="s">
        <v>3351</v>
      </c>
      <c r="H776" s="355" t="s">
        <v>3352</v>
      </c>
      <c r="I776" s="355" t="s">
        <v>2526</v>
      </c>
      <c r="J776" s="355" t="s">
        <v>1625</v>
      </c>
      <c r="K776" s="426" t="str">
        <f>HYPERLINK("https://okcountyrecords.com/detail/roger+mills/2008-004060","OKCountyRecords: 2008-004060")</f>
        <v>OKCountyRecords: 2008-004060</v>
      </c>
    </row>
    <row r="777" spans="1:11" x14ac:dyDescent="0.25">
      <c r="A777" s="355" t="s">
        <v>3359</v>
      </c>
      <c r="B777" s="355"/>
      <c r="C777" s="355" t="s">
        <v>1623</v>
      </c>
      <c r="D777" s="355" t="s">
        <v>3360</v>
      </c>
      <c r="E777" s="356">
        <v>39751</v>
      </c>
      <c r="F777" s="356">
        <v>39783</v>
      </c>
      <c r="G777" s="355" t="s">
        <v>3361</v>
      </c>
      <c r="H777" s="355" t="s">
        <v>3362</v>
      </c>
      <c r="I777" s="355" t="s">
        <v>2543</v>
      </c>
      <c r="J777" s="355" t="s">
        <v>1625</v>
      </c>
      <c r="K777" s="426" t="str">
        <f>HYPERLINK("https://okcountyrecords.com/detail/roger+mills/2008-007325","OKCountyRecords: 2008-007325")</f>
        <v>OKCountyRecords: 2008-007325</v>
      </c>
    </row>
    <row r="778" spans="1:11" ht="25.5" hidden="1" x14ac:dyDescent="0.25">
      <c r="A778" s="355" t="s">
        <v>3357</v>
      </c>
      <c r="B778" s="355"/>
      <c r="C778" s="355" t="s">
        <v>3284</v>
      </c>
      <c r="D778" s="355" t="s">
        <v>3358</v>
      </c>
      <c r="E778" s="356">
        <v>39756</v>
      </c>
      <c r="F778" s="356">
        <v>39770</v>
      </c>
      <c r="G778" s="357" t="s">
        <v>3351</v>
      </c>
      <c r="H778" s="357" t="s">
        <v>3352</v>
      </c>
      <c r="I778" s="357" t="s">
        <v>2526</v>
      </c>
      <c r="J778" s="357" t="s">
        <v>996</v>
      </c>
      <c r="K778" s="426" t="str">
        <f>HYPERLINK("https://okcountyrecords.com/detail/roger+mills/2008-007080","OKCountyRecords: 2008-007080")</f>
        <v>OKCountyRecords: 2008-007080</v>
      </c>
    </row>
    <row r="779" spans="1:11" ht="38.25" hidden="1" x14ac:dyDescent="0.25">
      <c r="A779" s="355" t="s">
        <v>3374</v>
      </c>
      <c r="B779" s="355"/>
      <c r="C779" s="355" t="s">
        <v>993</v>
      </c>
      <c r="D779" s="355" t="s">
        <v>3375</v>
      </c>
      <c r="E779" s="356">
        <v>39811</v>
      </c>
      <c r="F779" s="356">
        <v>39846</v>
      </c>
      <c r="G779" s="355" t="s">
        <v>3376</v>
      </c>
      <c r="H779" s="357" t="s">
        <v>3377</v>
      </c>
      <c r="I779" s="357" t="s">
        <v>2515</v>
      </c>
      <c r="J779" s="357" t="s">
        <v>996</v>
      </c>
      <c r="K779" s="426" t="str">
        <f>HYPERLINK("https://okcountyrecords.com/detail/roger+mills/2009-000477","OKCountyRecords: 2009-000477")</f>
        <v>OKCountyRecords: 2009-000477</v>
      </c>
    </row>
    <row r="780" spans="1:11" ht="38.25" hidden="1" x14ac:dyDescent="0.25">
      <c r="A780" s="355" t="s">
        <v>3363</v>
      </c>
      <c r="B780" s="355"/>
      <c r="C780" s="355" t="s">
        <v>114</v>
      </c>
      <c r="D780" s="355" t="s">
        <v>3364</v>
      </c>
      <c r="E780" s="356">
        <v>39815</v>
      </c>
      <c r="F780" s="356">
        <v>39828</v>
      </c>
      <c r="G780" s="355" t="s">
        <v>3365</v>
      </c>
      <c r="H780" s="355" t="s">
        <v>3366</v>
      </c>
      <c r="I780" s="357" t="s">
        <v>2515</v>
      </c>
      <c r="J780" s="357" t="s">
        <v>996</v>
      </c>
      <c r="K780" s="426" t="str">
        <f>HYPERLINK("https://okcountyrecords.com/detail/roger+mills/2009-000222","OKCountyRecords: 2009-000222")</f>
        <v>OKCountyRecords: 2009-000222</v>
      </c>
    </row>
    <row r="781" spans="1:11" x14ac:dyDescent="0.25">
      <c r="A781" s="355" t="s">
        <v>3378</v>
      </c>
      <c r="B781" s="355"/>
      <c r="C781" s="355" t="s">
        <v>3379</v>
      </c>
      <c r="D781" s="355" t="s">
        <v>3380</v>
      </c>
      <c r="E781" s="356">
        <v>39854</v>
      </c>
      <c r="F781" s="356">
        <v>39861</v>
      </c>
      <c r="G781" s="355" t="s">
        <v>3381</v>
      </c>
      <c r="H781" s="355" t="s">
        <v>1110</v>
      </c>
      <c r="I781" s="355" t="s">
        <v>2667</v>
      </c>
      <c r="J781" s="355" t="s">
        <v>985</v>
      </c>
      <c r="K781" s="426" t="str">
        <f>HYPERLINK("https://okcountyrecords.com/detail/roger+mills/2009-000702","OKCountyRecords: 2009-000702")</f>
        <v>OKCountyRecords: 2009-000702</v>
      </c>
    </row>
    <row r="782" spans="1:11" x14ac:dyDescent="0.25">
      <c r="A782" s="355" t="s">
        <v>3382</v>
      </c>
      <c r="B782" s="355"/>
      <c r="C782" s="355" t="s">
        <v>1623</v>
      </c>
      <c r="D782" s="355" t="s">
        <v>3383</v>
      </c>
      <c r="E782" s="356">
        <v>39871</v>
      </c>
      <c r="F782" s="356">
        <v>39874</v>
      </c>
      <c r="G782" s="355" t="s">
        <v>3384</v>
      </c>
      <c r="H782" s="355" t="s">
        <v>3385</v>
      </c>
      <c r="I782" s="355" t="s">
        <v>2543</v>
      </c>
      <c r="J782" s="355" t="s">
        <v>1625</v>
      </c>
      <c r="K782" s="426" t="str">
        <f>HYPERLINK("https://okcountyrecords.com/detail/roger+mills/2009-000895","OKCountyRecords: 2009-000895")</f>
        <v>OKCountyRecords: 2009-000895</v>
      </c>
    </row>
    <row r="783" spans="1:11" x14ac:dyDescent="0.25">
      <c r="A783" s="355" t="s">
        <v>3386</v>
      </c>
      <c r="B783" s="355"/>
      <c r="C783" s="355" t="s">
        <v>2430</v>
      </c>
      <c r="D783" s="355" t="s">
        <v>3387</v>
      </c>
      <c r="E783" s="356">
        <v>39939</v>
      </c>
      <c r="F783" s="356">
        <v>39941</v>
      </c>
      <c r="G783" s="355" t="s">
        <v>3388</v>
      </c>
      <c r="H783" s="355" t="s">
        <v>3389</v>
      </c>
      <c r="I783" s="355" t="s">
        <v>3390</v>
      </c>
      <c r="J783" s="355" t="s">
        <v>985</v>
      </c>
      <c r="K783" s="426" t="str">
        <f>HYPERLINK("https://okcountyrecords.com/detail/roger+mills/2009-002005","OKCountyRecords: 2009-002005")</f>
        <v>OKCountyRecords: 2009-002005</v>
      </c>
    </row>
    <row r="784" spans="1:11" x14ac:dyDescent="0.25">
      <c r="A784" s="355" t="s">
        <v>3391</v>
      </c>
      <c r="B784" s="355"/>
      <c r="C784" s="355" t="s">
        <v>3392</v>
      </c>
      <c r="D784" s="355" t="s">
        <v>3393</v>
      </c>
      <c r="E784" s="356">
        <v>39945</v>
      </c>
      <c r="F784" s="356">
        <v>39947</v>
      </c>
      <c r="G784" s="355" t="s">
        <v>3394</v>
      </c>
      <c r="H784" s="355" t="s">
        <v>3395</v>
      </c>
      <c r="I784" s="355" t="s">
        <v>3396</v>
      </c>
      <c r="J784" s="355" t="s">
        <v>985</v>
      </c>
      <c r="K784" s="426" t="str">
        <f>HYPERLINK("https://okcountyrecords.com/detail/roger+mills/2009-002096","OKCountyRecords: 2009-002096")</f>
        <v>OKCountyRecords: 2009-002096</v>
      </c>
    </row>
    <row r="785" spans="1:11" x14ac:dyDescent="0.25">
      <c r="A785" s="355" t="s">
        <v>3397</v>
      </c>
      <c r="B785" s="355"/>
      <c r="C785" s="355" t="s">
        <v>2506</v>
      </c>
      <c r="D785" s="355" t="s">
        <v>3398</v>
      </c>
      <c r="E785" s="356">
        <v>39981</v>
      </c>
      <c r="F785" s="356">
        <v>40001</v>
      </c>
      <c r="G785" s="355" t="s">
        <v>3399</v>
      </c>
      <c r="H785" s="355" t="s">
        <v>3400</v>
      </c>
      <c r="I785" s="355" t="s">
        <v>3401</v>
      </c>
      <c r="J785" s="355" t="s">
        <v>985</v>
      </c>
      <c r="K785" s="426" t="str">
        <f>HYPERLINK("https://okcountyrecords.com/detail/roger+mills/2009-002872","OKCountyRecords: 2009-002872")</f>
        <v>OKCountyRecords: 2009-002872</v>
      </c>
    </row>
    <row r="786" spans="1:11" x14ac:dyDescent="0.25">
      <c r="A786" s="355" t="s">
        <v>3402</v>
      </c>
      <c r="B786" s="355"/>
      <c r="C786" s="355" t="s">
        <v>2430</v>
      </c>
      <c r="D786" s="355" t="s">
        <v>3403</v>
      </c>
      <c r="E786" s="356">
        <v>40009</v>
      </c>
      <c r="F786" s="356">
        <v>40011</v>
      </c>
      <c r="G786" s="355" t="s">
        <v>3404</v>
      </c>
      <c r="H786" s="355" t="s">
        <v>3405</v>
      </c>
      <c r="I786" s="355" t="s">
        <v>3390</v>
      </c>
      <c r="J786" s="355" t="s">
        <v>985</v>
      </c>
      <c r="K786" s="426" t="str">
        <f>HYPERLINK("https://okcountyrecords.com/detail/roger+mills/2009-002996","OKCountyRecords: 2009-002996")</f>
        <v>OKCountyRecords: 2009-002996</v>
      </c>
    </row>
    <row r="787" spans="1:11" x14ac:dyDescent="0.25">
      <c r="A787" s="360" t="s">
        <v>3406</v>
      </c>
      <c r="B787" s="360"/>
      <c r="C787" s="360" t="s">
        <v>3333</v>
      </c>
      <c r="D787" s="360" t="s">
        <v>3407</v>
      </c>
      <c r="E787" s="361">
        <v>40059</v>
      </c>
      <c r="F787" s="361">
        <v>40094</v>
      </c>
      <c r="G787" s="360" t="s">
        <v>3408</v>
      </c>
      <c r="H787" s="360" t="s">
        <v>3409</v>
      </c>
      <c r="I787" s="360" t="s">
        <v>3410</v>
      </c>
      <c r="J787" s="360" t="s">
        <v>1095</v>
      </c>
      <c r="K787" s="427" t="str">
        <f>HYPERLINK("https://okcountyrecords.com/detail/roger+mills/2009-004292","OKCountyRecords: 2009-004292")</f>
        <v>OKCountyRecords: 2009-004292</v>
      </c>
    </row>
    <row r="788" spans="1:11" x14ac:dyDescent="0.25">
      <c r="A788" s="355" t="s">
        <v>3413</v>
      </c>
      <c r="B788" s="355"/>
      <c r="C788" s="355" t="s">
        <v>82</v>
      </c>
      <c r="D788" s="355" t="s">
        <v>3414</v>
      </c>
      <c r="E788" s="356">
        <v>40067</v>
      </c>
      <c r="F788" s="356">
        <v>40238</v>
      </c>
      <c r="G788" s="355" t="s">
        <v>3415</v>
      </c>
      <c r="H788" s="355" t="s">
        <v>3416</v>
      </c>
      <c r="I788" s="355" t="s">
        <v>2543</v>
      </c>
      <c r="J788" s="355" t="s">
        <v>1625</v>
      </c>
      <c r="K788" s="426" t="str">
        <f>HYPERLINK("https://okcountyrecords.com/detail/roger+mills/2010-002337","OKCountyRecords: 2010-002337")</f>
        <v>OKCountyRecords: 2010-002337</v>
      </c>
    </row>
    <row r="789" spans="1:11" ht="38.25" hidden="1" x14ac:dyDescent="0.25">
      <c r="A789" s="355" t="s">
        <v>3411</v>
      </c>
      <c r="B789" s="355"/>
      <c r="C789" s="355" t="s">
        <v>2902</v>
      </c>
      <c r="D789" s="355" t="s">
        <v>3412</v>
      </c>
      <c r="E789" s="356">
        <v>40133</v>
      </c>
      <c r="F789" s="356">
        <v>40158</v>
      </c>
      <c r="G789" s="355" t="s">
        <v>944</v>
      </c>
      <c r="H789" s="357" t="s">
        <v>2856</v>
      </c>
      <c r="I789" s="357" t="s">
        <v>1003</v>
      </c>
      <c r="J789" s="357" t="s">
        <v>996</v>
      </c>
      <c r="K789" s="426" t="str">
        <f>HYPERLINK("https://okcountyrecords.com/detail/roger+mills/2009-006282","OKCountyRecords: 2009-006282")</f>
        <v>OKCountyRecords: 2009-006282</v>
      </c>
    </row>
    <row r="790" spans="1:11" x14ac:dyDescent="0.25">
      <c r="A790" s="360" t="s">
        <v>3417</v>
      </c>
      <c r="B790" s="360"/>
      <c r="C790" s="360" t="s">
        <v>3418</v>
      </c>
      <c r="D790" s="360" t="s">
        <v>3419</v>
      </c>
      <c r="E790" s="361">
        <v>40298</v>
      </c>
      <c r="F790" s="361">
        <v>40315</v>
      </c>
      <c r="G790" s="360" t="s">
        <v>3420</v>
      </c>
      <c r="H790" s="360" t="s">
        <v>1110</v>
      </c>
      <c r="I790" s="360" t="s">
        <v>1012</v>
      </c>
      <c r="J790" s="360" t="s">
        <v>1095</v>
      </c>
      <c r="K790" s="427" t="str">
        <f>HYPERLINK("https://okcountyrecords.com/detail/roger+mills/2010-005367","OKCountyRecords: 2010-005367")</f>
        <v>OKCountyRecords: 2010-005367</v>
      </c>
    </row>
    <row r="791" spans="1:11" x14ac:dyDescent="0.25">
      <c r="A791" s="355" t="s">
        <v>3432</v>
      </c>
      <c r="B791" s="355"/>
      <c r="C791" s="355" t="s">
        <v>2441</v>
      </c>
      <c r="D791" s="355" t="s">
        <v>3433</v>
      </c>
      <c r="E791" s="356">
        <v>40318</v>
      </c>
      <c r="F791" s="356">
        <v>40357</v>
      </c>
      <c r="G791" s="355" t="s">
        <v>3434</v>
      </c>
      <c r="H791" s="355" t="s">
        <v>3362</v>
      </c>
      <c r="I791" s="355" t="s">
        <v>2543</v>
      </c>
      <c r="J791" s="355" t="s">
        <v>1095</v>
      </c>
      <c r="K791" s="426" t="str">
        <f>HYPERLINK("https://okcountyrecords.com/detail/roger+mills/2010-006561","OKCountyRecords: 2010-006561")</f>
        <v>OKCountyRecords: 2010-006561</v>
      </c>
    </row>
    <row r="792" spans="1:11" x14ac:dyDescent="0.25">
      <c r="A792" s="355" t="s">
        <v>3421</v>
      </c>
      <c r="B792" s="355"/>
      <c r="C792" s="355" t="s">
        <v>1623</v>
      </c>
      <c r="D792" s="355" t="s">
        <v>3422</v>
      </c>
      <c r="E792" s="356">
        <v>40333</v>
      </c>
      <c r="F792" s="356">
        <v>40336</v>
      </c>
      <c r="G792" s="355" t="s">
        <v>3423</v>
      </c>
      <c r="H792" s="355" t="s">
        <v>3424</v>
      </c>
      <c r="I792" s="355" t="s">
        <v>2543</v>
      </c>
      <c r="J792" s="355" t="s">
        <v>1625</v>
      </c>
      <c r="K792" s="426" t="str">
        <f>HYPERLINK("https://okcountyrecords.com/detail/roger+mills/2010-005993","OKCountyRecords: 2010-005993")</f>
        <v>OKCountyRecords: 2010-005993</v>
      </c>
    </row>
    <row r="793" spans="1:11" ht="25.5" hidden="1" x14ac:dyDescent="0.25">
      <c r="A793" s="355" t="s">
        <v>3425</v>
      </c>
      <c r="B793" s="355"/>
      <c r="C793" s="355" t="s">
        <v>114</v>
      </c>
      <c r="D793" s="355" t="s">
        <v>3426</v>
      </c>
      <c r="E793" s="356">
        <v>40338</v>
      </c>
      <c r="F793" s="356">
        <v>40345</v>
      </c>
      <c r="G793" s="355" t="s">
        <v>2522</v>
      </c>
      <c r="H793" s="355" t="s">
        <v>3427</v>
      </c>
      <c r="I793" s="357" t="s">
        <v>1980</v>
      </c>
      <c r="J793" s="357" t="s">
        <v>996</v>
      </c>
      <c r="K793" s="426" t="str">
        <f>HYPERLINK("https://okcountyrecords.com/detail/roger+mills/2010-006265","OKCountyRecords: 2010-006265")</f>
        <v>OKCountyRecords: 2010-006265</v>
      </c>
    </row>
    <row r="794" spans="1:11" ht="25.5" hidden="1" x14ac:dyDescent="0.25">
      <c r="A794" s="355" t="s">
        <v>3428</v>
      </c>
      <c r="B794" s="355"/>
      <c r="C794" s="355" t="s">
        <v>114</v>
      </c>
      <c r="D794" s="355" t="s">
        <v>3429</v>
      </c>
      <c r="E794" s="356">
        <v>40338</v>
      </c>
      <c r="F794" s="356">
        <v>40345</v>
      </c>
      <c r="G794" s="355" t="s">
        <v>3430</v>
      </c>
      <c r="H794" s="357" t="s">
        <v>3431</v>
      </c>
      <c r="I794" s="357" t="s">
        <v>1980</v>
      </c>
      <c r="J794" s="357" t="s">
        <v>996</v>
      </c>
      <c r="K794" s="426" t="str">
        <f>HYPERLINK("https://okcountyrecords.com/detail/roger+mills/2010-006266","OKCountyRecords: 2010-006266")</f>
        <v>OKCountyRecords: 2010-006266</v>
      </c>
    </row>
    <row r="795" spans="1:11" x14ac:dyDescent="0.25">
      <c r="A795" s="355" t="s">
        <v>3435</v>
      </c>
      <c r="B795" s="355"/>
      <c r="C795" s="355" t="s">
        <v>1623</v>
      </c>
      <c r="D795" s="355" t="s">
        <v>3436</v>
      </c>
      <c r="E795" s="356">
        <v>40357</v>
      </c>
      <c r="F795" s="356">
        <v>40374</v>
      </c>
      <c r="G795" s="355" t="s">
        <v>620</v>
      </c>
      <c r="H795" s="355" t="s">
        <v>3138</v>
      </c>
      <c r="I795" s="355" t="s">
        <v>488</v>
      </c>
      <c r="J795" s="355" t="s">
        <v>1625</v>
      </c>
      <c r="K795" s="426" t="str">
        <f>HYPERLINK("https://okcountyrecords.com/detail/roger+mills/2010-007125","OKCountyRecords: 2010-007125")</f>
        <v>OKCountyRecords: 2010-007125</v>
      </c>
    </row>
    <row r="796" spans="1:11" x14ac:dyDescent="0.25">
      <c r="A796" s="360" t="s">
        <v>3448</v>
      </c>
      <c r="B796" s="360"/>
      <c r="C796" s="360" t="s">
        <v>3449</v>
      </c>
      <c r="D796" s="360" t="s">
        <v>3450</v>
      </c>
      <c r="E796" s="361">
        <v>40360</v>
      </c>
      <c r="F796" s="361">
        <v>40483</v>
      </c>
      <c r="G796" s="360" t="s">
        <v>3330</v>
      </c>
      <c r="H796" s="360" t="s">
        <v>3347</v>
      </c>
      <c r="I796" s="360" t="s">
        <v>3348</v>
      </c>
      <c r="J796" s="360" t="s">
        <v>1095</v>
      </c>
      <c r="K796" s="427" t="str">
        <f>HYPERLINK("https://okcountyrecords.com/detail/roger+mills/2010-010052","OKCountyRecords: 2010-010052")</f>
        <v>OKCountyRecords: 2010-010052</v>
      </c>
    </row>
    <row r="797" spans="1:11" ht="25.5" hidden="1" x14ac:dyDescent="0.25">
      <c r="A797" s="355" t="s">
        <v>3437</v>
      </c>
      <c r="B797" s="355"/>
      <c r="C797" s="355" t="s">
        <v>114</v>
      </c>
      <c r="D797" s="355" t="s">
        <v>3438</v>
      </c>
      <c r="E797" s="356">
        <v>40396</v>
      </c>
      <c r="F797" s="356">
        <v>40403</v>
      </c>
      <c r="G797" s="355" t="s">
        <v>3330</v>
      </c>
      <c r="H797" s="355" t="s">
        <v>3439</v>
      </c>
      <c r="I797" s="357" t="s">
        <v>3331</v>
      </c>
      <c r="J797" s="357" t="s">
        <v>996</v>
      </c>
      <c r="K797" s="426" t="str">
        <f>HYPERLINK("https://okcountyrecords.com/detail/roger+mills/2010-007953","OKCountyRecords: 2010-007953")</f>
        <v>OKCountyRecords: 2010-007953</v>
      </c>
    </row>
    <row r="798" spans="1:11" x14ac:dyDescent="0.25">
      <c r="A798" s="355" t="s">
        <v>3440</v>
      </c>
      <c r="B798" s="355"/>
      <c r="C798" s="355" t="s">
        <v>1623</v>
      </c>
      <c r="D798" s="355" t="s">
        <v>3441</v>
      </c>
      <c r="E798" s="356">
        <v>40416</v>
      </c>
      <c r="F798" s="356">
        <v>40438</v>
      </c>
      <c r="G798" s="355" t="s">
        <v>3442</v>
      </c>
      <c r="H798" s="355" t="s">
        <v>3443</v>
      </c>
      <c r="I798" s="355" t="s">
        <v>2543</v>
      </c>
      <c r="J798" s="355" t="s">
        <v>1625</v>
      </c>
      <c r="K798" s="426" t="str">
        <f>HYPERLINK("https://okcountyrecords.com/detail/roger+mills/2010-008922","OKCountyRecords: 2010-008922")</f>
        <v>OKCountyRecords: 2010-008922</v>
      </c>
    </row>
    <row r="799" spans="1:11" x14ac:dyDescent="0.25">
      <c r="A799" s="355" t="s">
        <v>3444</v>
      </c>
      <c r="B799" s="355"/>
      <c r="C799" s="355" t="s">
        <v>1623</v>
      </c>
      <c r="D799" s="355" t="s">
        <v>3445</v>
      </c>
      <c r="E799" s="356">
        <v>40437</v>
      </c>
      <c r="F799" s="356">
        <v>40441</v>
      </c>
      <c r="G799" s="355" t="s">
        <v>3446</v>
      </c>
      <c r="H799" s="355" t="s">
        <v>3447</v>
      </c>
      <c r="I799" s="355" t="s">
        <v>1980</v>
      </c>
      <c r="J799" s="355" t="s">
        <v>1625</v>
      </c>
      <c r="K799" s="426" t="str">
        <f>HYPERLINK("https://okcountyrecords.com/detail/roger+mills/2010-008934","OKCountyRecords: 2010-008934")</f>
        <v>OKCountyRecords: 2010-008934</v>
      </c>
    </row>
    <row r="800" spans="1:11" x14ac:dyDescent="0.25">
      <c r="A800" s="355" t="s">
        <v>3451</v>
      </c>
      <c r="B800" s="355"/>
      <c r="C800" s="355" t="s">
        <v>3392</v>
      </c>
      <c r="D800" s="355" t="s">
        <v>3452</v>
      </c>
      <c r="E800" s="356">
        <v>40513</v>
      </c>
      <c r="F800" s="356">
        <v>40549</v>
      </c>
      <c r="G800" s="355" t="s">
        <v>3453</v>
      </c>
      <c r="H800" s="355" t="s">
        <v>3454</v>
      </c>
      <c r="I800" s="355" t="s">
        <v>1003</v>
      </c>
      <c r="J800" s="355" t="s">
        <v>985</v>
      </c>
      <c r="K800" s="426" t="str">
        <f>HYPERLINK("https://okcountyrecords.com/detail/roger+mills/2011-000110","OKCountyRecords: 2011-000110")</f>
        <v>OKCountyRecords: 2011-000110</v>
      </c>
    </row>
    <row r="801" spans="1:11" x14ac:dyDescent="0.25">
      <c r="A801" s="355" t="s">
        <v>3455</v>
      </c>
      <c r="B801" s="355"/>
      <c r="C801" s="355" t="s">
        <v>3456</v>
      </c>
      <c r="D801" s="355" t="s">
        <v>3457</v>
      </c>
      <c r="E801" s="356">
        <v>40577</v>
      </c>
      <c r="F801" s="356">
        <v>40592</v>
      </c>
      <c r="G801" s="355" t="s">
        <v>3458</v>
      </c>
      <c r="H801" s="355" t="s">
        <v>3459</v>
      </c>
      <c r="I801" s="355" t="s">
        <v>2916</v>
      </c>
      <c r="J801" s="355" t="s">
        <v>1625</v>
      </c>
      <c r="K801" s="426" t="str">
        <f>HYPERLINK("https://okcountyrecords.com/detail/roger+mills/2011-001007","OKCountyRecords: 2011-001007")</f>
        <v>OKCountyRecords: 2011-001007</v>
      </c>
    </row>
    <row r="802" spans="1:11" x14ac:dyDescent="0.25">
      <c r="A802" s="355" t="s">
        <v>3460</v>
      </c>
      <c r="B802" s="355"/>
      <c r="C802" s="355" t="s">
        <v>3456</v>
      </c>
      <c r="D802" s="355" t="s">
        <v>3461</v>
      </c>
      <c r="E802" s="356">
        <v>40577</v>
      </c>
      <c r="F802" s="356">
        <v>40592</v>
      </c>
      <c r="G802" s="355" t="s">
        <v>3462</v>
      </c>
      <c r="H802" s="355" t="s">
        <v>3463</v>
      </c>
      <c r="I802" s="355" t="s">
        <v>2916</v>
      </c>
      <c r="J802" s="606" t="s">
        <v>2796</v>
      </c>
      <c r="K802" s="426" t="str">
        <f>HYPERLINK("https://okcountyrecords.com/detail/roger+mills/2011-001008","OKCountyRecords: 2011-001008")</f>
        <v>OKCountyRecords: 2011-001008</v>
      </c>
    </row>
    <row r="803" spans="1:11" x14ac:dyDescent="0.25">
      <c r="A803" s="355" t="s">
        <v>3464</v>
      </c>
      <c r="B803" s="355"/>
      <c r="C803" s="355" t="s">
        <v>3456</v>
      </c>
      <c r="D803" s="355" t="s">
        <v>3465</v>
      </c>
      <c r="E803" s="356">
        <v>40583</v>
      </c>
      <c r="F803" s="356">
        <v>40592</v>
      </c>
      <c r="G803" s="355" t="s">
        <v>3466</v>
      </c>
      <c r="H803" s="355" t="s">
        <v>3467</v>
      </c>
      <c r="I803" s="355" t="s">
        <v>2916</v>
      </c>
      <c r="J803" s="606" t="s">
        <v>2796</v>
      </c>
      <c r="K803" s="426" t="str">
        <f>HYPERLINK("https://okcountyrecords.com/detail/roger+mills/2011-001009","OKCountyRecords: 2011-001009")</f>
        <v>OKCountyRecords: 2011-001009</v>
      </c>
    </row>
    <row r="804" spans="1:11" x14ac:dyDescent="0.25">
      <c r="A804" s="355" t="s">
        <v>3468</v>
      </c>
      <c r="B804" s="355"/>
      <c r="C804" s="355" t="s">
        <v>1623</v>
      </c>
      <c r="D804" s="355" t="s">
        <v>3469</v>
      </c>
      <c r="E804" s="356">
        <v>40661</v>
      </c>
      <c r="F804" s="356">
        <v>40665</v>
      </c>
      <c r="G804" s="355" t="s">
        <v>3470</v>
      </c>
      <c r="H804" s="355" t="s">
        <v>3471</v>
      </c>
      <c r="I804" s="355" t="s">
        <v>2543</v>
      </c>
      <c r="J804" s="355" t="s">
        <v>1625</v>
      </c>
      <c r="K804" s="426" t="str">
        <f>HYPERLINK("https://okcountyrecords.com/detail/roger+mills/2011-003023","OKCountyRecords: 2011-003023")</f>
        <v>OKCountyRecords: 2011-003023</v>
      </c>
    </row>
    <row r="805" spans="1:11" x14ac:dyDescent="0.25">
      <c r="A805" s="355" t="s">
        <v>3472</v>
      </c>
      <c r="B805" s="355"/>
      <c r="C805" s="355" t="s">
        <v>1623</v>
      </c>
      <c r="D805" s="355" t="s">
        <v>3473</v>
      </c>
      <c r="E805" s="356">
        <v>40778</v>
      </c>
      <c r="F805" s="356">
        <v>40781</v>
      </c>
      <c r="G805" s="355" t="s">
        <v>3474</v>
      </c>
      <c r="H805" s="355" t="s">
        <v>3475</v>
      </c>
      <c r="I805" s="355" t="s">
        <v>3476</v>
      </c>
      <c r="J805" s="355" t="s">
        <v>1625</v>
      </c>
      <c r="K805" s="426" t="str">
        <f>HYPERLINK("https://okcountyrecords.com/detail/roger+mills/2011-005695","OKCountyRecords: 2011-005695")</f>
        <v>OKCountyRecords: 2011-005695</v>
      </c>
    </row>
    <row r="806" spans="1:11" x14ac:dyDescent="0.25">
      <c r="A806" s="355" t="s">
        <v>3477</v>
      </c>
      <c r="B806" s="355"/>
      <c r="C806" s="355" t="s">
        <v>2506</v>
      </c>
      <c r="D806" s="355" t="s">
        <v>3478</v>
      </c>
      <c r="E806" s="356">
        <v>40788</v>
      </c>
      <c r="F806" s="356">
        <v>40793</v>
      </c>
      <c r="G806" s="355" t="s">
        <v>3479</v>
      </c>
      <c r="H806" s="355" t="s">
        <v>3480</v>
      </c>
      <c r="I806" s="355" t="s">
        <v>1003</v>
      </c>
      <c r="J806" s="355" t="s">
        <v>985</v>
      </c>
      <c r="K806" s="426" t="str">
        <f>HYPERLINK("https://okcountyrecords.com/detail/roger+mills/2011-005926","OKCountyRecords: 2011-005926")</f>
        <v>OKCountyRecords: 2011-005926</v>
      </c>
    </row>
    <row r="807" spans="1:11" x14ac:dyDescent="0.25">
      <c r="A807" s="355" t="s">
        <v>3487</v>
      </c>
      <c r="B807" s="355"/>
      <c r="C807" s="355" t="s">
        <v>1107</v>
      </c>
      <c r="D807" s="355" t="s">
        <v>3488</v>
      </c>
      <c r="E807" s="356">
        <v>40839</v>
      </c>
      <c r="F807" s="356">
        <v>40869</v>
      </c>
      <c r="G807" s="355" t="s">
        <v>3489</v>
      </c>
      <c r="H807" s="355" t="s">
        <v>1110</v>
      </c>
      <c r="I807" s="355" t="s">
        <v>2543</v>
      </c>
      <c r="J807" s="355" t="s">
        <v>1095</v>
      </c>
      <c r="K807" s="426" t="str">
        <f>HYPERLINK("https://okcountyrecords.com/detail/roger+mills/2011-007727","OKCountyRecords: 2011-007727")</f>
        <v>OKCountyRecords: 2011-007727</v>
      </c>
    </row>
    <row r="808" spans="1:11" x14ac:dyDescent="0.25">
      <c r="A808" s="355" t="s">
        <v>3481</v>
      </c>
      <c r="B808" s="355"/>
      <c r="C808" s="355" t="s">
        <v>969</v>
      </c>
      <c r="D808" s="355" t="s">
        <v>3482</v>
      </c>
      <c r="E808" s="356">
        <v>40839</v>
      </c>
      <c r="F808" s="356">
        <v>40869</v>
      </c>
      <c r="G808" s="355" t="s">
        <v>3483</v>
      </c>
      <c r="H808" s="355" t="s">
        <v>3484</v>
      </c>
      <c r="I808" s="355" t="s">
        <v>2728</v>
      </c>
      <c r="J808" s="355" t="s">
        <v>985</v>
      </c>
      <c r="K808" s="426" t="str">
        <f>HYPERLINK("https://okcountyrecords.com/detail/roger+mills/2011-007728","OKCountyRecords: 2011-007728")</f>
        <v>OKCountyRecords: 2011-007728</v>
      </c>
    </row>
    <row r="809" spans="1:11" x14ac:dyDescent="0.25">
      <c r="A809" s="355" t="s">
        <v>3485</v>
      </c>
      <c r="B809" s="355"/>
      <c r="C809" s="355" t="s">
        <v>1623</v>
      </c>
      <c r="D809" s="355" t="s">
        <v>3486</v>
      </c>
      <c r="E809" s="356">
        <v>40839</v>
      </c>
      <c r="F809" s="356">
        <v>40869</v>
      </c>
      <c r="G809" s="355" t="s">
        <v>3483</v>
      </c>
      <c r="H809" s="355" t="s">
        <v>3484</v>
      </c>
      <c r="I809" s="355" t="s">
        <v>2543</v>
      </c>
      <c r="J809" s="355" t="s">
        <v>1625</v>
      </c>
      <c r="K809" s="426" t="str">
        <f>HYPERLINK("https://okcountyrecords.com/detail/roger+mills/2011-007729","OKCountyRecords: 2011-007729")</f>
        <v>OKCountyRecords: 2011-007729</v>
      </c>
    </row>
    <row r="810" spans="1:11" x14ac:dyDescent="0.25">
      <c r="A810" s="355" t="s">
        <v>3490</v>
      </c>
      <c r="B810" s="355"/>
      <c r="C810" s="355" t="s">
        <v>1623</v>
      </c>
      <c r="D810" s="355" t="s">
        <v>3491</v>
      </c>
      <c r="E810" s="356">
        <v>40855</v>
      </c>
      <c r="F810" s="356">
        <v>40876</v>
      </c>
      <c r="G810" s="355" t="s">
        <v>3492</v>
      </c>
      <c r="H810" s="355" t="s">
        <v>3493</v>
      </c>
      <c r="I810" s="355" t="s">
        <v>3494</v>
      </c>
      <c r="J810" s="355" t="s">
        <v>1625</v>
      </c>
      <c r="K810" s="426" t="str">
        <f>HYPERLINK("https://okcountyrecords.com/detail/roger+mills/2011-007826","OKCountyRecords: 2011-007826")</f>
        <v>OKCountyRecords: 2011-007826</v>
      </c>
    </row>
    <row r="811" spans="1:11" x14ac:dyDescent="0.25">
      <c r="A811" s="355" t="s">
        <v>3495</v>
      </c>
      <c r="B811" s="355"/>
      <c r="C811" s="355" t="s">
        <v>1623</v>
      </c>
      <c r="D811" s="355" t="s">
        <v>3496</v>
      </c>
      <c r="E811" s="356">
        <v>40876</v>
      </c>
      <c r="F811" s="356">
        <v>40886</v>
      </c>
      <c r="G811" s="355" t="s">
        <v>240</v>
      </c>
      <c r="H811" s="355" t="s">
        <v>3497</v>
      </c>
      <c r="I811" s="355" t="s">
        <v>3498</v>
      </c>
      <c r="J811" s="355" t="s">
        <v>1625</v>
      </c>
      <c r="K811" s="426" t="str">
        <f>HYPERLINK("https://okcountyrecords.com/detail/roger+mills/2011-008134","OKCountyRecords: 2011-008134")</f>
        <v>OKCountyRecords: 2011-008134</v>
      </c>
    </row>
    <row r="812" spans="1:11" x14ac:dyDescent="0.25">
      <c r="A812" s="355" t="s">
        <v>3575</v>
      </c>
      <c r="B812" s="355"/>
      <c r="C812" s="355" t="s">
        <v>1623</v>
      </c>
      <c r="D812" s="355" t="s">
        <v>3576</v>
      </c>
      <c r="E812" s="356">
        <v>40876</v>
      </c>
      <c r="F812" s="356">
        <v>41592</v>
      </c>
      <c r="G812" s="355" t="s">
        <v>240</v>
      </c>
      <c r="H812" s="355" t="s">
        <v>3497</v>
      </c>
      <c r="I812" s="355" t="s">
        <v>2543</v>
      </c>
      <c r="J812" s="355" t="s">
        <v>1625</v>
      </c>
      <c r="K812" s="426" t="str">
        <f>HYPERLINK("https://okcountyrecords.com/detail/roger+mills/2013-006083","OKCountyRecords: 2013-006083")</f>
        <v>OKCountyRecords: 2013-006083</v>
      </c>
    </row>
    <row r="813" spans="1:11" x14ac:dyDescent="0.25">
      <c r="A813" s="355" t="s">
        <v>3499</v>
      </c>
      <c r="B813" s="355"/>
      <c r="C813" s="355" t="s">
        <v>1623</v>
      </c>
      <c r="D813" s="355" t="s">
        <v>3500</v>
      </c>
      <c r="E813" s="356">
        <v>40892</v>
      </c>
      <c r="F813" s="356">
        <v>40896</v>
      </c>
      <c r="G813" s="355" t="s">
        <v>3501</v>
      </c>
      <c r="H813" s="355" t="s">
        <v>3502</v>
      </c>
      <c r="I813" s="355" t="s">
        <v>3476</v>
      </c>
      <c r="J813" s="355" t="s">
        <v>1625</v>
      </c>
      <c r="K813" s="426" t="str">
        <f>HYPERLINK("https://okcountyrecords.com/detail/roger+mills/2011-008366","OKCountyRecords: 2011-008366")</f>
        <v>OKCountyRecords: 2011-008366</v>
      </c>
    </row>
    <row r="814" spans="1:11" x14ac:dyDescent="0.25">
      <c r="A814" s="355" t="s">
        <v>3503</v>
      </c>
      <c r="B814" s="355"/>
      <c r="C814" s="355" t="s">
        <v>1107</v>
      </c>
      <c r="D814" s="355" t="s">
        <v>3504</v>
      </c>
      <c r="E814" s="356">
        <v>40905</v>
      </c>
      <c r="F814" s="356">
        <v>40949</v>
      </c>
      <c r="G814" s="355" t="s">
        <v>3505</v>
      </c>
      <c r="H814" s="355" t="s">
        <v>1110</v>
      </c>
      <c r="I814" s="355" t="s">
        <v>3476</v>
      </c>
      <c r="J814" s="355" t="s">
        <v>1095</v>
      </c>
      <c r="K814" s="426" t="str">
        <f>HYPERLINK("https://okcountyrecords.com/detail/roger+mills/2012-000970","OKCountyRecords: 2012-000970")</f>
        <v>OKCountyRecords: 2012-000970</v>
      </c>
    </row>
    <row r="815" spans="1:11" x14ac:dyDescent="0.25">
      <c r="A815" s="355" t="s">
        <v>3530</v>
      </c>
      <c r="B815" s="355"/>
      <c r="C815" s="355" t="s">
        <v>2746</v>
      </c>
      <c r="D815" s="355" t="s">
        <v>3531</v>
      </c>
      <c r="E815" s="356">
        <v>40961</v>
      </c>
      <c r="F815" s="356">
        <v>41106</v>
      </c>
      <c r="G815" s="355" t="s">
        <v>3532</v>
      </c>
      <c r="H815" s="355" t="s">
        <v>3533</v>
      </c>
      <c r="I815" s="355" t="s">
        <v>2526</v>
      </c>
      <c r="J815" s="355" t="s">
        <v>1095</v>
      </c>
      <c r="K815" s="426" t="str">
        <f>HYPERLINK("https://okcountyrecords.com/detail/roger+mills/2012-005041","OKCountyRecords: 2012-005041")</f>
        <v>OKCountyRecords: 2012-005041</v>
      </c>
    </row>
    <row r="816" spans="1:11" ht="51" hidden="1" x14ac:dyDescent="0.25">
      <c r="A816" s="355" t="s">
        <v>3506</v>
      </c>
      <c r="B816" s="355"/>
      <c r="C816" s="355" t="s">
        <v>3507</v>
      </c>
      <c r="D816" s="355" t="s">
        <v>3508</v>
      </c>
      <c r="E816" s="356">
        <v>40973</v>
      </c>
      <c r="F816" s="356">
        <v>40983</v>
      </c>
      <c r="G816" s="355" t="s">
        <v>3509</v>
      </c>
      <c r="H816" s="355" t="s">
        <v>3510</v>
      </c>
      <c r="I816" s="357" t="s">
        <v>3511</v>
      </c>
      <c r="J816" s="357" t="s">
        <v>996</v>
      </c>
      <c r="K816" s="426" t="str">
        <f>HYPERLINK("https://okcountyrecords.com/detail/roger+mills/2012-001856","OKCountyRecords: 2012-001856")</f>
        <v>OKCountyRecords: 2012-001856</v>
      </c>
    </row>
    <row r="817" spans="1:11" x14ac:dyDescent="0.25">
      <c r="A817" s="355" t="s">
        <v>3512</v>
      </c>
      <c r="B817" s="355"/>
      <c r="C817" s="355" t="s">
        <v>1274</v>
      </c>
      <c r="D817" s="355" t="s">
        <v>3513</v>
      </c>
      <c r="E817" s="356">
        <v>40988</v>
      </c>
      <c r="F817" s="356">
        <v>40990</v>
      </c>
      <c r="G817" s="355" t="s">
        <v>3514</v>
      </c>
      <c r="H817" s="355" t="s">
        <v>1110</v>
      </c>
      <c r="I817" s="355" t="s">
        <v>2526</v>
      </c>
      <c r="J817" s="355" t="s">
        <v>985</v>
      </c>
      <c r="K817" s="426" t="str">
        <f>HYPERLINK("https://okcountyrecords.com/detail/roger+mills/2012-002191","OKCountyRecords: 2012-002191")</f>
        <v>OKCountyRecords: 2012-002191</v>
      </c>
    </row>
    <row r="818" spans="1:11" hidden="1" x14ac:dyDescent="0.25">
      <c r="A818" s="355" t="s">
        <v>3515</v>
      </c>
      <c r="B818" s="355"/>
      <c r="C818" s="355" t="s">
        <v>114</v>
      </c>
      <c r="D818" s="355" t="s">
        <v>3516</v>
      </c>
      <c r="E818" s="356">
        <v>41000</v>
      </c>
      <c r="F818" s="356">
        <v>41002</v>
      </c>
      <c r="G818" s="355" t="s">
        <v>3510</v>
      </c>
      <c r="H818" s="355" t="s">
        <v>3517</v>
      </c>
      <c r="I818" s="357" t="s">
        <v>1003</v>
      </c>
      <c r="J818" s="357" t="s">
        <v>996</v>
      </c>
      <c r="K818" s="426" t="str">
        <f>HYPERLINK("https://okcountyrecords.com/detail/roger+mills/2012-002539","OKCountyRecords: 2012-002539")</f>
        <v>OKCountyRecords: 2012-002539</v>
      </c>
    </row>
    <row r="819" spans="1:11" hidden="1" x14ac:dyDescent="0.25">
      <c r="A819" s="355" t="s">
        <v>3534</v>
      </c>
      <c r="B819" s="355"/>
      <c r="C819" s="355" t="s">
        <v>3535</v>
      </c>
      <c r="D819" s="355" t="s">
        <v>3536</v>
      </c>
      <c r="E819" s="356">
        <v>41000</v>
      </c>
      <c r="F819" s="356">
        <v>41145</v>
      </c>
      <c r="G819" s="355" t="s">
        <v>3510</v>
      </c>
      <c r="H819" s="355" t="s">
        <v>3517</v>
      </c>
      <c r="I819" s="357" t="s">
        <v>1003</v>
      </c>
      <c r="J819" s="357" t="s">
        <v>996</v>
      </c>
      <c r="K819" s="426" t="str">
        <f>HYPERLINK("https://okcountyrecords.com/detail/roger+mills/2012-005854","OKCountyRecords: 2012-005854")</f>
        <v>OKCountyRecords: 2012-005854</v>
      </c>
    </row>
    <row r="820" spans="1:11" x14ac:dyDescent="0.25">
      <c r="A820" s="355" t="s">
        <v>3518</v>
      </c>
      <c r="B820" s="355"/>
      <c r="C820" s="355" t="s">
        <v>1623</v>
      </c>
      <c r="D820" s="355" t="s">
        <v>3519</v>
      </c>
      <c r="E820" s="356">
        <v>41011</v>
      </c>
      <c r="F820" s="356">
        <v>41015</v>
      </c>
      <c r="G820" s="355" t="s">
        <v>3520</v>
      </c>
      <c r="H820" s="355" t="s">
        <v>3521</v>
      </c>
      <c r="I820" s="355" t="s">
        <v>2543</v>
      </c>
      <c r="J820" s="355" t="s">
        <v>1625</v>
      </c>
      <c r="K820" s="426" t="str">
        <f>HYPERLINK("https://okcountyrecords.com/detail/roger+mills/2012-002930","OKCountyRecords: 2012-002930")</f>
        <v>OKCountyRecords: 2012-002930</v>
      </c>
    </row>
    <row r="821" spans="1:11" x14ac:dyDescent="0.25">
      <c r="A821" s="355" t="s">
        <v>3522</v>
      </c>
      <c r="B821" s="355"/>
      <c r="C821" s="355" t="s">
        <v>1623</v>
      </c>
      <c r="D821" s="355" t="s">
        <v>3523</v>
      </c>
      <c r="E821" s="356">
        <v>41059</v>
      </c>
      <c r="F821" s="356">
        <v>41061</v>
      </c>
      <c r="G821" s="355" t="s">
        <v>3524</v>
      </c>
      <c r="H821" s="355" t="s">
        <v>3525</v>
      </c>
      <c r="I821" s="355" t="s">
        <v>3498</v>
      </c>
      <c r="J821" s="355" t="s">
        <v>1625</v>
      </c>
      <c r="K821" s="426" t="str">
        <f>HYPERLINK("https://okcountyrecords.com/detail/roger+mills/2012-004060","OKCountyRecords: 2012-004060")</f>
        <v>OKCountyRecords: 2012-004060</v>
      </c>
    </row>
    <row r="822" spans="1:11" ht="25.5" hidden="1" x14ac:dyDescent="0.25">
      <c r="A822" s="355" t="s">
        <v>3542</v>
      </c>
      <c r="B822" s="355"/>
      <c r="C822" s="355" t="s">
        <v>114</v>
      </c>
      <c r="D822" s="355" t="s">
        <v>3543</v>
      </c>
      <c r="E822" s="356">
        <v>41074</v>
      </c>
      <c r="F822" s="356">
        <v>41173</v>
      </c>
      <c r="G822" s="355" t="s">
        <v>3544</v>
      </c>
      <c r="H822" s="357" t="s">
        <v>3545</v>
      </c>
      <c r="I822" s="357" t="s">
        <v>561</v>
      </c>
      <c r="J822" s="357" t="s">
        <v>996</v>
      </c>
      <c r="K822" s="426" t="str">
        <f>HYPERLINK("https://okcountyrecords.com/detail/roger+mills/2012-006477","OKCountyRecords: 2012-006477")</f>
        <v>OKCountyRecords: 2012-006477</v>
      </c>
    </row>
    <row r="823" spans="1:11" x14ac:dyDescent="0.25">
      <c r="A823" s="360" t="s">
        <v>3526</v>
      </c>
      <c r="B823" s="360"/>
      <c r="C823" s="360" t="s">
        <v>3333</v>
      </c>
      <c r="D823" s="360" t="s">
        <v>3527</v>
      </c>
      <c r="E823" s="361">
        <v>41092</v>
      </c>
      <c r="F823" s="361">
        <v>41095</v>
      </c>
      <c r="G823" s="360" t="s">
        <v>3528</v>
      </c>
      <c r="H823" s="360" t="s">
        <v>3529</v>
      </c>
      <c r="I823" s="360" t="s">
        <v>1003</v>
      </c>
      <c r="J823" s="360" t="s">
        <v>1095</v>
      </c>
      <c r="K823" s="427" t="str">
        <f>HYPERLINK("https://okcountyrecords.com/detail/roger+mills/2012-004836","OKCountyRecords: 2012-004836")</f>
        <v>OKCountyRecords: 2012-004836</v>
      </c>
    </row>
    <row r="824" spans="1:11" x14ac:dyDescent="0.25">
      <c r="A824" s="355" t="s">
        <v>3537</v>
      </c>
      <c r="B824" s="355">
        <v>41</v>
      </c>
      <c r="C824" s="355" t="s">
        <v>3284</v>
      </c>
      <c r="D824" s="359" t="s">
        <v>3538</v>
      </c>
      <c r="E824" s="356">
        <v>41158</v>
      </c>
      <c r="F824" s="356">
        <v>41172</v>
      </c>
      <c r="G824" s="355" t="s">
        <v>3376</v>
      </c>
      <c r="H824" s="355" t="s">
        <v>3539</v>
      </c>
      <c r="I824" s="355" t="s">
        <v>3540</v>
      </c>
      <c r="J824" s="355" t="s">
        <v>3541</v>
      </c>
      <c r="K824" s="426" t="str">
        <f>HYPERLINK("https://okcountyrecords.com/detail/roger+mills/2012-006698","OKCountyRecords: 2012-006698")</f>
        <v>OKCountyRecords: 2012-006698</v>
      </c>
    </row>
    <row r="825" spans="1:11" ht="25.5" hidden="1" x14ac:dyDescent="0.25">
      <c r="A825" s="355" t="s">
        <v>3546</v>
      </c>
      <c r="B825" s="355"/>
      <c r="C825" s="355" t="s">
        <v>114</v>
      </c>
      <c r="D825" s="355" t="s">
        <v>3547</v>
      </c>
      <c r="E825" s="356">
        <v>41215</v>
      </c>
      <c r="F825" s="356">
        <v>41227</v>
      </c>
      <c r="G825" s="355" t="s">
        <v>896</v>
      </c>
      <c r="H825" s="355" t="s">
        <v>3548</v>
      </c>
      <c r="I825" s="357" t="s">
        <v>3549</v>
      </c>
      <c r="J825" s="357" t="s">
        <v>996</v>
      </c>
      <c r="K825" s="426" t="str">
        <f>HYPERLINK("https://okcountyrecords.com/detail/roger+mills/2012-007511","OKCountyRecords: 2012-007511")</f>
        <v>OKCountyRecords: 2012-007511</v>
      </c>
    </row>
    <row r="826" spans="1:11" x14ac:dyDescent="0.25">
      <c r="A826" s="355" t="s">
        <v>3554</v>
      </c>
      <c r="B826" s="355">
        <v>42</v>
      </c>
      <c r="C826" s="355" t="s">
        <v>3284</v>
      </c>
      <c r="D826" s="359" t="s">
        <v>3555</v>
      </c>
      <c r="E826" s="356">
        <v>41255</v>
      </c>
      <c r="F826" s="356">
        <v>41318</v>
      </c>
      <c r="G826" s="355" t="s">
        <v>3556</v>
      </c>
      <c r="H826" s="355" t="s">
        <v>3557</v>
      </c>
      <c r="I826" s="355" t="s">
        <v>3558</v>
      </c>
      <c r="J826" s="355" t="s">
        <v>3541</v>
      </c>
      <c r="K826" s="426" t="str">
        <f>HYPERLINK("https://okcountyrecords.com/detail/roger+mills/2013-002047","OKCountyRecords: 2013-002047")</f>
        <v>OKCountyRecords: 2013-002047</v>
      </c>
    </row>
    <row r="827" spans="1:11" x14ac:dyDescent="0.25">
      <c r="A827" s="355" t="s">
        <v>3550</v>
      </c>
      <c r="B827" s="355"/>
      <c r="C827" s="355" t="s">
        <v>1274</v>
      </c>
      <c r="D827" s="355" t="s">
        <v>3551</v>
      </c>
      <c r="E827" s="356">
        <v>41290</v>
      </c>
      <c r="F827" s="356">
        <v>41304</v>
      </c>
      <c r="G827" s="355" t="s">
        <v>3552</v>
      </c>
      <c r="H827" s="355" t="s">
        <v>1110</v>
      </c>
      <c r="I827" s="355" t="s">
        <v>3553</v>
      </c>
      <c r="J827" s="355" t="s">
        <v>985</v>
      </c>
      <c r="K827" s="426" t="str">
        <f>HYPERLINK("https://okcountyrecords.com/detail/roger+mills/2013-000518","OKCountyRecords: 2013-000518")</f>
        <v>OKCountyRecords: 2013-000518</v>
      </c>
    </row>
    <row r="828" spans="1:11" x14ac:dyDescent="0.25">
      <c r="A828" s="355" t="s">
        <v>3559</v>
      </c>
      <c r="B828" s="355"/>
      <c r="C828" s="355" t="s">
        <v>2441</v>
      </c>
      <c r="D828" s="355" t="s">
        <v>3560</v>
      </c>
      <c r="E828" s="356">
        <v>41340</v>
      </c>
      <c r="F828" s="356">
        <v>41346</v>
      </c>
      <c r="G828" s="355" t="s">
        <v>3097</v>
      </c>
      <c r="H828" s="355" t="s">
        <v>611</v>
      </c>
      <c r="I828" s="355" t="s">
        <v>3561</v>
      </c>
      <c r="J828" s="355" t="s">
        <v>1095</v>
      </c>
      <c r="K828" s="426" t="str">
        <f>HYPERLINK("https://okcountyrecords.com/detail/roger+mills/2013-001272","OKCountyRecords: 2013-001272")</f>
        <v>OKCountyRecords: 2013-001272</v>
      </c>
    </row>
    <row r="829" spans="1:11" x14ac:dyDescent="0.25">
      <c r="A829" s="355" t="s">
        <v>3562</v>
      </c>
      <c r="B829" s="355"/>
      <c r="C829" s="355" t="s">
        <v>82</v>
      </c>
      <c r="D829" s="355" t="s">
        <v>3563</v>
      </c>
      <c r="E829" s="356">
        <v>41368</v>
      </c>
      <c r="F829" s="356">
        <v>41372</v>
      </c>
      <c r="G829" s="355" t="s">
        <v>611</v>
      </c>
      <c r="H829" s="355" t="s">
        <v>3493</v>
      </c>
      <c r="I829" s="355" t="s">
        <v>3564</v>
      </c>
      <c r="J829" s="355" t="s">
        <v>1625</v>
      </c>
      <c r="K829" s="426" t="str">
        <f>HYPERLINK("https://okcountyrecords.com/detail/roger+mills/2013-001724","OKCountyRecords: 2013-001724")</f>
        <v>OKCountyRecords: 2013-001724</v>
      </c>
    </row>
    <row r="830" spans="1:11" hidden="1" x14ac:dyDescent="0.25">
      <c r="A830" s="355" t="s">
        <v>3565</v>
      </c>
      <c r="B830" s="355"/>
      <c r="C830" s="355" t="s">
        <v>3284</v>
      </c>
      <c r="D830" s="355" t="s">
        <v>3566</v>
      </c>
      <c r="E830" s="356">
        <v>41404</v>
      </c>
      <c r="F830" s="356">
        <v>41422</v>
      </c>
      <c r="G830" s="355" t="s">
        <v>3567</v>
      </c>
      <c r="H830" s="355" t="s">
        <v>3568</v>
      </c>
      <c r="I830" s="357" t="s">
        <v>1003</v>
      </c>
      <c r="J830" s="357" t="s">
        <v>996</v>
      </c>
      <c r="K830" s="426" t="str">
        <f>HYPERLINK("https://okcountyrecords.com/detail/roger+mills/2013-002727","OKCountyRecords: 2013-002727")</f>
        <v>OKCountyRecords: 2013-002727</v>
      </c>
    </row>
    <row r="831" spans="1:11" ht="38.25" hidden="1" x14ac:dyDescent="0.25">
      <c r="A831" s="355" t="s">
        <v>3569</v>
      </c>
      <c r="B831" s="355"/>
      <c r="C831" s="355" t="s">
        <v>114</v>
      </c>
      <c r="D831" s="355" t="s">
        <v>3570</v>
      </c>
      <c r="E831" s="356">
        <v>41474</v>
      </c>
      <c r="F831" s="356">
        <v>41488</v>
      </c>
      <c r="G831" s="355" t="s">
        <v>3311</v>
      </c>
      <c r="H831" s="357" t="s">
        <v>3571</v>
      </c>
      <c r="I831" s="357" t="s">
        <v>1003</v>
      </c>
      <c r="J831" s="357" t="s">
        <v>996</v>
      </c>
      <c r="K831" s="426" t="str">
        <f>HYPERLINK("https://okcountyrecords.com/detail/roger+mills/2013-004038","OKCountyRecords: 2013-004038")</f>
        <v>OKCountyRecords: 2013-004038</v>
      </c>
    </row>
    <row r="832" spans="1:11" x14ac:dyDescent="0.25">
      <c r="A832" s="355" t="s">
        <v>3572</v>
      </c>
      <c r="B832" s="355"/>
      <c r="C832" s="355" t="s">
        <v>1623</v>
      </c>
      <c r="D832" s="355" t="s">
        <v>3573</v>
      </c>
      <c r="E832" s="356">
        <v>41482</v>
      </c>
      <c r="F832" s="356">
        <v>41495</v>
      </c>
      <c r="G832" s="355" t="s">
        <v>611</v>
      </c>
      <c r="H832" s="355" t="s">
        <v>3493</v>
      </c>
      <c r="I832" s="355" t="s">
        <v>3574</v>
      </c>
      <c r="J832" s="355" t="s">
        <v>1625</v>
      </c>
      <c r="K832" s="426" t="str">
        <f>HYPERLINK("https://okcountyrecords.com/detail/roger+mills/2013-004163","OKCountyRecords: 2013-004163")</f>
        <v>OKCountyRecords: 2013-004163</v>
      </c>
    </row>
    <row r="833" spans="1:11" x14ac:dyDescent="0.25">
      <c r="A833" s="355" t="s">
        <v>3600</v>
      </c>
      <c r="B833" s="355"/>
      <c r="C833" s="355" t="s">
        <v>1623</v>
      </c>
      <c r="D833" s="355" t="s">
        <v>3601</v>
      </c>
      <c r="E833" s="356">
        <v>41486</v>
      </c>
      <c r="F833" s="356">
        <v>41625</v>
      </c>
      <c r="G833" s="355" t="s">
        <v>3597</v>
      </c>
      <c r="H833" s="355" t="s">
        <v>3598</v>
      </c>
      <c r="I833" s="355" t="s">
        <v>3599</v>
      </c>
      <c r="J833" s="355" t="s">
        <v>1625</v>
      </c>
      <c r="K833" s="426" t="str">
        <f>HYPERLINK("https://okcountyrecords.com/detail/roger+mills/2013-006585","OKCountyRecords: 2013-006585")</f>
        <v>OKCountyRecords: 2013-006585</v>
      </c>
    </row>
    <row r="834" spans="1:11" x14ac:dyDescent="0.25">
      <c r="A834" s="355" t="s">
        <v>3577</v>
      </c>
      <c r="B834" s="355"/>
      <c r="C834" s="355" t="s">
        <v>82</v>
      </c>
      <c r="D834" s="355" t="s">
        <v>3578</v>
      </c>
      <c r="E834" s="356">
        <v>41505</v>
      </c>
      <c r="F834" s="356">
        <v>41596</v>
      </c>
      <c r="G834" s="355" t="s">
        <v>274</v>
      </c>
      <c r="H834" s="355" t="s">
        <v>3579</v>
      </c>
      <c r="I834" s="355" t="s">
        <v>2526</v>
      </c>
      <c r="J834" s="355" t="s">
        <v>1625</v>
      </c>
      <c r="K834" s="426" t="str">
        <f>HYPERLINK("https://okcountyrecords.com/detail/roger+mills/2013-006129","OKCountyRecords: 2013-006129")</f>
        <v>OKCountyRecords: 2013-006129</v>
      </c>
    </row>
    <row r="835" spans="1:11" x14ac:dyDescent="0.25">
      <c r="A835" s="355" t="s">
        <v>3588</v>
      </c>
      <c r="B835" s="355"/>
      <c r="C835" s="355" t="s">
        <v>1623</v>
      </c>
      <c r="D835" s="355" t="s">
        <v>3589</v>
      </c>
      <c r="E835" s="356">
        <v>41517</v>
      </c>
      <c r="F835" s="356">
        <v>41621</v>
      </c>
      <c r="G835" s="355" t="s">
        <v>3590</v>
      </c>
      <c r="H835" s="355" t="s">
        <v>3591</v>
      </c>
      <c r="I835" s="355" t="s">
        <v>2667</v>
      </c>
      <c r="J835" s="355" t="s">
        <v>1625</v>
      </c>
      <c r="K835" s="426" t="str">
        <f>HYPERLINK("https://okcountyrecords.com/detail/roger+mills/2013-006501","OKCountyRecords: 2013-006501")</f>
        <v>OKCountyRecords: 2013-006501</v>
      </c>
    </row>
    <row r="836" spans="1:11" x14ac:dyDescent="0.25">
      <c r="A836" s="360" t="s">
        <v>3594</v>
      </c>
      <c r="B836" s="360"/>
      <c r="C836" s="360" t="s">
        <v>3595</v>
      </c>
      <c r="D836" s="360" t="s">
        <v>3596</v>
      </c>
      <c r="E836" s="361">
        <v>41526</v>
      </c>
      <c r="F836" s="361">
        <v>41625</v>
      </c>
      <c r="G836" s="360" t="s">
        <v>3597</v>
      </c>
      <c r="H836" s="360" t="s">
        <v>3598</v>
      </c>
      <c r="I836" s="360" t="s">
        <v>3599</v>
      </c>
      <c r="J836" s="360" t="s">
        <v>1095</v>
      </c>
      <c r="K836" s="427" t="str">
        <f>HYPERLINK("https://okcountyrecords.com/detail/roger+mills/2013-006584","OKCountyRecords: 2013-006584")</f>
        <v>OKCountyRecords: 2013-006584</v>
      </c>
    </row>
    <row r="837" spans="1:11" hidden="1" x14ac:dyDescent="0.25">
      <c r="A837" s="355" t="s">
        <v>3580</v>
      </c>
      <c r="B837" s="355"/>
      <c r="C837" s="355" t="s">
        <v>114</v>
      </c>
      <c r="D837" s="355" t="s">
        <v>3581</v>
      </c>
      <c r="E837" s="356">
        <v>41543</v>
      </c>
      <c r="F837" s="356">
        <v>41599</v>
      </c>
      <c r="G837" s="355" t="s">
        <v>487</v>
      </c>
      <c r="H837" s="355" t="s">
        <v>3582</v>
      </c>
      <c r="I837" s="357" t="s">
        <v>1003</v>
      </c>
      <c r="J837" s="357" t="s">
        <v>996</v>
      </c>
      <c r="K837" s="426" t="str">
        <f>HYPERLINK("https://okcountyrecords.com/detail/roger+mills/2013-006188","OKCountyRecords: 2013-006188")</f>
        <v>OKCountyRecords: 2013-006188</v>
      </c>
    </row>
    <row r="838" spans="1:11" x14ac:dyDescent="0.25">
      <c r="A838" s="355" t="s">
        <v>3592</v>
      </c>
      <c r="B838" s="355"/>
      <c r="C838" s="355" t="s">
        <v>1623</v>
      </c>
      <c r="D838" s="355" t="s">
        <v>3593</v>
      </c>
      <c r="E838" s="356">
        <v>41575</v>
      </c>
      <c r="F838" s="356">
        <v>41621</v>
      </c>
      <c r="G838" s="355" t="s">
        <v>602</v>
      </c>
      <c r="H838" s="355" t="s">
        <v>3591</v>
      </c>
      <c r="I838" s="355" t="s">
        <v>2667</v>
      </c>
      <c r="J838" s="355" t="s">
        <v>1625</v>
      </c>
      <c r="K838" s="426" t="str">
        <f>HYPERLINK("https://okcountyrecords.com/detail/roger+mills/2013-006502","OKCountyRecords: 2013-006502")</f>
        <v>OKCountyRecords: 2013-006502</v>
      </c>
    </row>
    <row r="839" spans="1:11" x14ac:dyDescent="0.25">
      <c r="A839" s="355" t="s">
        <v>3583</v>
      </c>
      <c r="B839" s="355"/>
      <c r="C839" s="355" t="s">
        <v>2827</v>
      </c>
      <c r="D839" s="355" t="s">
        <v>3584</v>
      </c>
      <c r="E839" s="356">
        <v>41582</v>
      </c>
      <c r="F839" s="356">
        <v>41619</v>
      </c>
      <c r="G839" s="355" t="s">
        <v>3585</v>
      </c>
      <c r="H839" s="355" t="s">
        <v>3586</v>
      </c>
      <c r="I839" s="355" t="s">
        <v>3587</v>
      </c>
      <c r="J839" s="355" t="s">
        <v>985</v>
      </c>
      <c r="K839" s="426" t="str">
        <f>HYPERLINK("https://okcountyrecords.com/detail/roger+mills/2013-006415","OKCountyRecords: 2013-006415")</f>
        <v>OKCountyRecords: 2013-006415</v>
      </c>
    </row>
    <row r="840" spans="1:11" x14ac:dyDescent="0.25">
      <c r="A840" s="355" t="s">
        <v>3602</v>
      </c>
      <c r="B840" s="355"/>
      <c r="C840" s="355" t="s">
        <v>2671</v>
      </c>
      <c r="D840" s="355" t="s">
        <v>3603</v>
      </c>
      <c r="E840" s="356">
        <v>41624</v>
      </c>
      <c r="F840" s="356">
        <v>41631</v>
      </c>
      <c r="G840" s="355" t="s">
        <v>3604</v>
      </c>
      <c r="H840" s="355" t="s">
        <v>1110</v>
      </c>
      <c r="I840" s="355" t="s">
        <v>2543</v>
      </c>
      <c r="J840" s="355" t="s">
        <v>985</v>
      </c>
      <c r="K840" s="426" t="str">
        <f>HYPERLINK("https://okcountyrecords.com/detail/roger+mills/2013-006644","OKCountyRecords: 2013-006644")</f>
        <v>OKCountyRecords: 2013-006644</v>
      </c>
    </row>
    <row r="841" spans="1:11" x14ac:dyDescent="0.25">
      <c r="A841" s="355" t="s">
        <v>3605</v>
      </c>
      <c r="B841" s="355"/>
      <c r="C841" s="355" t="s">
        <v>2671</v>
      </c>
      <c r="D841" s="355" t="s">
        <v>3606</v>
      </c>
      <c r="E841" s="356">
        <v>41624</v>
      </c>
      <c r="F841" s="356">
        <v>41631</v>
      </c>
      <c r="G841" s="355" t="s">
        <v>3607</v>
      </c>
      <c r="H841" s="355" t="s">
        <v>1110</v>
      </c>
      <c r="I841" s="355" t="s">
        <v>2543</v>
      </c>
      <c r="J841" s="355" t="s">
        <v>985</v>
      </c>
      <c r="K841" s="426" t="str">
        <f>HYPERLINK("https://okcountyrecords.com/detail/roger+mills/2013-006645","OKCountyRecords: 2013-006645")</f>
        <v>OKCountyRecords: 2013-006645</v>
      </c>
    </row>
    <row r="842" spans="1:11" x14ac:dyDescent="0.25">
      <c r="A842" s="355" t="s">
        <v>3608</v>
      </c>
      <c r="B842" s="355"/>
      <c r="C842" s="355" t="s">
        <v>1107</v>
      </c>
      <c r="D842" s="355" t="s">
        <v>3609</v>
      </c>
      <c r="E842" s="356">
        <v>41730</v>
      </c>
      <c r="F842" s="356">
        <v>41746</v>
      </c>
      <c r="G842" s="355" t="s">
        <v>3610</v>
      </c>
      <c r="H842" s="355" t="s">
        <v>1110</v>
      </c>
      <c r="I842" s="355" t="s">
        <v>1003</v>
      </c>
      <c r="J842" s="355" t="s">
        <v>1095</v>
      </c>
      <c r="K842" s="426" t="str">
        <f>HYPERLINK("https://okcountyrecords.com/detail/roger+mills/2014-002337","OKCountyRecords: 2014-002337")</f>
        <v>OKCountyRecords: 2014-002337</v>
      </c>
    </row>
    <row r="843" spans="1:11" x14ac:dyDescent="0.25">
      <c r="A843" s="355" t="s">
        <v>3611</v>
      </c>
      <c r="B843" s="355"/>
      <c r="C843" s="355" t="s">
        <v>1623</v>
      </c>
      <c r="D843" s="355" t="s">
        <v>3612</v>
      </c>
      <c r="E843" s="356">
        <v>41734</v>
      </c>
      <c r="F843" s="356">
        <v>41766</v>
      </c>
      <c r="G843" s="355" t="s">
        <v>3385</v>
      </c>
      <c r="H843" s="355" t="s">
        <v>3613</v>
      </c>
      <c r="I843" s="355" t="s">
        <v>2543</v>
      </c>
      <c r="J843" s="355" t="s">
        <v>1625</v>
      </c>
      <c r="K843" s="426" t="str">
        <f>HYPERLINK("https://okcountyrecords.com/detail/roger+mills/2014-002935","OKCountyRecords: 2014-002935")</f>
        <v>OKCountyRecords: 2014-002935</v>
      </c>
    </row>
    <row r="844" spans="1:11" x14ac:dyDescent="0.25">
      <c r="A844" s="355" t="s">
        <v>3614</v>
      </c>
      <c r="B844" s="355"/>
      <c r="C844" s="355" t="s">
        <v>1623</v>
      </c>
      <c r="D844" s="355" t="s">
        <v>3615</v>
      </c>
      <c r="E844" s="356">
        <v>41746</v>
      </c>
      <c r="F844" s="356">
        <v>41774</v>
      </c>
      <c r="G844" s="355" t="s">
        <v>3616</v>
      </c>
      <c r="H844" s="355" t="s">
        <v>3617</v>
      </c>
      <c r="I844" s="355" t="s">
        <v>2515</v>
      </c>
      <c r="J844" s="355" t="s">
        <v>1625</v>
      </c>
      <c r="K844" s="426" t="str">
        <f>HYPERLINK("https://okcountyrecords.com/detail/roger+mills/2014-003089","OKCountyRecords: 2014-003089")</f>
        <v>OKCountyRecords: 2014-003089</v>
      </c>
    </row>
    <row r="845" spans="1:11" x14ac:dyDescent="0.25">
      <c r="A845" s="355" t="s">
        <v>3621</v>
      </c>
      <c r="B845" s="355"/>
      <c r="C845" s="355" t="s">
        <v>3622</v>
      </c>
      <c r="D845" s="355" t="s">
        <v>3623</v>
      </c>
      <c r="E845" s="356">
        <v>41782</v>
      </c>
      <c r="F845" s="356">
        <v>41834</v>
      </c>
      <c r="G845" s="355" t="s">
        <v>3624</v>
      </c>
      <c r="H845" s="355" t="s">
        <v>3625</v>
      </c>
      <c r="I845" s="355" t="s">
        <v>2818</v>
      </c>
      <c r="J845" s="355" t="s">
        <v>985</v>
      </c>
      <c r="K845" s="426" t="str">
        <f>HYPERLINK("https://okcountyrecords.com/detail/roger+mills/2014-004525","OKCountyRecords: 2014-004525")</f>
        <v>OKCountyRecords: 2014-004525</v>
      </c>
    </row>
    <row r="846" spans="1:11" x14ac:dyDescent="0.25">
      <c r="A846" s="355" t="s">
        <v>3618</v>
      </c>
      <c r="B846" s="355"/>
      <c r="C846" s="355" t="s">
        <v>1274</v>
      </c>
      <c r="D846" s="355" t="s">
        <v>3619</v>
      </c>
      <c r="E846" s="356">
        <v>41821</v>
      </c>
      <c r="F846" s="356">
        <v>41821</v>
      </c>
      <c r="G846" s="355" t="s">
        <v>3620</v>
      </c>
      <c r="H846" s="355" t="s">
        <v>1110</v>
      </c>
      <c r="I846" s="355" t="s">
        <v>2543</v>
      </c>
      <c r="J846" s="355" t="s">
        <v>985</v>
      </c>
      <c r="K846" s="426" t="str">
        <f>HYPERLINK("https://okcountyrecords.com/detail/roger+mills/2014-004286","OKCountyRecords: 2014-004286")</f>
        <v>OKCountyRecords: 2014-004286</v>
      </c>
    </row>
    <row r="847" spans="1:11" ht="51" hidden="1" x14ac:dyDescent="0.25">
      <c r="A847" s="355" t="s">
        <v>3631</v>
      </c>
      <c r="B847" s="355"/>
      <c r="C847" s="355" t="s">
        <v>114</v>
      </c>
      <c r="D847" s="355" t="s">
        <v>3632</v>
      </c>
      <c r="E847" s="356">
        <v>41821</v>
      </c>
      <c r="F847" s="356">
        <v>41907</v>
      </c>
      <c r="G847" s="357" t="s">
        <v>3633</v>
      </c>
      <c r="H847" s="355" t="s">
        <v>3634</v>
      </c>
      <c r="I847" s="357" t="s">
        <v>1003</v>
      </c>
      <c r="J847" s="357" t="s">
        <v>996</v>
      </c>
      <c r="K847" s="426" t="str">
        <f>HYPERLINK("https://okcountyrecords.com/detail/roger+mills/2014-005920","OKCountyRecords: 2014-005920")</f>
        <v>OKCountyRecords: 2014-005920</v>
      </c>
    </row>
    <row r="848" spans="1:11" hidden="1" x14ac:dyDescent="0.25">
      <c r="A848" s="355" t="s">
        <v>3669</v>
      </c>
      <c r="B848" s="355"/>
      <c r="C848" s="355" t="s">
        <v>114</v>
      </c>
      <c r="D848" s="355" t="s">
        <v>3670</v>
      </c>
      <c r="E848" s="356">
        <v>41821</v>
      </c>
      <c r="F848" s="356">
        <v>42250</v>
      </c>
      <c r="G848" s="355" t="s">
        <v>3671</v>
      </c>
      <c r="H848" s="355" t="s">
        <v>3672</v>
      </c>
      <c r="I848" s="357" t="s">
        <v>1003</v>
      </c>
      <c r="J848" s="357" t="s">
        <v>996</v>
      </c>
      <c r="K848" s="426" t="str">
        <f>HYPERLINK("https://okcountyrecords.com/detail/roger+mills/2015-002747","OKCountyRecords: 2015-002747")</f>
        <v>OKCountyRecords: 2015-002747</v>
      </c>
    </row>
    <row r="849" spans="1:11" x14ac:dyDescent="0.25">
      <c r="A849" s="355" t="s">
        <v>3626</v>
      </c>
      <c r="B849" s="355"/>
      <c r="C849" s="355" t="s">
        <v>1623</v>
      </c>
      <c r="D849" s="355" t="s">
        <v>3627</v>
      </c>
      <c r="E849" s="356">
        <v>41851</v>
      </c>
      <c r="F849" s="356">
        <v>41905</v>
      </c>
      <c r="G849" s="355" t="s">
        <v>3628</v>
      </c>
      <c r="H849" s="355" t="s">
        <v>3629</v>
      </c>
      <c r="I849" s="355" t="s">
        <v>3630</v>
      </c>
      <c r="J849" s="355" t="s">
        <v>1625</v>
      </c>
      <c r="K849" s="426" t="str">
        <f>HYPERLINK("https://okcountyrecords.com/detail/roger+mills/2014-005899","OKCountyRecords: 2014-005899")</f>
        <v>OKCountyRecords: 2014-005899</v>
      </c>
    </row>
    <row r="850" spans="1:11" x14ac:dyDescent="0.25">
      <c r="A850" s="355" t="s">
        <v>3635</v>
      </c>
      <c r="B850" s="355"/>
      <c r="C850" s="355" t="s">
        <v>1623</v>
      </c>
      <c r="D850" s="355" t="s">
        <v>3636</v>
      </c>
      <c r="E850" s="356">
        <v>41926</v>
      </c>
      <c r="F850" s="356">
        <v>41927</v>
      </c>
      <c r="G850" s="355" t="s">
        <v>3637</v>
      </c>
      <c r="H850" s="355" t="s">
        <v>3638</v>
      </c>
      <c r="I850" s="355" t="s">
        <v>3639</v>
      </c>
      <c r="J850" s="355" t="s">
        <v>1625</v>
      </c>
      <c r="K850" s="426" t="str">
        <f>HYPERLINK("https://okcountyrecords.com/detail/roger+mills/2014-006293","OKCountyRecords: 2014-006293")</f>
        <v>OKCountyRecords: 2014-006293</v>
      </c>
    </row>
    <row r="851" spans="1:11" x14ac:dyDescent="0.25">
      <c r="A851" s="355" t="s">
        <v>3640</v>
      </c>
      <c r="B851" s="355"/>
      <c r="C851" s="355" t="s">
        <v>1107</v>
      </c>
      <c r="D851" s="355" t="s">
        <v>3641</v>
      </c>
      <c r="E851" s="356">
        <v>41926</v>
      </c>
      <c r="F851" s="356">
        <v>41932</v>
      </c>
      <c r="G851" s="355" t="s">
        <v>3642</v>
      </c>
      <c r="H851" s="355" t="s">
        <v>1110</v>
      </c>
      <c r="I851" s="355" t="s">
        <v>1003</v>
      </c>
      <c r="J851" s="606" t="s">
        <v>3643</v>
      </c>
      <c r="K851" s="426" t="str">
        <f>HYPERLINK("https://okcountyrecords.com/detail/roger+mills/2014-006352","OKCountyRecords: 2014-006352")</f>
        <v>OKCountyRecords: 2014-006352</v>
      </c>
    </row>
    <row r="852" spans="1:11" hidden="1" x14ac:dyDescent="0.25">
      <c r="A852" s="355" t="s">
        <v>3673</v>
      </c>
      <c r="B852" s="355"/>
      <c r="C852" s="355" t="s">
        <v>114</v>
      </c>
      <c r="D852" s="355" t="s">
        <v>3674</v>
      </c>
      <c r="E852" s="356">
        <v>41944</v>
      </c>
      <c r="F852" s="356">
        <v>42250</v>
      </c>
      <c r="G852" s="355" t="s">
        <v>3675</v>
      </c>
      <c r="H852" s="355" t="s">
        <v>3672</v>
      </c>
      <c r="I852" s="357" t="s">
        <v>1003</v>
      </c>
      <c r="J852" s="357" t="s">
        <v>996</v>
      </c>
      <c r="K852" s="426" t="str">
        <f>HYPERLINK("https://okcountyrecords.com/detail/roger+mills/2015-002749","OKCountyRecords: 2015-002749")</f>
        <v>OKCountyRecords: 2015-002749</v>
      </c>
    </row>
    <row r="853" spans="1:11" ht="25.5" hidden="1" x14ac:dyDescent="0.25">
      <c r="A853" s="355" t="s">
        <v>3644</v>
      </c>
      <c r="B853" s="355"/>
      <c r="C853" s="355" t="s">
        <v>114</v>
      </c>
      <c r="D853" s="355" t="s">
        <v>3645</v>
      </c>
      <c r="E853" s="356">
        <v>41988</v>
      </c>
      <c r="F853" s="356">
        <v>42011</v>
      </c>
      <c r="G853" s="355" t="s">
        <v>3646</v>
      </c>
      <c r="H853" s="357" t="s">
        <v>3647</v>
      </c>
      <c r="I853" s="357" t="s">
        <v>1003</v>
      </c>
      <c r="J853" s="357" t="s">
        <v>996</v>
      </c>
      <c r="K853" s="426" t="str">
        <f>HYPERLINK("https://okcountyrecords.com/detail/roger+mills/2015-000058","OKCountyRecords: 2015-000058")</f>
        <v>OKCountyRecords: 2015-000058</v>
      </c>
    </row>
    <row r="854" spans="1:11" x14ac:dyDescent="0.25">
      <c r="A854" s="355" t="s">
        <v>3648</v>
      </c>
      <c r="B854" s="355"/>
      <c r="C854" s="355" t="s">
        <v>1623</v>
      </c>
      <c r="D854" s="355" t="s">
        <v>3649</v>
      </c>
      <c r="E854" s="356">
        <v>42061</v>
      </c>
      <c r="F854" s="356">
        <v>42068</v>
      </c>
      <c r="G854" s="355" t="s">
        <v>3650</v>
      </c>
      <c r="H854" s="355" t="s">
        <v>3651</v>
      </c>
      <c r="I854" s="355" t="s">
        <v>2543</v>
      </c>
      <c r="J854" s="355" t="s">
        <v>1625</v>
      </c>
      <c r="K854" s="426" t="str">
        <f>HYPERLINK("https://okcountyrecords.com/detail/roger+mills/2015-000877","OKCountyRecords: 2015-000877")</f>
        <v>OKCountyRecords: 2015-000877</v>
      </c>
    </row>
    <row r="855" spans="1:11" ht="25.5" hidden="1" x14ac:dyDescent="0.25">
      <c r="A855" s="355" t="s">
        <v>3652</v>
      </c>
      <c r="B855" s="355"/>
      <c r="C855" s="355" t="s">
        <v>2902</v>
      </c>
      <c r="D855" s="355" t="s">
        <v>3653</v>
      </c>
      <c r="E855" s="356">
        <v>42111</v>
      </c>
      <c r="F855" s="356">
        <v>42115</v>
      </c>
      <c r="G855" s="355" t="s">
        <v>278</v>
      </c>
      <c r="H855" s="355" t="s">
        <v>1110</v>
      </c>
      <c r="I855" s="357" t="s">
        <v>488</v>
      </c>
      <c r="J855" s="357" t="s">
        <v>996</v>
      </c>
      <c r="K855" s="426" t="str">
        <f>HYPERLINK("https://okcountyrecords.com/detail/roger+mills/2015-001388","OKCountyRecords: 2015-001388")</f>
        <v>OKCountyRecords: 2015-001388</v>
      </c>
    </row>
    <row r="856" spans="1:11" hidden="1" x14ac:dyDescent="0.25">
      <c r="A856" s="355" t="s">
        <v>3654</v>
      </c>
      <c r="B856" s="355"/>
      <c r="C856" s="355" t="s">
        <v>114</v>
      </c>
      <c r="D856" s="355" t="s">
        <v>3655</v>
      </c>
      <c r="E856" s="356">
        <v>42129</v>
      </c>
      <c r="F856" s="356">
        <v>42139</v>
      </c>
      <c r="G856" s="355" t="s">
        <v>3656</v>
      </c>
      <c r="H856" s="355" t="s">
        <v>3657</v>
      </c>
      <c r="I856" s="357" t="s">
        <v>1003</v>
      </c>
      <c r="J856" s="357" t="s">
        <v>996</v>
      </c>
      <c r="K856" s="426" t="str">
        <f>HYPERLINK("https://okcountyrecords.com/detail/roger+mills/2015-001661","OKCountyRecords: 2015-001661")</f>
        <v>OKCountyRecords: 2015-001661</v>
      </c>
    </row>
    <row r="857" spans="1:11" hidden="1" x14ac:dyDescent="0.25">
      <c r="A857" s="355" t="s">
        <v>3658</v>
      </c>
      <c r="B857" s="355"/>
      <c r="C857" s="355" t="s">
        <v>114</v>
      </c>
      <c r="D857" s="355" t="s">
        <v>3659</v>
      </c>
      <c r="E857" s="356">
        <v>42142</v>
      </c>
      <c r="F857" s="356">
        <v>42170</v>
      </c>
      <c r="G857" s="355" t="s">
        <v>3376</v>
      </c>
      <c r="H857" s="355" t="s">
        <v>3660</v>
      </c>
      <c r="I857" s="357" t="s">
        <v>1003</v>
      </c>
      <c r="J857" s="357" t="s">
        <v>996</v>
      </c>
      <c r="K857" s="426" t="str">
        <f>HYPERLINK("https://okcountyrecords.com/detail/roger+mills/2015-001928","OKCountyRecords: 2015-001928")</f>
        <v>OKCountyRecords: 2015-001928</v>
      </c>
    </row>
    <row r="858" spans="1:11" hidden="1" x14ac:dyDescent="0.25">
      <c r="A858" s="355" t="s">
        <v>3661</v>
      </c>
      <c r="B858" s="355"/>
      <c r="C858" s="355" t="s">
        <v>3284</v>
      </c>
      <c r="D858" s="355" t="s">
        <v>3662</v>
      </c>
      <c r="E858" s="356">
        <v>42199</v>
      </c>
      <c r="F858" s="356">
        <v>42207</v>
      </c>
      <c r="G858" s="355" t="s">
        <v>3663</v>
      </c>
      <c r="H858" s="355" t="s">
        <v>3664</v>
      </c>
      <c r="I858" s="357" t="s">
        <v>1003</v>
      </c>
      <c r="J858" s="357" t="s">
        <v>996</v>
      </c>
      <c r="K858" s="426" t="str">
        <f>HYPERLINK("https://okcountyrecords.com/detail/roger+mills/2015-002368","OKCountyRecords: 2015-002368")</f>
        <v>OKCountyRecords: 2015-002368</v>
      </c>
    </row>
    <row r="859" spans="1:11" hidden="1" x14ac:dyDescent="0.25">
      <c r="A859" s="355" t="s">
        <v>3665</v>
      </c>
      <c r="B859" s="355"/>
      <c r="C859" s="355" t="s">
        <v>3284</v>
      </c>
      <c r="D859" s="355" t="s">
        <v>3666</v>
      </c>
      <c r="E859" s="356">
        <v>42199</v>
      </c>
      <c r="F859" s="356">
        <v>42207</v>
      </c>
      <c r="G859" s="355" t="s">
        <v>3667</v>
      </c>
      <c r="H859" s="355" t="s">
        <v>3668</v>
      </c>
      <c r="I859" s="357" t="s">
        <v>1003</v>
      </c>
      <c r="J859" s="357" t="s">
        <v>996</v>
      </c>
      <c r="K859" s="426" t="str">
        <f>HYPERLINK("https://okcountyrecords.com/detail/roger+mills/2015-002369","OKCountyRecords: 2015-002369")</f>
        <v>OKCountyRecords: 2015-002369</v>
      </c>
    </row>
    <row r="860" spans="1:11" x14ac:dyDescent="0.25">
      <c r="A860" s="355" t="s">
        <v>3681</v>
      </c>
      <c r="B860" s="355"/>
      <c r="C860" s="355" t="s">
        <v>2441</v>
      </c>
      <c r="D860" s="355" t="s">
        <v>3682</v>
      </c>
      <c r="E860" s="356">
        <v>42199</v>
      </c>
      <c r="F860" s="356">
        <v>42285</v>
      </c>
      <c r="G860" s="355" t="s">
        <v>3683</v>
      </c>
      <c r="H860" s="355" t="s">
        <v>3684</v>
      </c>
      <c r="I860" s="355" t="s">
        <v>1003</v>
      </c>
      <c r="J860" s="355" t="s">
        <v>1095</v>
      </c>
      <c r="K860" s="426" t="str">
        <f>HYPERLINK("https://okcountyrecords.com/detail/roger+mills/2015-003022","OKCountyRecords: 2015-003022")</f>
        <v>OKCountyRecords: 2015-003022</v>
      </c>
    </row>
    <row r="861" spans="1:11" x14ac:dyDescent="0.25">
      <c r="A861" s="355" t="s">
        <v>3685</v>
      </c>
      <c r="B861" s="355"/>
      <c r="C861" s="355" t="s">
        <v>2441</v>
      </c>
      <c r="D861" s="355" t="s">
        <v>3686</v>
      </c>
      <c r="E861" s="356">
        <v>42199</v>
      </c>
      <c r="F861" s="356">
        <v>42285</v>
      </c>
      <c r="G861" s="355" t="s">
        <v>3683</v>
      </c>
      <c r="H861" s="355" t="s">
        <v>3687</v>
      </c>
      <c r="I861" s="355" t="s">
        <v>1003</v>
      </c>
      <c r="J861" s="355" t="s">
        <v>1095</v>
      </c>
      <c r="K861" s="426" t="str">
        <f>HYPERLINK("https://okcountyrecords.com/detail/roger+mills/2015-003023","OKCountyRecords: 2015-003023")</f>
        <v>OKCountyRecords: 2015-003023</v>
      </c>
    </row>
    <row r="862" spans="1:11" x14ac:dyDescent="0.25">
      <c r="A862" s="355" t="s">
        <v>3676</v>
      </c>
      <c r="B862" s="355"/>
      <c r="C862" s="355" t="s">
        <v>1623</v>
      </c>
      <c r="D862" s="355" t="s">
        <v>3677</v>
      </c>
      <c r="E862" s="356">
        <v>42242</v>
      </c>
      <c r="F862" s="356">
        <v>42255</v>
      </c>
      <c r="G862" s="355" t="s">
        <v>3678</v>
      </c>
      <c r="H862" s="355" t="s">
        <v>3679</v>
      </c>
      <c r="I862" s="355" t="s">
        <v>3680</v>
      </c>
      <c r="J862" s="355" t="s">
        <v>1625</v>
      </c>
      <c r="K862" s="426" t="str">
        <f>HYPERLINK("https://okcountyrecords.com/detail/roger+mills/2015-002791","OKCountyRecords: 2015-002791")</f>
        <v>OKCountyRecords: 2015-002791</v>
      </c>
    </row>
    <row r="863" spans="1:11" ht="38.25" hidden="1" x14ac:dyDescent="0.25">
      <c r="A863" s="355" t="s">
        <v>3691</v>
      </c>
      <c r="B863" s="355"/>
      <c r="C863" s="355" t="s">
        <v>3284</v>
      </c>
      <c r="D863" s="355" t="s">
        <v>3692</v>
      </c>
      <c r="E863" s="356">
        <v>42255</v>
      </c>
      <c r="F863" s="356">
        <v>42513</v>
      </c>
      <c r="G863" s="357" t="s">
        <v>3693</v>
      </c>
      <c r="H863" s="357" t="s">
        <v>3694</v>
      </c>
      <c r="I863" s="357" t="s">
        <v>3680</v>
      </c>
      <c r="J863" s="357" t="s">
        <v>996</v>
      </c>
      <c r="K863" s="426" t="str">
        <f>HYPERLINK("https://okcountyrecords.com/detail/roger+mills/2016-001244","OKCountyRecords: 2016-001244")</f>
        <v>OKCountyRecords: 2016-001244</v>
      </c>
    </row>
    <row r="864" spans="1:11" x14ac:dyDescent="0.25">
      <c r="A864" s="355" t="s">
        <v>3688</v>
      </c>
      <c r="B864" s="355"/>
      <c r="C864" s="355" t="s">
        <v>1623</v>
      </c>
      <c r="D864" s="355" t="s">
        <v>3689</v>
      </c>
      <c r="E864" s="356">
        <v>42305</v>
      </c>
      <c r="F864" s="356">
        <v>42313</v>
      </c>
      <c r="G864" s="355" t="s">
        <v>3521</v>
      </c>
      <c r="H864" s="355" t="s">
        <v>3690</v>
      </c>
      <c r="I864" s="355" t="s">
        <v>2543</v>
      </c>
      <c r="J864" s="355" t="s">
        <v>1625</v>
      </c>
      <c r="K864" s="426" t="str">
        <f>HYPERLINK("https://okcountyrecords.com/detail/roger+mills/2015-003284","OKCountyRecords: 2015-003284")</f>
        <v>OKCountyRecords: 2015-003284</v>
      </c>
    </row>
    <row r="865" spans="1:11" x14ac:dyDescent="0.25">
      <c r="A865" s="355" t="s">
        <v>3700</v>
      </c>
      <c r="B865" s="355">
        <v>43</v>
      </c>
      <c r="C865" s="355" t="s">
        <v>82</v>
      </c>
      <c r="D865" s="359" t="s">
        <v>3701</v>
      </c>
      <c r="E865" s="356">
        <v>42370</v>
      </c>
      <c r="F865" s="356">
        <v>42593</v>
      </c>
      <c r="G865" s="355" t="s">
        <v>299</v>
      </c>
      <c r="H865" s="355" t="s">
        <v>3702</v>
      </c>
      <c r="I865" s="355" t="s">
        <v>2140</v>
      </c>
      <c r="J865" s="355" t="s">
        <v>3703</v>
      </c>
      <c r="K865" s="426" t="str">
        <f>HYPERLINK("https://okcountyrecords.com/detail/roger+mills/2016-001882","OKCountyRecords: 2016-001882")</f>
        <v>OKCountyRecords: 2016-001882</v>
      </c>
    </row>
    <row r="866" spans="1:11" x14ac:dyDescent="0.25">
      <c r="A866" s="355" t="s">
        <v>3704</v>
      </c>
      <c r="B866" s="355">
        <v>45</v>
      </c>
      <c r="C866" s="355" t="s">
        <v>114</v>
      </c>
      <c r="D866" s="359" t="s">
        <v>3705</v>
      </c>
      <c r="E866" s="356">
        <v>42370</v>
      </c>
      <c r="F866" s="356">
        <v>42593</v>
      </c>
      <c r="G866" s="355" t="s">
        <v>299</v>
      </c>
      <c r="H866" s="355" t="s">
        <v>3706</v>
      </c>
      <c r="I866" s="355" t="s">
        <v>1003</v>
      </c>
      <c r="J866" s="355" t="s">
        <v>2688</v>
      </c>
      <c r="K866" s="426" t="str">
        <f>HYPERLINK("https://okcountyrecords.com/detail/roger+mills/2016-001883","OKCountyRecords: 2016-001883")</f>
        <v>OKCountyRecords: 2016-001883</v>
      </c>
    </row>
    <row r="867" spans="1:11" x14ac:dyDescent="0.25">
      <c r="A867" s="355" t="s">
        <v>3695</v>
      </c>
      <c r="B867" s="355"/>
      <c r="C867" s="355" t="s">
        <v>2506</v>
      </c>
      <c r="D867" s="355" t="s">
        <v>3696</v>
      </c>
      <c r="E867" s="356">
        <v>42547</v>
      </c>
      <c r="F867" s="356">
        <v>42556</v>
      </c>
      <c r="G867" s="355" t="s">
        <v>3697</v>
      </c>
      <c r="H867" s="355" t="s">
        <v>3698</v>
      </c>
      <c r="I867" s="355" t="s">
        <v>3699</v>
      </c>
      <c r="J867" s="355" t="s">
        <v>985</v>
      </c>
      <c r="K867" s="426" t="str">
        <f>HYPERLINK("https://okcountyrecords.com/detail/roger+mills/2016-001589","OKCountyRecords: 2016-001589")</f>
        <v>OKCountyRecords: 2016-001589</v>
      </c>
    </row>
    <row r="868" spans="1:11" x14ac:dyDescent="0.25">
      <c r="A868" s="355" t="s">
        <v>3716</v>
      </c>
      <c r="B868" s="355">
        <v>46</v>
      </c>
      <c r="C868" s="355" t="s">
        <v>114</v>
      </c>
      <c r="D868" s="359" t="s">
        <v>3717</v>
      </c>
      <c r="E868" s="356">
        <v>42673</v>
      </c>
      <c r="F868" s="356">
        <v>42719</v>
      </c>
      <c r="G868" s="355" t="s">
        <v>3453</v>
      </c>
      <c r="H868" s="355" t="s">
        <v>3454</v>
      </c>
      <c r="I868" s="355" t="s">
        <v>1003</v>
      </c>
      <c r="J868" s="355" t="s">
        <v>2688</v>
      </c>
      <c r="K868" s="426" t="str">
        <f>HYPERLINK("https://okcountyrecords.com/detail/roger+mills/2016-002793","63e8b9a8d056433a9994fe46ca85076b.pdf | OKCountyRecords: 2016-002793")</f>
        <v>63e8b9a8d056433a9994fe46ca85076b.pdf | OKCountyRecords: 2016-002793</v>
      </c>
    </row>
    <row r="869" spans="1:11" x14ac:dyDescent="0.25">
      <c r="A869" s="355" t="s">
        <v>3711</v>
      </c>
      <c r="B869" s="355">
        <v>47</v>
      </c>
      <c r="C869" s="355" t="s">
        <v>114</v>
      </c>
      <c r="D869" s="359" t="s">
        <v>3712</v>
      </c>
      <c r="E869" s="356">
        <v>42677</v>
      </c>
      <c r="F869" s="356">
        <v>42692</v>
      </c>
      <c r="G869" s="355" t="s">
        <v>3713</v>
      </c>
      <c r="H869" s="355" t="s">
        <v>3714</v>
      </c>
      <c r="I869" s="355" t="s">
        <v>3715</v>
      </c>
      <c r="J869" s="355" t="s">
        <v>2688</v>
      </c>
      <c r="K869" s="426" t="str">
        <f>HYPERLINK("https://okcountyrecords.com/detail/roger+mills/2016-002668","OKCountyRecords: 2016-002668")</f>
        <v>OKCountyRecords: 2016-002668</v>
      </c>
    </row>
    <row r="870" spans="1:11" x14ac:dyDescent="0.25">
      <c r="A870" s="355" t="s">
        <v>3718</v>
      </c>
      <c r="B870" s="355">
        <v>48</v>
      </c>
      <c r="C870" s="355" t="s">
        <v>114</v>
      </c>
      <c r="D870" s="359" t="s">
        <v>3719</v>
      </c>
      <c r="E870" s="356">
        <v>42682</v>
      </c>
      <c r="F870" s="356">
        <v>42752</v>
      </c>
      <c r="G870" s="355" t="s">
        <v>3720</v>
      </c>
      <c r="H870" s="355" t="s">
        <v>3721</v>
      </c>
      <c r="I870" s="355" t="s">
        <v>3722</v>
      </c>
      <c r="J870" s="355" t="s">
        <v>2688</v>
      </c>
      <c r="K870" s="426" t="str">
        <f>HYPERLINK("https://okcountyrecords.com/detail/roger+mills/2017-000083","OKCountyRecords: 2017-000083")</f>
        <v>OKCountyRecords: 2017-000083</v>
      </c>
    </row>
    <row r="871" spans="1:11" x14ac:dyDescent="0.25">
      <c r="A871" s="355"/>
      <c r="B871" s="355">
        <v>49</v>
      </c>
      <c r="C871" s="355" t="s">
        <v>1623</v>
      </c>
      <c r="D871" s="359" t="s">
        <v>3723</v>
      </c>
      <c r="E871" s="356">
        <v>42855</v>
      </c>
      <c r="F871" s="356">
        <v>42858</v>
      </c>
      <c r="G871" s="355" t="s">
        <v>3724</v>
      </c>
      <c r="H871" s="355" t="s">
        <v>3725</v>
      </c>
      <c r="I871" s="355" t="s">
        <v>2596</v>
      </c>
      <c r="J871" s="355" t="s">
        <v>3726</v>
      </c>
      <c r="K871" s="426" t="str">
        <f>HYPERLINK("https://okcountyrecords.com/search/roger%20mills","OKCountyRecords search: Mineral Deed 42858")</f>
        <v>OKCountyRecords search: Mineral Deed 42858</v>
      </c>
    </row>
    <row r="872" spans="1:11" x14ac:dyDescent="0.25">
      <c r="A872" s="355" t="s">
        <v>3727</v>
      </c>
      <c r="B872" s="355"/>
      <c r="C872" s="355" t="s">
        <v>1623</v>
      </c>
      <c r="D872" s="355" t="s">
        <v>3723</v>
      </c>
      <c r="E872" s="356">
        <v>42855</v>
      </c>
      <c r="F872" s="356">
        <v>42858</v>
      </c>
      <c r="G872" s="355" t="s">
        <v>730</v>
      </c>
      <c r="H872" s="355" t="s">
        <v>3728</v>
      </c>
      <c r="I872" s="355" t="s">
        <v>2596</v>
      </c>
      <c r="J872" s="355" t="s">
        <v>1625</v>
      </c>
      <c r="K872" s="426" t="str">
        <f>HYPERLINK("https://okcountyrecords.com/detail/roger+mills/2017-000951/19673811","OKCountyRecords: 2017-000951")</f>
        <v>OKCountyRecords: 2017-000951</v>
      </c>
    </row>
    <row r="873" spans="1:11" x14ac:dyDescent="0.25">
      <c r="A873" s="360" t="s">
        <v>3729</v>
      </c>
      <c r="B873" s="360"/>
      <c r="C873" s="360" t="s">
        <v>3730</v>
      </c>
      <c r="D873" s="360" t="s">
        <v>3731</v>
      </c>
      <c r="E873" s="361">
        <v>42924</v>
      </c>
      <c r="F873" s="361">
        <v>42930</v>
      </c>
      <c r="G873" s="360" t="s">
        <v>3732</v>
      </c>
      <c r="H873" s="360" t="s">
        <v>1110</v>
      </c>
      <c r="I873" s="360" t="s">
        <v>1003</v>
      </c>
      <c r="J873" s="606" t="s">
        <v>8654</v>
      </c>
      <c r="K873" s="427" t="str">
        <f>HYPERLINK("https://okcountyrecords.com/detail/roger+mills/2017-001403","63e8b9a8d056433a9994fe46ca85076b.pdf | OKCountyRecords: 2017-001403")</f>
        <v>63e8b9a8d056433a9994fe46ca85076b.pdf | OKCountyRecords: 2017-001403</v>
      </c>
    </row>
    <row r="874" spans="1:11" x14ac:dyDescent="0.25">
      <c r="A874" s="355" t="s">
        <v>3733</v>
      </c>
      <c r="B874" s="355"/>
      <c r="C874" s="355" t="s">
        <v>1623</v>
      </c>
      <c r="D874" s="355" t="s">
        <v>3734</v>
      </c>
      <c r="E874" s="356">
        <v>42985</v>
      </c>
      <c r="F874" s="356">
        <v>42996</v>
      </c>
      <c r="G874" s="355" t="s">
        <v>520</v>
      </c>
      <c r="H874" s="355" t="s">
        <v>3735</v>
      </c>
      <c r="I874" s="355" t="s">
        <v>1003</v>
      </c>
      <c r="J874" s="355" t="s">
        <v>1625</v>
      </c>
      <c r="K874" s="426" t="str">
        <f>HYPERLINK("https://okcountyrecords.com/detail/roger+mills/2017-001880","OKCountyRecords: 2017-001880")</f>
        <v>OKCountyRecords: 2017-001880</v>
      </c>
    </row>
    <row r="875" spans="1:11" x14ac:dyDescent="0.25">
      <c r="A875" s="355" t="s">
        <v>3736</v>
      </c>
      <c r="B875" s="355">
        <v>50</v>
      </c>
      <c r="C875" s="355" t="s">
        <v>2437</v>
      </c>
      <c r="D875" s="359" t="s">
        <v>3737</v>
      </c>
      <c r="E875" s="356">
        <v>43070</v>
      </c>
      <c r="F875" s="356">
        <v>43088</v>
      </c>
      <c r="G875" s="355" t="s">
        <v>3706</v>
      </c>
      <c r="H875" s="355" t="s">
        <v>3738</v>
      </c>
      <c r="I875" s="355" t="s">
        <v>1003</v>
      </c>
      <c r="J875" s="355" t="s">
        <v>3739</v>
      </c>
      <c r="K875" s="426" t="str">
        <f>HYPERLINK("https://okcountyrecords.com/detail/roger+mills/2017-002694","63e8b9a8d056433a9994fe46ca85076b.pdf | OKCountyRecords: 2017-002694")</f>
        <v>63e8b9a8d056433a9994fe46ca85076b.pdf | OKCountyRecords: 2017-002694</v>
      </c>
    </row>
    <row r="876" spans="1:11" x14ac:dyDescent="0.25">
      <c r="A876" s="355"/>
      <c r="B876" s="355">
        <v>51</v>
      </c>
      <c r="C876" s="355" t="s">
        <v>114</v>
      </c>
      <c r="D876" s="359" t="s">
        <v>3740</v>
      </c>
      <c r="E876" s="356">
        <v>43083</v>
      </c>
      <c r="F876" s="356">
        <v>43119</v>
      </c>
      <c r="G876" s="355" t="s">
        <v>3479</v>
      </c>
      <c r="H876" s="355" t="s">
        <v>3634</v>
      </c>
      <c r="I876" s="355" t="s">
        <v>3741</v>
      </c>
      <c r="J876" s="355" t="s">
        <v>2688</v>
      </c>
      <c r="K876" s="426" t="str">
        <f>HYPERLINK("https://okcountyrecords.com/search/roger%20mills","OKCountyRecords search: Assignment 43119")</f>
        <v>OKCountyRecords search: Assignment 43119</v>
      </c>
    </row>
    <row r="877" spans="1:11" ht="25.5" hidden="1" x14ac:dyDescent="0.25">
      <c r="A877" s="355" t="s">
        <v>3742</v>
      </c>
      <c r="B877" s="355">
        <v>47</v>
      </c>
      <c r="C877" s="355" t="s">
        <v>114</v>
      </c>
      <c r="D877" s="355" t="s">
        <v>3740</v>
      </c>
      <c r="E877" s="356">
        <v>43083</v>
      </c>
      <c r="F877" s="356">
        <v>43119</v>
      </c>
      <c r="G877" s="355" t="s">
        <v>3479</v>
      </c>
      <c r="H877" s="355" t="s">
        <v>3634</v>
      </c>
      <c r="I877" s="357" t="s">
        <v>3476</v>
      </c>
      <c r="J877" s="357" t="s">
        <v>996</v>
      </c>
      <c r="K877" s="426" t="str">
        <f>HYPERLINK("https://okcountyrecords.com/detail/roger+mills/2018-000119/20639253","OKCountyRecords: 2018-000119")</f>
        <v>OKCountyRecords: 2018-000119</v>
      </c>
    </row>
    <row r="878" spans="1:11" x14ac:dyDescent="0.25">
      <c r="A878" s="355" t="s">
        <v>3743</v>
      </c>
      <c r="B878" s="355"/>
      <c r="C878" s="355" t="s">
        <v>1107</v>
      </c>
      <c r="D878" s="355" t="s">
        <v>3744</v>
      </c>
      <c r="E878" s="356">
        <v>43249</v>
      </c>
      <c r="F878" s="356">
        <v>43272</v>
      </c>
      <c r="G878" s="355" t="s">
        <v>3745</v>
      </c>
      <c r="H878" s="355" t="s">
        <v>1110</v>
      </c>
      <c r="I878" s="355" t="s">
        <v>1003</v>
      </c>
      <c r="J878" s="355" t="s">
        <v>1095</v>
      </c>
      <c r="K878" s="426" t="str">
        <f>HYPERLINK("https://okcountyrecords.com/detail/roger+mills/2018-001569","OKCountyRecords: 2018-001569")</f>
        <v>OKCountyRecords: 2018-001569</v>
      </c>
    </row>
    <row r="879" spans="1:11" x14ac:dyDescent="0.25">
      <c r="A879" s="355" t="s">
        <v>3760</v>
      </c>
      <c r="B879" s="355"/>
      <c r="C879" s="355" t="s">
        <v>1623</v>
      </c>
      <c r="D879" s="355" t="s">
        <v>3761</v>
      </c>
      <c r="E879" s="356">
        <v>43281</v>
      </c>
      <c r="F879" s="356">
        <v>43392</v>
      </c>
      <c r="G879" s="355" t="s">
        <v>3762</v>
      </c>
      <c r="H879" s="355" t="s">
        <v>3763</v>
      </c>
      <c r="I879" s="355" t="s">
        <v>1003</v>
      </c>
      <c r="J879" s="355" t="s">
        <v>1625</v>
      </c>
      <c r="K879" s="426" t="str">
        <f>HYPERLINK("https://okcountyrecords.com/detail/roger+mills/2018-002786","OKCountyRecords: 2018-002786")</f>
        <v>OKCountyRecords: 2018-002786</v>
      </c>
    </row>
    <row r="880" spans="1:11" ht="25.5" hidden="1" x14ac:dyDescent="0.25">
      <c r="A880" s="355" t="s">
        <v>3749</v>
      </c>
      <c r="B880" s="355"/>
      <c r="C880" s="355" t="s">
        <v>114</v>
      </c>
      <c r="D880" s="355" t="s">
        <v>3750</v>
      </c>
      <c r="E880" s="356">
        <v>43291</v>
      </c>
      <c r="F880" s="356">
        <v>43350</v>
      </c>
      <c r="G880" s="355" t="s">
        <v>3751</v>
      </c>
      <c r="H880" s="355" t="s">
        <v>3752</v>
      </c>
      <c r="I880" s="357" t="s">
        <v>3331</v>
      </c>
      <c r="J880" s="357" t="s">
        <v>996</v>
      </c>
      <c r="K880" s="426" t="str">
        <f>HYPERLINK("https://okcountyrecords.com/detail/roger+mills/2018-002306","OKCountyRecords: 2018-002306")</f>
        <v>OKCountyRecords: 2018-002306</v>
      </c>
    </row>
    <row r="881" spans="1:11" x14ac:dyDescent="0.25">
      <c r="A881" s="355" t="s">
        <v>3746</v>
      </c>
      <c r="B881" s="355">
        <v>52</v>
      </c>
      <c r="C881" s="355" t="s">
        <v>3284</v>
      </c>
      <c r="D881" s="359" t="s">
        <v>3747</v>
      </c>
      <c r="E881" s="356">
        <v>43314</v>
      </c>
      <c r="F881" s="356">
        <v>43327</v>
      </c>
      <c r="G881" s="355" t="s">
        <v>3748</v>
      </c>
      <c r="H881" s="355" t="s">
        <v>1110</v>
      </c>
      <c r="I881" s="355" t="s">
        <v>1003</v>
      </c>
      <c r="J881" s="355" t="s">
        <v>3541</v>
      </c>
      <c r="K881" s="426" t="str">
        <f>HYPERLINK("https://okcountyrecords.com/detail/roger+mills/2018-002049","63e8b9a8d056433a9994fe46ca85076b.pdf | OKCountyRecords: 2018-002049")</f>
        <v>63e8b9a8d056433a9994fe46ca85076b.pdf | OKCountyRecords: 2018-002049</v>
      </c>
    </row>
    <row r="882" spans="1:11" x14ac:dyDescent="0.25">
      <c r="A882" s="355"/>
      <c r="B882" s="355">
        <v>53</v>
      </c>
      <c r="C882" s="355" t="s">
        <v>82</v>
      </c>
      <c r="D882" s="359" t="s">
        <v>3753</v>
      </c>
      <c r="E882" s="356">
        <v>43363</v>
      </c>
      <c r="F882" s="356">
        <v>43382</v>
      </c>
      <c r="G882" s="355" t="s">
        <v>3754</v>
      </c>
      <c r="H882" s="355" t="s">
        <v>3755</v>
      </c>
      <c r="I882" s="355" t="s">
        <v>1980</v>
      </c>
      <c r="J882" s="606" t="s">
        <v>3756</v>
      </c>
      <c r="K882" s="426" t="str">
        <f>HYPERLINK("https://okcountyrecords.com/search/roger%20mills","OKCountyRecords search: Quit Claim Mineral Deed 43382")</f>
        <v>OKCountyRecords search: Quit Claim Mineral Deed 43382</v>
      </c>
    </row>
    <row r="883" spans="1:11" x14ac:dyDescent="0.25">
      <c r="A883" s="355" t="s">
        <v>3757</v>
      </c>
      <c r="B883" s="355"/>
      <c r="C883" s="355" t="s">
        <v>82</v>
      </c>
      <c r="D883" s="355" t="s">
        <v>3753</v>
      </c>
      <c r="E883" s="356">
        <v>43363</v>
      </c>
      <c r="F883" s="356">
        <v>43382</v>
      </c>
      <c r="G883" s="355" t="s">
        <v>3758</v>
      </c>
      <c r="H883" s="355" t="s">
        <v>3759</v>
      </c>
      <c r="I883" s="355" t="s">
        <v>2515</v>
      </c>
      <c r="J883" s="355" t="s">
        <v>1625</v>
      </c>
      <c r="K883" s="426" t="str">
        <f>HYPERLINK("https://okcountyrecords.com/detail/roger+mills/2018-002650/21458328","OKCountyRecords: 2018-002650")</f>
        <v>OKCountyRecords: 2018-002650</v>
      </c>
    </row>
    <row r="884" spans="1:11" x14ac:dyDescent="0.25">
      <c r="A884" s="355" t="s">
        <v>3764</v>
      </c>
      <c r="B884" s="355"/>
      <c r="C884" s="355" t="s">
        <v>1623</v>
      </c>
      <c r="D884" s="355" t="s">
        <v>3765</v>
      </c>
      <c r="E884" s="356">
        <v>43423</v>
      </c>
      <c r="F884" s="356">
        <v>43693</v>
      </c>
      <c r="G884" s="355" t="s">
        <v>438</v>
      </c>
      <c r="H884" s="355" t="s">
        <v>263</v>
      </c>
      <c r="I884" s="355" t="s">
        <v>2543</v>
      </c>
      <c r="J884" s="355" t="s">
        <v>1625</v>
      </c>
      <c r="K884" s="426" t="str">
        <f>HYPERLINK("https://okcountyrecords.com/detail/roger+mills/2019-001747","OKCountyRecords: 2019-001747")</f>
        <v>OKCountyRecords: 2019-001747</v>
      </c>
    </row>
    <row r="885" spans="1:11" x14ac:dyDescent="0.25">
      <c r="A885" s="355"/>
      <c r="B885" s="355">
        <v>87</v>
      </c>
      <c r="C885" s="355" t="s">
        <v>1274</v>
      </c>
      <c r="D885" s="359" t="s">
        <v>4019</v>
      </c>
      <c r="E885" s="356">
        <v>43500</v>
      </c>
      <c r="F885" s="356">
        <v>46160</v>
      </c>
      <c r="G885" s="355" t="s">
        <v>4020</v>
      </c>
      <c r="H885" s="355" t="s">
        <v>1110</v>
      </c>
      <c r="I885" s="355" t="s">
        <v>4021</v>
      </c>
      <c r="J885" s="355" t="s">
        <v>4022</v>
      </c>
      <c r="K885" s="426" t="str">
        <f>HYPERLINK("https://okcountyrecords.com/search/roger%20mills","OKCountyRecords search: Final Decree 46160")</f>
        <v>OKCountyRecords search: Final Decree 46160</v>
      </c>
    </row>
    <row r="886" spans="1:11" x14ac:dyDescent="0.25">
      <c r="A886" s="355" t="s">
        <v>4023</v>
      </c>
      <c r="B886" s="355"/>
      <c r="C886" s="355" t="s">
        <v>1274</v>
      </c>
      <c r="D886" s="355" t="s">
        <v>4019</v>
      </c>
      <c r="E886" s="356">
        <v>43500</v>
      </c>
      <c r="F886" s="356">
        <v>46160</v>
      </c>
      <c r="G886" s="355" t="s">
        <v>4020</v>
      </c>
      <c r="H886" s="355" t="s">
        <v>1110</v>
      </c>
      <c r="I886" s="355" t="s">
        <v>4024</v>
      </c>
      <c r="J886" s="355" t="s">
        <v>985</v>
      </c>
      <c r="K886" s="426" t="str">
        <f>HYPERLINK("https://okcountyrecords.com/detail/roger+mills/2026-002877/35377759","OKCountyRecords: 2026-002877")</f>
        <v>OKCountyRecords: 2026-002877</v>
      </c>
    </row>
    <row r="887" spans="1:11" x14ac:dyDescent="0.25">
      <c r="A887" s="355" t="s">
        <v>3766</v>
      </c>
      <c r="B887" s="355">
        <v>54</v>
      </c>
      <c r="C887" s="355" t="s">
        <v>114</v>
      </c>
      <c r="D887" s="359" t="s">
        <v>3767</v>
      </c>
      <c r="E887" s="356">
        <v>43564</v>
      </c>
      <c r="F887" s="356">
        <v>43698</v>
      </c>
      <c r="G887" s="355" t="s">
        <v>3768</v>
      </c>
      <c r="H887" s="355" t="s">
        <v>3769</v>
      </c>
      <c r="I887" s="355" t="s">
        <v>1003</v>
      </c>
      <c r="J887" s="355" t="s">
        <v>2688</v>
      </c>
      <c r="K887" s="426" t="str">
        <f>HYPERLINK("https://okcountyrecords.com/detail/roger+mills/2019-001779","63e8b9a8d056433a9994fe46ca85076b.pdf | OKCountyRecords: 2019-001779")</f>
        <v>63e8b9a8d056433a9994fe46ca85076b.pdf | OKCountyRecords: 2019-001779</v>
      </c>
    </row>
    <row r="888" spans="1:11" x14ac:dyDescent="0.25">
      <c r="A888" s="355"/>
      <c r="B888" s="355">
        <v>55</v>
      </c>
      <c r="C888" s="355" t="s">
        <v>1623</v>
      </c>
      <c r="D888" s="359" t="s">
        <v>3770</v>
      </c>
      <c r="E888" s="356">
        <v>43669</v>
      </c>
      <c r="F888" s="356">
        <v>43711</v>
      </c>
      <c r="G888" s="355" t="s">
        <v>3771</v>
      </c>
      <c r="H888" s="355" t="s">
        <v>3772</v>
      </c>
      <c r="I888" s="355" t="s">
        <v>717</v>
      </c>
      <c r="J888" s="355" t="s">
        <v>3726</v>
      </c>
      <c r="K888" s="426" t="str">
        <f>HYPERLINK("https://okcountyrecords.com/search/roger%20mills","OKCountyRecords search: Mineral Deed 43711")</f>
        <v>OKCountyRecords search: Mineral Deed 43711</v>
      </c>
    </row>
    <row r="889" spans="1:11" x14ac:dyDescent="0.25">
      <c r="A889" s="355" t="s">
        <v>3773</v>
      </c>
      <c r="B889" s="355"/>
      <c r="C889" s="355" t="s">
        <v>1623</v>
      </c>
      <c r="D889" s="355" t="s">
        <v>3770</v>
      </c>
      <c r="E889" s="356">
        <v>43669</v>
      </c>
      <c r="F889" s="356">
        <v>43711</v>
      </c>
      <c r="G889" s="355" t="s">
        <v>3774</v>
      </c>
      <c r="H889" s="355" t="s">
        <v>3772</v>
      </c>
      <c r="I889" s="355" t="s">
        <v>717</v>
      </c>
      <c r="J889" s="355" t="s">
        <v>1625</v>
      </c>
      <c r="K889" s="426" t="str">
        <f>HYPERLINK("https://okcountyrecords.com/detail/roger+mills/2019-001855/22296278","OKCountyRecords: 2019-001855")</f>
        <v>OKCountyRecords: 2019-001855</v>
      </c>
    </row>
    <row r="890" spans="1:11" x14ac:dyDescent="0.25">
      <c r="A890" s="355" t="s">
        <v>3775</v>
      </c>
      <c r="B890" s="355">
        <v>56</v>
      </c>
      <c r="C890" s="355" t="s">
        <v>114</v>
      </c>
      <c r="D890" s="359" t="s">
        <v>3776</v>
      </c>
      <c r="E890" s="356">
        <v>43831</v>
      </c>
      <c r="F890" s="356">
        <v>44060</v>
      </c>
      <c r="G890" s="425" t="s">
        <v>3777</v>
      </c>
      <c r="H890" s="355" t="s">
        <v>3778</v>
      </c>
      <c r="I890" s="355" t="s">
        <v>1003</v>
      </c>
      <c r="J890" s="355" t="s">
        <v>2688</v>
      </c>
      <c r="K890" s="426" t="str">
        <f>HYPERLINK("https://okcountyrecords.com/detail/roger+mills/2020-001283","63e8b9a8d056433a9994fe46ca85076b.pdf | OKCountyRecords: 2020-001283")</f>
        <v>63e8b9a8d056433a9994fe46ca85076b.pdf | OKCountyRecords: 2020-001283</v>
      </c>
    </row>
    <row r="891" spans="1:11" x14ac:dyDescent="0.25">
      <c r="A891" s="355" t="s">
        <v>3824</v>
      </c>
      <c r="B891" s="355"/>
      <c r="C891" s="355" t="s">
        <v>2441</v>
      </c>
      <c r="D891" s="355" t="s">
        <v>3825</v>
      </c>
      <c r="E891" s="356">
        <v>44044</v>
      </c>
      <c r="F891" s="356">
        <v>44449</v>
      </c>
      <c r="G891" s="355" t="s">
        <v>3826</v>
      </c>
      <c r="H891" s="355" t="s">
        <v>3794</v>
      </c>
      <c r="I891" s="355" t="s">
        <v>1003</v>
      </c>
      <c r="J891" s="355" t="s">
        <v>1095</v>
      </c>
      <c r="K891" s="426" t="str">
        <f>HYPERLINK("https://okcountyrecords.com/detail/roger+mills/2021-001486","OKCountyRecords: 2021-001486")</f>
        <v>OKCountyRecords: 2021-001486</v>
      </c>
    </row>
    <row r="892" spans="1:11" x14ac:dyDescent="0.25">
      <c r="A892" s="355" t="s">
        <v>3779</v>
      </c>
      <c r="B892" s="355"/>
      <c r="C892" s="355" t="s">
        <v>1107</v>
      </c>
      <c r="D892" s="355" t="s">
        <v>3780</v>
      </c>
      <c r="E892" s="356">
        <v>44050</v>
      </c>
      <c r="F892" s="356">
        <v>44060</v>
      </c>
      <c r="G892" s="355" t="s">
        <v>3781</v>
      </c>
      <c r="H892" s="355" t="s">
        <v>1110</v>
      </c>
      <c r="I892" s="355" t="s">
        <v>1003</v>
      </c>
      <c r="J892" s="355" t="s">
        <v>1095</v>
      </c>
      <c r="K892" s="426" t="str">
        <f>HYPERLINK("https://okcountyrecords.com/detail/roger+mills/2020-001279","OKCountyRecords: 2020-001279")</f>
        <v>OKCountyRecords: 2020-001279</v>
      </c>
    </row>
    <row r="893" spans="1:11" x14ac:dyDescent="0.25">
      <c r="A893" s="355" t="s">
        <v>3782</v>
      </c>
      <c r="B893" s="355"/>
      <c r="C893" s="355" t="s">
        <v>3783</v>
      </c>
      <c r="D893" s="355" t="s">
        <v>3784</v>
      </c>
      <c r="E893" s="356">
        <v>44060</v>
      </c>
      <c r="F893" s="356">
        <v>44060</v>
      </c>
      <c r="G893" s="355" t="s">
        <v>3376</v>
      </c>
      <c r="H893" s="355" t="s">
        <v>3785</v>
      </c>
      <c r="I893" s="355" t="s">
        <v>1003</v>
      </c>
      <c r="J893" s="355" t="s">
        <v>1095</v>
      </c>
      <c r="K893" s="426" t="str">
        <f>HYPERLINK("https://okcountyrecords.com/detail/roger+mills/2020-001282","63e8b9a8d056433a9994fe46ca85076b.pdf | OKCountyRecords: 2020-001282")</f>
        <v>63e8b9a8d056433a9994fe46ca85076b.pdf | OKCountyRecords: 2020-001282</v>
      </c>
    </row>
    <row r="894" spans="1:11" x14ac:dyDescent="0.25">
      <c r="A894" s="355" t="s">
        <v>3786</v>
      </c>
      <c r="B894" s="355"/>
      <c r="C894" s="355" t="s">
        <v>82</v>
      </c>
      <c r="D894" s="355" t="s">
        <v>3787</v>
      </c>
      <c r="E894" s="356">
        <v>44071</v>
      </c>
      <c r="F894" s="356">
        <v>44076</v>
      </c>
      <c r="G894" s="355" t="s">
        <v>3788</v>
      </c>
      <c r="H894" s="355" t="s">
        <v>3789</v>
      </c>
      <c r="I894" s="355" t="s">
        <v>3790</v>
      </c>
      <c r="J894" s="355" t="s">
        <v>1625</v>
      </c>
      <c r="K894" s="426" t="str">
        <f>HYPERLINK("https://okcountyrecords.com/detail/roger+mills/2020-001374","OKCountyRecords: 2020-001374")</f>
        <v>OKCountyRecords: 2020-001374</v>
      </c>
    </row>
    <row r="895" spans="1:11" x14ac:dyDescent="0.25">
      <c r="A895" s="355" t="s">
        <v>3791</v>
      </c>
      <c r="B895" s="355">
        <v>57</v>
      </c>
      <c r="C895" s="355" t="s">
        <v>114</v>
      </c>
      <c r="D895" s="359" t="s">
        <v>3792</v>
      </c>
      <c r="E895" s="356">
        <v>44105</v>
      </c>
      <c r="F895" s="356">
        <v>44118</v>
      </c>
      <c r="G895" s="355" t="s">
        <v>3793</v>
      </c>
      <c r="H895" s="355" t="s">
        <v>3794</v>
      </c>
      <c r="I895" s="355" t="s">
        <v>3795</v>
      </c>
      <c r="J895" s="355" t="s">
        <v>2688</v>
      </c>
      <c r="K895" s="426" t="str">
        <f>HYPERLINK("https://okcountyrecords.com/detail/roger+mills/2020-001577","63e8b9a8d056433a9994fe46ca85076b.pdf | OKCountyRecords: 2020-001577")</f>
        <v>63e8b9a8d056433a9994fe46ca85076b.pdf | OKCountyRecords: 2020-001577</v>
      </c>
    </row>
    <row r="896" spans="1:11" x14ac:dyDescent="0.25">
      <c r="A896" s="355" t="s">
        <v>3796</v>
      </c>
      <c r="B896" s="355"/>
      <c r="C896" s="355" t="s">
        <v>82</v>
      </c>
      <c r="D896" s="355" t="s">
        <v>3797</v>
      </c>
      <c r="E896" s="356">
        <v>44126</v>
      </c>
      <c r="F896" s="356">
        <v>44133</v>
      </c>
      <c r="G896" s="355" t="s">
        <v>3798</v>
      </c>
      <c r="H896" s="355" t="s">
        <v>3799</v>
      </c>
      <c r="I896" s="355" t="s">
        <v>2543</v>
      </c>
      <c r="J896" s="355" t="s">
        <v>1625</v>
      </c>
      <c r="K896" s="426" t="str">
        <f>HYPERLINK("https://okcountyrecords.com/detail/roger+mills/2020-001650","OKCountyRecords: 2020-001650")</f>
        <v>OKCountyRecords: 2020-001650</v>
      </c>
    </row>
    <row r="897" spans="1:11" x14ac:dyDescent="0.25">
      <c r="A897" s="355" t="s">
        <v>3800</v>
      </c>
      <c r="B897" s="355">
        <v>58</v>
      </c>
      <c r="C897" s="355" t="s">
        <v>1623</v>
      </c>
      <c r="D897" s="359" t="s">
        <v>3801</v>
      </c>
      <c r="E897" s="356">
        <v>44136</v>
      </c>
      <c r="F897" s="356">
        <v>44144</v>
      </c>
      <c r="G897" s="355" t="s">
        <v>3802</v>
      </c>
      <c r="H897" s="355" t="s">
        <v>3803</v>
      </c>
      <c r="I897" s="355" t="s">
        <v>1003</v>
      </c>
      <c r="J897" s="355" t="s">
        <v>3726</v>
      </c>
      <c r="K897" s="426" t="str">
        <f>HYPERLINK("https://okcountyrecords.com/detail/roger+mills/2020-001708","63e8b9a8d056433a9994fe46ca85076b.pdf | OKCountyRecords: 2020-001708")</f>
        <v>63e8b9a8d056433a9994fe46ca85076b.pdf | OKCountyRecords: 2020-001708</v>
      </c>
    </row>
    <row r="898" spans="1:11" x14ac:dyDescent="0.25">
      <c r="A898" s="355"/>
      <c r="B898" s="355">
        <v>59</v>
      </c>
      <c r="C898" s="355" t="s">
        <v>114</v>
      </c>
      <c r="D898" s="359" t="s">
        <v>3804</v>
      </c>
      <c r="E898" s="356">
        <v>44136</v>
      </c>
      <c r="F898" s="356">
        <v>44175</v>
      </c>
      <c r="G898" s="355" t="s">
        <v>3805</v>
      </c>
      <c r="H898" s="355" t="s">
        <v>3806</v>
      </c>
      <c r="I898" s="355" t="s">
        <v>3807</v>
      </c>
      <c r="J898" s="355" t="s">
        <v>2688</v>
      </c>
      <c r="K898" s="426" t="str">
        <f>HYPERLINK("https://okcountyrecords.com/search/roger%20mills","OKCountyRecords search: Assignment 44175")</f>
        <v>OKCountyRecords search: Assignment 44175</v>
      </c>
    </row>
    <row r="899" spans="1:11" ht="89.25" hidden="1" x14ac:dyDescent="0.25">
      <c r="A899" s="355" t="s">
        <v>3808</v>
      </c>
      <c r="B899" s="355">
        <v>52</v>
      </c>
      <c r="C899" s="355" t="s">
        <v>114</v>
      </c>
      <c r="D899" s="355" t="s">
        <v>3804</v>
      </c>
      <c r="E899" s="356">
        <v>44136</v>
      </c>
      <c r="F899" s="356">
        <v>44175</v>
      </c>
      <c r="G899" s="355" t="s">
        <v>3805</v>
      </c>
      <c r="H899" s="355" t="s">
        <v>3806</v>
      </c>
      <c r="I899" s="357" t="s">
        <v>3809</v>
      </c>
      <c r="J899" s="357" t="s">
        <v>3810</v>
      </c>
      <c r="K899" s="426" t="str">
        <f>HYPERLINK("https://okcountyrecords.com/detail/roger+mills/2020-001954/26392975","OKCountyRecords: 2020-001954")</f>
        <v>OKCountyRecords: 2020-001954</v>
      </c>
    </row>
    <row r="900" spans="1:11" x14ac:dyDescent="0.25">
      <c r="A900" s="360" t="s">
        <v>3811</v>
      </c>
      <c r="B900" s="360">
        <v>60</v>
      </c>
      <c r="C900" s="360" t="s">
        <v>3812</v>
      </c>
      <c r="D900" s="363" t="s">
        <v>3813</v>
      </c>
      <c r="E900" s="361">
        <v>44182</v>
      </c>
      <c r="F900" s="361">
        <v>44314</v>
      </c>
      <c r="G900" s="360" t="s">
        <v>3672</v>
      </c>
      <c r="H900" s="360" t="s">
        <v>3814</v>
      </c>
      <c r="I900" s="360" t="s">
        <v>1003</v>
      </c>
      <c r="J900" s="360" t="s">
        <v>3815</v>
      </c>
      <c r="K900" s="427" t="str">
        <f>HYPERLINK("https://okcountyrecords.com/detail/roger+mills/2021-000697","63e8b9a8d056433a9994fe46ca85076b.pdf | OKCountyRecords: 2021-000697")</f>
        <v>63e8b9a8d056433a9994fe46ca85076b.pdf | OKCountyRecords: 2021-000697</v>
      </c>
    </row>
    <row r="901" spans="1:11" x14ac:dyDescent="0.25">
      <c r="A901" s="355" t="s">
        <v>3816</v>
      </c>
      <c r="B901" s="355"/>
      <c r="C901" s="355" t="s">
        <v>1623</v>
      </c>
      <c r="D901" s="355" t="s">
        <v>3817</v>
      </c>
      <c r="E901" s="356">
        <v>44348</v>
      </c>
      <c r="F901" s="356">
        <v>44377</v>
      </c>
      <c r="G901" s="355" t="s">
        <v>3818</v>
      </c>
      <c r="H901" s="355" t="s">
        <v>3819</v>
      </c>
      <c r="I901" s="355" t="s">
        <v>2515</v>
      </c>
      <c r="J901" s="355" t="s">
        <v>1625</v>
      </c>
      <c r="K901" s="426" t="str">
        <f>HYPERLINK("https://okcountyrecords.com/detail/roger+mills/2021-001068","OKCountyRecords: 2021-001068")</f>
        <v>OKCountyRecords: 2021-001068</v>
      </c>
    </row>
    <row r="902" spans="1:11" x14ac:dyDescent="0.25">
      <c r="A902" s="355" t="s">
        <v>3837</v>
      </c>
      <c r="B902" s="355">
        <v>63</v>
      </c>
      <c r="C902" s="355" t="s">
        <v>114</v>
      </c>
      <c r="D902" s="359" t="s">
        <v>3838</v>
      </c>
      <c r="E902" s="356">
        <v>44348</v>
      </c>
      <c r="F902" s="356">
        <v>44463</v>
      </c>
      <c r="G902" s="355" t="s">
        <v>3839</v>
      </c>
      <c r="H902" s="355" t="s">
        <v>3794</v>
      </c>
      <c r="I902" s="355" t="s">
        <v>3840</v>
      </c>
      <c r="J902" s="355" t="s">
        <v>2688</v>
      </c>
      <c r="K902" s="426" t="str">
        <f>HYPERLINK("https://okcountyrecords.com/detail/roger+mills/2021-001561","63e8b9a8d056433a9994fe46ca85076b.pdf | OKCountyRecords: 2021-001561")</f>
        <v>63e8b9a8d056433a9994fe46ca85076b.pdf | OKCountyRecords: 2021-001561</v>
      </c>
    </row>
    <row r="903" spans="1:11" ht="25.5" hidden="1" x14ac:dyDescent="0.25">
      <c r="A903" s="355" t="s">
        <v>3820</v>
      </c>
      <c r="B903" s="355"/>
      <c r="C903" s="355" t="s">
        <v>993</v>
      </c>
      <c r="D903" s="355" t="s">
        <v>3821</v>
      </c>
      <c r="E903" s="356">
        <v>44398</v>
      </c>
      <c r="F903" s="356">
        <v>44432</v>
      </c>
      <c r="G903" s="355" t="s">
        <v>3822</v>
      </c>
      <c r="H903" s="357" t="s">
        <v>3823</v>
      </c>
      <c r="I903" s="357" t="s">
        <v>2833</v>
      </c>
      <c r="J903" s="357" t="s">
        <v>996</v>
      </c>
      <c r="K903" s="426" t="str">
        <f>HYPERLINK("https://okcountyrecords.com/detail/roger+mills/2021-001366","OKCountyRecords: 2021-001366")</f>
        <v>OKCountyRecords: 2021-001366</v>
      </c>
    </row>
    <row r="904" spans="1:11" x14ac:dyDescent="0.25">
      <c r="A904" s="355" t="s">
        <v>3827</v>
      </c>
      <c r="B904" s="355">
        <v>61</v>
      </c>
      <c r="C904" s="355" t="s">
        <v>1107</v>
      </c>
      <c r="D904" s="359" t="s">
        <v>3828</v>
      </c>
      <c r="E904" s="356">
        <v>44407</v>
      </c>
      <c r="F904" s="356">
        <v>44462</v>
      </c>
      <c r="G904" s="355" t="s">
        <v>3829</v>
      </c>
      <c r="H904" s="355" t="s">
        <v>1110</v>
      </c>
      <c r="I904" s="355" t="s">
        <v>1003</v>
      </c>
      <c r="J904" s="355" t="s">
        <v>3830</v>
      </c>
      <c r="K904" s="426" t="str">
        <f>HYPERLINK("https://okcountyrecords.com/detail/roger+mills/2021-001557","63e8b9a8d056433a9994fe46ca85076b.pdf | OKCountyRecords: 2021-001557")</f>
        <v>63e8b9a8d056433a9994fe46ca85076b.pdf | OKCountyRecords: 2021-001557</v>
      </c>
    </row>
    <row r="905" spans="1:11" x14ac:dyDescent="0.25">
      <c r="A905" s="360" t="s">
        <v>3831</v>
      </c>
      <c r="B905" s="360">
        <v>62</v>
      </c>
      <c r="C905" s="360" t="s">
        <v>3832</v>
      </c>
      <c r="D905" s="363" t="s">
        <v>3833</v>
      </c>
      <c r="E905" s="361">
        <v>44407</v>
      </c>
      <c r="F905" s="361">
        <v>44462</v>
      </c>
      <c r="G905" s="360" t="s">
        <v>3834</v>
      </c>
      <c r="H905" s="360" t="s">
        <v>3835</v>
      </c>
      <c r="I905" s="360" t="s">
        <v>1003</v>
      </c>
      <c r="J905" s="360" t="s">
        <v>3836</v>
      </c>
      <c r="K905" s="427" t="str">
        <f>HYPERLINK("https://okcountyrecords.com/detail/roger+mills/2021-001559","63e8b9a8d056433a9994fe46ca85076b.pdf | OKCountyRecords: 2021-001559")</f>
        <v>63e8b9a8d056433a9994fe46ca85076b.pdf | OKCountyRecords: 2021-001559</v>
      </c>
    </row>
    <row r="906" spans="1:11" x14ac:dyDescent="0.25">
      <c r="A906" s="355" t="s">
        <v>3841</v>
      </c>
      <c r="B906" s="355">
        <v>64</v>
      </c>
      <c r="C906" s="355" t="s">
        <v>114</v>
      </c>
      <c r="D906" s="359" t="s">
        <v>3842</v>
      </c>
      <c r="E906" s="356">
        <v>44440</v>
      </c>
      <c r="F906" s="356">
        <v>44476</v>
      </c>
      <c r="G906" s="355" t="s">
        <v>3843</v>
      </c>
      <c r="H906" s="355" t="s">
        <v>3844</v>
      </c>
      <c r="I906" s="355" t="s">
        <v>2667</v>
      </c>
      <c r="J906" s="355" t="s">
        <v>2688</v>
      </c>
      <c r="K906" s="426" t="str">
        <f>HYPERLINK("https://okcountyrecords.com/detail/roger+mills/2021-001605","63e8b9a8d056433a9994fe46ca85076b.pdf | OKCountyRecords: 2021-001605")</f>
        <v>63e8b9a8d056433a9994fe46ca85076b.pdf | OKCountyRecords: 2021-001605</v>
      </c>
    </row>
    <row r="907" spans="1:11" hidden="1" x14ac:dyDescent="0.25">
      <c r="A907" s="355" t="s">
        <v>3845</v>
      </c>
      <c r="B907" s="355"/>
      <c r="C907" s="355" t="s">
        <v>114</v>
      </c>
      <c r="D907" s="355" t="s">
        <v>3842</v>
      </c>
      <c r="E907" s="356">
        <v>44440</v>
      </c>
      <c r="F907" s="356">
        <v>44476</v>
      </c>
      <c r="G907" s="355" t="s">
        <v>3846</v>
      </c>
      <c r="H907" s="355" t="s">
        <v>3847</v>
      </c>
      <c r="I907" s="357" t="s">
        <v>1003</v>
      </c>
      <c r="J907" s="357" t="s">
        <v>996</v>
      </c>
      <c r="K907" s="426" t="str">
        <f>HYPERLINK("https://okcountyrecords.com/detail/roger+mills/2021-001669","OKCountyRecords: 2021-001669")</f>
        <v>OKCountyRecords: 2021-001669</v>
      </c>
    </row>
    <row r="908" spans="1:11" x14ac:dyDescent="0.25">
      <c r="A908" s="355"/>
      <c r="B908" s="355">
        <v>65</v>
      </c>
      <c r="C908" s="355" t="s">
        <v>1623</v>
      </c>
      <c r="D908" s="359" t="s">
        <v>3848</v>
      </c>
      <c r="E908" s="356">
        <v>44489</v>
      </c>
      <c r="F908" s="356">
        <v>44491</v>
      </c>
      <c r="G908" s="355" t="s">
        <v>3849</v>
      </c>
      <c r="H908" s="355" t="s">
        <v>3850</v>
      </c>
      <c r="I908" s="355" t="s">
        <v>3851</v>
      </c>
      <c r="J908" s="355" t="s">
        <v>3726</v>
      </c>
      <c r="K908" s="426" t="str">
        <f>HYPERLINK("https://okcountyrecords.com/search/roger%20mills","OKCountyRecords search: Mineral Deed 44491")</f>
        <v>OKCountyRecords search: Mineral Deed 44491</v>
      </c>
    </row>
    <row r="909" spans="1:11" x14ac:dyDescent="0.25">
      <c r="A909" s="355" t="s">
        <v>3852</v>
      </c>
      <c r="B909" s="355"/>
      <c r="C909" s="355" t="s">
        <v>1623</v>
      </c>
      <c r="D909" s="355" t="s">
        <v>3848</v>
      </c>
      <c r="E909" s="356">
        <v>44489</v>
      </c>
      <c r="F909" s="356">
        <v>44491</v>
      </c>
      <c r="G909" s="355" t="s">
        <v>3853</v>
      </c>
      <c r="H909" s="355" t="s">
        <v>3854</v>
      </c>
      <c r="I909" s="355" t="s">
        <v>2543</v>
      </c>
      <c r="J909" s="355" t="s">
        <v>1625</v>
      </c>
      <c r="K909" s="426" t="str">
        <f>HYPERLINK("https://okcountyrecords.com/detail/roger+mills/2021-001774/26955795","OKCountyRecords: 2021-001774")</f>
        <v>OKCountyRecords: 2021-001774</v>
      </c>
    </row>
    <row r="910" spans="1:11" hidden="1" x14ac:dyDescent="0.25">
      <c r="A910" s="355" t="s">
        <v>3855</v>
      </c>
      <c r="B910" s="355"/>
      <c r="C910" s="355" t="s">
        <v>114</v>
      </c>
      <c r="D910" s="355" t="s">
        <v>3856</v>
      </c>
      <c r="E910" s="356">
        <v>44530</v>
      </c>
      <c r="F910" s="356">
        <v>44543</v>
      </c>
      <c r="G910" s="355" t="s">
        <v>3846</v>
      </c>
      <c r="H910" s="355" t="s">
        <v>3857</v>
      </c>
      <c r="I910" s="357" t="s">
        <v>1003</v>
      </c>
      <c r="J910" s="357" t="s">
        <v>996</v>
      </c>
      <c r="K910" s="426" t="str">
        <f>HYPERLINK("https://okcountyrecords.com/detail/roger+mills/2021-002152","OKCountyRecords: 2021-002152")</f>
        <v>OKCountyRecords: 2021-002152</v>
      </c>
    </row>
    <row r="911" spans="1:11" hidden="1" x14ac:dyDescent="0.25">
      <c r="A911" s="355" t="s">
        <v>3861</v>
      </c>
      <c r="B911" s="355"/>
      <c r="C911" s="355" t="s">
        <v>114</v>
      </c>
      <c r="D911" s="355" t="s">
        <v>3862</v>
      </c>
      <c r="E911" s="356">
        <v>44562</v>
      </c>
      <c r="F911" s="356">
        <v>44615</v>
      </c>
      <c r="G911" s="355" t="s">
        <v>3863</v>
      </c>
      <c r="H911" s="355" t="s">
        <v>3864</v>
      </c>
      <c r="I911" s="357" t="s">
        <v>1003</v>
      </c>
      <c r="J911" s="357" t="s">
        <v>996</v>
      </c>
      <c r="K911" s="426" t="str">
        <f>HYPERLINK("https://okcountyrecords.com/detail/roger+mills/2022-000354","OKCountyRecords: 2022-000354")</f>
        <v>OKCountyRecords: 2022-000354</v>
      </c>
    </row>
    <row r="912" spans="1:11" x14ac:dyDescent="0.25">
      <c r="A912" s="355" t="s">
        <v>3858</v>
      </c>
      <c r="B912" s="355"/>
      <c r="C912" s="355" t="s">
        <v>1623</v>
      </c>
      <c r="D912" s="355" t="s">
        <v>3859</v>
      </c>
      <c r="E912" s="356">
        <v>44571</v>
      </c>
      <c r="F912" s="356">
        <v>44592</v>
      </c>
      <c r="G912" s="355" t="s">
        <v>3819</v>
      </c>
      <c r="H912" s="355" t="s">
        <v>3860</v>
      </c>
      <c r="I912" s="355" t="s">
        <v>1003</v>
      </c>
      <c r="J912" s="355" t="s">
        <v>1625</v>
      </c>
      <c r="K912" s="426" t="str">
        <f>HYPERLINK("https://okcountyrecords.com/detail/roger+mills/2022-000185","OKCountyRecords: 2022-000185")</f>
        <v>OKCountyRecords: 2022-000185</v>
      </c>
    </row>
    <row r="913" spans="1:11" x14ac:dyDescent="0.25">
      <c r="A913" s="355" t="s">
        <v>3865</v>
      </c>
      <c r="B913" s="355"/>
      <c r="C913" s="355" t="s">
        <v>1107</v>
      </c>
      <c r="D913" s="355" t="s">
        <v>3866</v>
      </c>
      <c r="E913" s="356">
        <v>44713</v>
      </c>
      <c r="F913" s="356">
        <v>44715</v>
      </c>
      <c r="G913" s="355" t="s">
        <v>3867</v>
      </c>
      <c r="H913" s="355" t="s">
        <v>1110</v>
      </c>
      <c r="I913" s="355" t="s">
        <v>1003</v>
      </c>
      <c r="J913" s="355" t="s">
        <v>1095</v>
      </c>
      <c r="K913" s="426" t="str">
        <f>HYPERLINK("https://okcountyrecords.com/detail/roger+mills/2022-001083","OKCountyRecords: 2022-001083")</f>
        <v>OKCountyRecords: 2022-001083</v>
      </c>
    </row>
    <row r="914" spans="1:11" x14ac:dyDescent="0.25">
      <c r="A914" s="355" t="s">
        <v>3868</v>
      </c>
      <c r="B914" s="355"/>
      <c r="C914" s="355" t="s">
        <v>1623</v>
      </c>
      <c r="D914" s="355" t="s">
        <v>3869</v>
      </c>
      <c r="E914" s="356">
        <v>45061</v>
      </c>
      <c r="F914" s="356">
        <v>45114</v>
      </c>
      <c r="G914" s="355" t="s">
        <v>263</v>
      </c>
      <c r="H914" s="355" t="s">
        <v>3870</v>
      </c>
      <c r="I914" s="355" t="s">
        <v>2543</v>
      </c>
      <c r="J914" s="606" t="s">
        <v>3871</v>
      </c>
      <c r="K914" s="426" t="str">
        <f>HYPERLINK("https://okcountyrecords.com/detail/roger+mills/2023-002269","OKCountyRecords: 2023-002269")</f>
        <v>OKCountyRecords: 2023-002269</v>
      </c>
    </row>
    <row r="915" spans="1:11" x14ac:dyDescent="0.25">
      <c r="A915" s="355" t="s">
        <v>3894</v>
      </c>
      <c r="B915" s="355">
        <v>69</v>
      </c>
      <c r="C915" s="355" t="s">
        <v>114</v>
      </c>
      <c r="D915" s="359" t="s">
        <v>3895</v>
      </c>
      <c r="E915" s="356">
        <v>45148</v>
      </c>
      <c r="F915" s="356">
        <v>45509</v>
      </c>
      <c r="G915" s="355" t="s">
        <v>3864</v>
      </c>
      <c r="H915" s="355" t="s">
        <v>3896</v>
      </c>
      <c r="I915" s="355" t="s">
        <v>313</v>
      </c>
      <c r="J915" s="355" t="s">
        <v>2688</v>
      </c>
      <c r="K915" s="426" t="str">
        <f>HYPERLINK("https://okcountyrecords.com/detail/roger+mills/2024-004916","63e8b9a8d056433a9994fe46ca85076b.pdf | OKCountyRecords: 2024-004916")</f>
        <v>63e8b9a8d056433a9994fe46ca85076b.pdf | OKCountyRecords: 2024-004916</v>
      </c>
    </row>
    <row r="916" spans="1:11" hidden="1" x14ac:dyDescent="0.25">
      <c r="A916" s="355" t="s">
        <v>3897</v>
      </c>
      <c r="B916" s="355"/>
      <c r="C916" s="355" t="s">
        <v>3082</v>
      </c>
      <c r="D916" s="355" t="s">
        <v>3895</v>
      </c>
      <c r="E916" s="356">
        <v>45148</v>
      </c>
      <c r="F916" s="356">
        <v>45509</v>
      </c>
      <c r="G916" s="355" t="s">
        <v>3864</v>
      </c>
      <c r="H916" s="355" t="s">
        <v>3898</v>
      </c>
      <c r="I916" s="357" t="s">
        <v>1003</v>
      </c>
      <c r="J916" s="357" t="s">
        <v>996</v>
      </c>
      <c r="K916" s="426" t="str">
        <f>HYPERLINK("https://okcountyrecords.com/detail/roger+mills/2024-004961","OKCountyRecords: 2024-004961")</f>
        <v>OKCountyRecords: 2024-004961</v>
      </c>
    </row>
    <row r="917" spans="1:11" x14ac:dyDescent="0.25">
      <c r="A917" s="355" t="s">
        <v>3872</v>
      </c>
      <c r="B917" s="355">
        <v>66</v>
      </c>
      <c r="C917" s="355" t="s">
        <v>3873</v>
      </c>
      <c r="D917" s="359" t="s">
        <v>3874</v>
      </c>
      <c r="E917" s="356">
        <v>45200</v>
      </c>
      <c r="F917" s="356">
        <v>45247</v>
      </c>
      <c r="G917" s="355" t="s">
        <v>3814</v>
      </c>
      <c r="H917" s="355" t="s">
        <v>3875</v>
      </c>
      <c r="I917" s="355" t="s">
        <v>1003</v>
      </c>
      <c r="J917" s="355" t="s">
        <v>3876</v>
      </c>
      <c r="K917" s="426" t="str">
        <f>HYPERLINK("https://okcountyrecords.com/detail/roger+mills/2023-003590","63e8b9a8d056433a9994fe46ca85076b.pdf | OKCountyRecords: 2023-003590")</f>
        <v>63e8b9a8d056433a9994fe46ca85076b.pdf | OKCountyRecords: 2023-003590</v>
      </c>
    </row>
    <row r="918" spans="1:11" ht="38.25" hidden="1" x14ac:dyDescent="0.25">
      <c r="A918" s="355" t="s">
        <v>3877</v>
      </c>
      <c r="B918" s="355"/>
      <c r="C918" s="355" t="s">
        <v>3535</v>
      </c>
      <c r="D918" s="355" t="s">
        <v>3878</v>
      </c>
      <c r="E918" s="356">
        <v>45225</v>
      </c>
      <c r="F918" s="356">
        <v>45247</v>
      </c>
      <c r="G918" s="357" t="s">
        <v>3879</v>
      </c>
      <c r="H918" s="357" t="s">
        <v>3880</v>
      </c>
      <c r="I918" s="357" t="s">
        <v>1003</v>
      </c>
      <c r="J918" s="357" t="s">
        <v>996</v>
      </c>
      <c r="K918" s="426" t="str">
        <f>HYPERLINK("https://okcountyrecords.com/detail/roger+mills/2023-003594","63e8b9a8d056433a9994fe46ca85076b.pdf | OKCountyRecords: 2023-003594")</f>
        <v>63e8b9a8d056433a9994fe46ca85076b.pdf | OKCountyRecords: 2023-003594</v>
      </c>
    </row>
    <row r="919" spans="1:11" hidden="1" x14ac:dyDescent="0.25">
      <c r="A919" s="355" t="s">
        <v>3881</v>
      </c>
      <c r="B919" s="355"/>
      <c r="C919" s="355" t="s">
        <v>3535</v>
      </c>
      <c r="D919" s="355" t="s">
        <v>3882</v>
      </c>
      <c r="E919" s="356">
        <v>45250</v>
      </c>
      <c r="F919" s="356">
        <v>45250</v>
      </c>
      <c r="G919" s="355" t="s">
        <v>3814</v>
      </c>
      <c r="H919" s="355" t="s">
        <v>3883</v>
      </c>
      <c r="I919" s="357" t="s">
        <v>1003</v>
      </c>
      <c r="J919" s="357" t="s">
        <v>996</v>
      </c>
      <c r="K919" s="426" t="str">
        <f>HYPERLINK("https://okcountyrecords.com/detail/roger+mills/2023-003598","63e8b9a8d056433a9994fe46ca85076b.pdf | OKCountyRecords: 2023-003598")</f>
        <v>63e8b9a8d056433a9994fe46ca85076b.pdf | OKCountyRecords: 2023-003598</v>
      </c>
    </row>
    <row r="920" spans="1:11" x14ac:dyDescent="0.25">
      <c r="A920" s="360" t="s">
        <v>3884</v>
      </c>
      <c r="B920" s="360"/>
      <c r="C920" s="360" t="s">
        <v>3730</v>
      </c>
      <c r="D920" s="360" t="s">
        <v>3885</v>
      </c>
      <c r="E920" s="361">
        <v>45359</v>
      </c>
      <c r="F920" s="361">
        <v>45365</v>
      </c>
      <c r="G920" s="360" t="s">
        <v>3886</v>
      </c>
      <c r="H920" s="360" t="s">
        <v>1110</v>
      </c>
      <c r="I920" s="360" t="s">
        <v>3851</v>
      </c>
      <c r="J920" s="360" t="s">
        <v>3887</v>
      </c>
      <c r="K920" s="427" t="str">
        <f>HYPERLINK("https://okcountyrecords.com/detail/roger+mills/2024-001313/31623586","OKCountyRecords: 2024-001313")</f>
        <v>OKCountyRecords: 2024-001313</v>
      </c>
    </row>
    <row r="921" spans="1:11" x14ac:dyDescent="0.25">
      <c r="A921" s="355" t="s">
        <v>3888</v>
      </c>
      <c r="B921" s="355">
        <v>67</v>
      </c>
      <c r="C921" s="355" t="s">
        <v>114</v>
      </c>
      <c r="D921" s="359" t="s">
        <v>3889</v>
      </c>
      <c r="E921" s="356">
        <v>45391</v>
      </c>
      <c r="F921" s="356">
        <v>45401</v>
      </c>
      <c r="G921" s="355" t="s">
        <v>896</v>
      </c>
      <c r="H921" s="355" t="s">
        <v>3890</v>
      </c>
      <c r="I921" s="355" t="s">
        <v>1003</v>
      </c>
      <c r="J921" s="355" t="s">
        <v>2688</v>
      </c>
      <c r="K921" s="426" t="str">
        <f>HYPERLINK("https://okcountyrecords.com/detail/roger+mills/2024-002310","63e8b9a8d056433a9994fe46ca85076b.pdf | OKCountyRecords: 2024-002310")</f>
        <v>63e8b9a8d056433a9994fe46ca85076b.pdf | OKCountyRecords: 2024-002310</v>
      </c>
    </row>
    <row r="922" spans="1:11" x14ac:dyDescent="0.25">
      <c r="A922" s="355" t="s">
        <v>3891</v>
      </c>
      <c r="B922" s="355">
        <v>68</v>
      </c>
      <c r="C922" s="355" t="s">
        <v>114</v>
      </c>
      <c r="D922" s="359" t="s">
        <v>3892</v>
      </c>
      <c r="E922" s="356">
        <v>45399</v>
      </c>
      <c r="F922" s="356">
        <v>45432</v>
      </c>
      <c r="G922" s="355" t="s">
        <v>896</v>
      </c>
      <c r="H922" s="355" t="s">
        <v>3893</v>
      </c>
      <c r="I922" s="355" t="s">
        <v>1003</v>
      </c>
      <c r="J922" s="355" t="s">
        <v>2688</v>
      </c>
      <c r="K922" s="426" t="str">
        <f>HYPERLINK("https://okcountyrecords.com/detail/roger+mills/2024-003107","63e8b9a8d056433a9994fe46ca85076b.pdf | OKCountyRecords: 2024-003107")</f>
        <v>63e8b9a8d056433a9994fe46ca85076b.pdf | OKCountyRecords: 2024-003107</v>
      </c>
    </row>
    <row r="923" spans="1:11" x14ac:dyDescent="0.25">
      <c r="A923" s="355"/>
      <c r="B923" s="355">
        <v>73</v>
      </c>
      <c r="C923" s="355" t="s">
        <v>114</v>
      </c>
      <c r="D923" s="359" t="s">
        <v>3913</v>
      </c>
      <c r="E923" s="356">
        <v>45474</v>
      </c>
      <c r="F923" s="356">
        <v>45642</v>
      </c>
      <c r="G923" s="355" t="s">
        <v>3914</v>
      </c>
      <c r="H923" s="355" t="s">
        <v>3915</v>
      </c>
      <c r="I923" s="355" t="s">
        <v>1003</v>
      </c>
      <c r="J923" s="606" t="s">
        <v>3916</v>
      </c>
      <c r="K923" s="426" t="str">
        <f>HYPERLINK("https://okcountyrecords.com/search/roger%20mills","OKCountyRecords search: Assignment 45642")</f>
        <v>OKCountyRecords search: Assignment 45642</v>
      </c>
    </row>
    <row r="924" spans="1:11" ht="102" hidden="1" x14ac:dyDescent="0.25">
      <c r="A924" s="355" t="s">
        <v>3917</v>
      </c>
      <c r="B924" s="355">
        <v>61</v>
      </c>
      <c r="C924" s="355" t="s">
        <v>114</v>
      </c>
      <c r="D924" s="355" t="s">
        <v>3913</v>
      </c>
      <c r="E924" s="356">
        <v>45474</v>
      </c>
      <c r="F924" s="356">
        <v>45642</v>
      </c>
      <c r="G924" s="357" t="s">
        <v>3914</v>
      </c>
      <c r="H924" s="355" t="s">
        <v>3915</v>
      </c>
      <c r="I924" s="357" t="s">
        <v>1003</v>
      </c>
      <c r="J924" s="428" t="s">
        <v>3918</v>
      </c>
      <c r="K924" s="426" t="str">
        <f>HYPERLINK("https://okcountyrecords.com/detail/roger+mills/2024-007734/33733683","OKCountyRecords: 2024-007734")</f>
        <v>OKCountyRecords: 2024-007734</v>
      </c>
    </row>
    <row r="925" spans="1:11" x14ac:dyDescent="0.25">
      <c r="A925" s="355" t="s">
        <v>3899</v>
      </c>
      <c r="B925" s="355">
        <v>70</v>
      </c>
      <c r="C925" s="355" t="s">
        <v>2437</v>
      </c>
      <c r="D925" s="359" t="s">
        <v>3900</v>
      </c>
      <c r="E925" s="356">
        <v>45588</v>
      </c>
      <c r="F925" s="356">
        <v>45614</v>
      </c>
      <c r="G925" s="355" t="s">
        <v>3901</v>
      </c>
      <c r="H925" s="355" t="s">
        <v>3902</v>
      </c>
      <c r="I925" s="355" t="s">
        <v>1003</v>
      </c>
      <c r="J925" s="355" t="s">
        <v>3739</v>
      </c>
      <c r="K925" s="426" t="str">
        <f>HYPERLINK("https://okcountyrecords.com/detail/roger+mills/2024-007198","63e8b9a8d056433a9994fe46ca85076b.pdf | OKCountyRecords: 2024-007198")</f>
        <v>63e8b9a8d056433a9994fe46ca85076b.pdf | OKCountyRecords: 2024-007198</v>
      </c>
    </row>
    <row r="926" spans="1:11" x14ac:dyDescent="0.25">
      <c r="A926" s="355" t="s">
        <v>3903</v>
      </c>
      <c r="B926" s="355">
        <v>71</v>
      </c>
      <c r="C926" s="355" t="s">
        <v>1410</v>
      </c>
      <c r="D926" s="359" t="s">
        <v>3904</v>
      </c>
      <c r="E926" s="356">
        <v>45589</v>
      </c>
      <c r="F926" s="356">
        <v>45614</v>
      </c>
      <c r="G926" s="355" t="s">
        <v>3905</v>
      </c>
      <c r="H926" s="355" t="s">
        <v>1110</v>
      </c>
      <c r="I926" s="355" t="s">
        <v>1003</v>
      </c>
      <c r="J926" s="355" t="s">
        <v>3906</v>
      </c>
      <c r="K926" s="426" t="str">
        <f>HYPERLINK("https://okcountyrecords.com/detail/roger+mills/2024-007203","63e8b9a8d056433a9994fe46ca85076b.pdf | OKCountyRecords: 2024-007203")</f>
        <v>63e8b9a8d056433a9994fe46ca85076b.pdf | OKCountyRecords: 2024-007203</v>
      </c>
    </row>
    <row r="927" spans="1:11" x14ac:dyDescent="0.25">
      <c r="A927" s="355"/>
      <c r="B927" s="355">
        <v>72</v>
      </c>
      <c r="C927" s="355" t="s">
        <v>1623</v>
      </c>
      <c r="D927" s="359" t="s">
        <v>3907</v>
      </c>
      <c r="E927" s="356">
        <v>45608</v>
      </c>
      <c r="F927" s="356">
        <v>45621</v>
      </c>
      <c r="G927" s="355" t="s">
        <v>3908</v>
      </c>
      <c r="H927" s="355" t="s">
        <v>3909</v>
      </c>
      <c r="I927" s="355" t="s">
        <v>1003</v>
      </c>
      <c r="J927" s="355" t="s">
        <v>3726</v>
      </c>
      <c r="K927" s="426" t="str">
        <f>HYPERLINK("https://okcountyrecords.com/search/roger%20mills","OKCountyRecords search: Mineral Deed 45621")</f>
        <v>OKCountyRecords search: Mineral Deed 45621</v>
      </c>
    </row>
    <row r="928" spans="1:11" x14ac:dyDescent="0.25">
      <c r="A928" s="355" t="s">
        <v>3910</v>
      </c>
      <c r="B928" s="355"/>
      <c r="C928" s="355" t="s">
        <v>1623</v>
      </c>
      <c r="D928" s="355" t="s">
        <v>3907</v>
      </c>
      <c r="E928" s="356">
        <v>45608</v>
      </c>
      <c r="F928" s="356">
        <v>45621</v>
      </c>
      <c r="G928" s="355" t="s">
        <v>482</v>
      </c>
      <c r="H928" s="355" t="s">
        <v>3911</v>
      </c>
      <c r="I928" s="355" t="s">
        <v>3912</v>
      </c>
      <c r="J928" s="355" t="s">
        <v>1625</v>
      </c>
      <c r="K928" s="426" t="str">
        <f>HYPERLINK("https://okcountyrecords.com/detail/roger+mills/2024-007338/32904065","OKCountyRecords: 2024-007338")</f>
        <v>OKCountyRecords: 2024-007338</v>
      </c>
    </row>
    <row r="929" spans="1:11" x14ac:dyDescent="0.25">
      <c r="A929" s="355" t="s">
        <v>3919</v>
      </c>
      <c r="B929" s="355"/>
      <c r="C929" s="355" t="s">
        <v>2441</v>
      </c>
      <c r="D929" s="355" t="s">
        <v>3920</v>
      </c>
      <c r="E929" s="356">
        <v>45648</v>
      </c>
      <c r="F929" s="356">
        <v>45672</v>
      </c>
      <c r="G929" s="355" t="s">
        <v>3921</v>
      </c>
      <c r="H929" s="355" t="s">
        <v>3794</v>
      </c>
      <c r="I929" s="355" t="s">
        <v>1003</v>
      </c>
      <c r="J929" s="606" t="s">
        <v>3922</v>
      </c>
      <c r="K929" s="426" t="str">
        <f>HYPERLINK("https://okcountyrecords.com/detail/roger+mills/2025-000522","63e8b9a8d056433a9994fe46ca85076b.pdf | OKCountyRecords: 2025-000522")</f>
        <v>63e8b9a8d056433a9994fe46ca85076b.pdf | OKCountyRecords: 2025-000522</v>
      </c>
    </row>
    <row r="930" spans="1:11" x14ac:dyDescent="0.25">
      <c r="A930" s="355" t="s">
        <v>3923</v>
      </c>
      <c r="B930" s="355"/>
      <c r="C930" s="355" t="s">
        <v>2441</v>
      </c>
      <c r="D930" s="355" t="s">
        <v>3920</v>
      </c>
      <c r="E930" s="356">
        <v>45648</v>
      </c>
      <c r="F930" s="356">
        <v>45672</v>
      </c>
      <c r="G930" s="355" t="s">
        <v>3921</v>
      </c>
      <c r="H930" s="355" t="s">
        <v>3794</v>
      </c>
      <c r="I930" s="355" t="s">
        <v>1003</v>
      </c>
      <c r="J930" s="355" t="s">
        <v>1095</v>
      </c>
      <c r="K930" s="426" t="str">
        <f>HYPERLINK("https://okcountyrecords.com/detail/roger+mills/2025-000252","OKCountyRecords: 2025-000252")</f>
        <v>OKCountyRecords: 2025-000252</v>
      </c>
    </row>
    <row r="931" spans="1:11" x14ac:dyDescent="0.25">
      <c r="A931" s="355" t="s">
        <v>3924</v>
      </c>
      <c r="B931" s="355"/>
      <c r="C931" s="355" t="s">
        <v>3925</v>
      </c>
      <c r="D931" s="355" t="s">
        <v>3926</v>
      </c>
      <c r="E931" s="356">
        <v>45726</v>
      </c>
      <c r="F931" s="356">
        <v>45728</v>
      </c>
      <c r="G931" s="355" t="s">
        <v>3927</v>
      </c>
      <c r="H931" s="355" t="s">
        <v>3928</v>
      </c>
      <c r="I931" s="355" t="s">
        <v>3929</v>
      </c>
      <c r="J931" s="355" t="s">
        <v>1625</v>
      </c>
      <c r="K931" s="426" t="str">
        <f>HYPERLINK("https://okcountyrecords.com/detail/roger+mills/2025-001343","OKCountyRecords: 2025-001343")</f>
        <v>OKCountyRecords: 2025-001343</v>
      </c>
    </row>
    <row r="932" spans="1:11" x14ac:dyDescent="0.25">
      <c r="A932" s="355" t="s">
        <v>3942</v>
      </c>
      <c r="B932" s="355"/>
      <c r="C932" s="355" t="s">
        <v>2430</v>
      </c>
      <c r="D932" s="355" t="s">
        <v>3943</v>
      </c>
      <c r="E932" s="356">
        <v>45726</v>
      </c>
      <c r="F932" s="356">
        <v>45840</v>
      </c>
      <c r="G932" s="355" t="s">
        <v>3944</v>
      </c>
      <c r="H932" s="355" t="s">
        <v>3945</v>
      </c>
      <c r="I932" s="355" t="s">
        <v>3946</v>
      </c>
      <c r="J932" s="355" t="s">
        <v>985</v>
      </c>
      <c r="K932" s="426" t="str">
        <f>HYPERLINK("https://okcountyrecords.com/detail/roger+mills/2025-003963","OKCountyRecords: 2025-003963")</f>
        <v>OKCountyRecords: 2025-003963</v>
      </c>
    </row>
    <row r="933" spans="1:11" x14ac:dyDescent="0.25">
      <c r="A933" s="355"/>
      <c r="B933" s="355">
        <v>74</v>
      </c>
      <c r="C933" s="355" t="s">
        <v>1623</v>
      </c>
      <c r="D933" s="359" t="s">
        <v>3930</v>
      </c>
      <c r="E933" s="356">
        <v>45747</v>
      </c>
      <c r="F933" s="356">
        <v>45771</v>
      </c>
      <c r="G933" s="355" t="s">
        <v>3931</v>
      </c>
      <c r="H933" s="355" t="s">
        <v>3932</v>
      </c>
      <c r="I933" s="355" t="s">
        <v>3851</v>
      </c>
      <c r="J933" s="355" t="s">
        <v>3726</v>
      </c>
      <c r="K933" s="426" t="str">
        <f>HYPERLINK("https://okcountyrecords.com/search/roger%20mills","OKCountyRecords search: Mineral Deed 45771")</f>
        <v>OKCountyRecords search: Mineral Deed 45771</v>
      </c>
    </row>
    <row r="934" spans="1:11" x14ac:dyDescent="0.25">
      <c r="A934" s="355" t="s">
        <v>3935</v>
      </c>
      <c r="B934" s="355"/>
      <c r="C934" s="355" t="s">
        <v>1623</v>
      </c>
      <c r="D934" s="355" t="s">
        <v>3930</v>
      </c>
      <c r="E934" s="356">
        <v>45747</v>
      </c>
      <c r="F934" s="356">
        <v>45771</v>
      </c>
      <c r="G934" s="355" t="s">
        <v>3936</v>
      </c>
      <c r="H934" s="355" t="s">
        <v>3932</v>
      </c>
      <c r="I934" s="355" t="s">
        <v>2543</v>
      </c>
      <c r="J934" s="355" t="s">
        <v>1625</v>
      </c>
      <c r="K934" s="426" t="str">
        <f>HYPERLINK("https://okcountyrecords.com/detail/roger+mills/2025-002463/34027439","OKCountyRecords: 2025-002463")</f>
        <v>OKCountyRecords: 2025-002463</v>
      </c>
    </row>
    <row r="935" spans="1:11" x14ac:dyDescent="0.25">
      <c r="A935" s="355"/>
      <c r="B935" s="355">
        <v>75</v>
      </c>
      <c r="C935" s="355" t="s">
        <v>1623</v>
      </c>
      <c r="D935" s="359" t="s">
        <v>3933</v>
      </c>
      <c r="E935" s="356">
        <v>45747</v>
      </c>
      <c r="F935" s="356">
        <v>45771</v>
      </c>
      <c r="G935" s="355" t="s">
        <v>3931</v>
      </c>
      <c r="H935" s="355" t="s">
        <v>3934</v>
      </c>
      <c r="I935" s="355" t="s">
        <v>3851</v>
      </c>
      <c r="J935" s="355" t="s">
        <v>3726</v>
      </c>
      <c r="K935" s="426" t="str">
        <f>HYPERLINK("https://okcountyrecords.com/search/roger%20mills","OKCountyRecords search: Mineral Deed 45771")</f>
        <v>OKCountyRecords search: Mineral Deed 45771</v>
      </c>
    </row>
    <row r="936" spans="1:11" x14ac:dyDescent="0.25">
      <c r="A936" s="355" t="s">
        <v>3937</v>
      </c>
      <c r="B936" s="355"/>
      <c r="C936" s="355" t="s">
        <v>1623</v>
      </c>
      <c r="D936" s="355" t="s">
        <v>3933</v>
      </c>
      <c r="E936" s="356">
        <v>45747</v>
      </c>
      <c r="F936" s="356">
        <v>45771</v>
      </c>
      <c r="G936" s="355" t="s">
        <v>3936</v>
      </c>
      <c r="H936" s="355" t="s">
        <v>3934</v>
      </c>
      <c r="I936" s="355" t="s">
        <v>2543</v>
      </c>
      <c r="J936" s="355" t="s">
        <v>1625</v>
      </c>
      <c r="K936" s="426" t="str">
        <f>HYPERLINK("https://okcountyrecords.com/detail/roger+mills/2025-002464/34027438","OKCountyRecords: 2025-002464")</f>
        <v>OKCountyRecords: 2025-002464</v>
      </c>
    </row>
    <row r="937" spans="1:11" x14ac:dyDescent="0.25">
      <c r="A937" s="355" t="s">
        <v>3938</v>
      </c>
      <c r="B937" s="355">
        <v>76</v>
      </c>
      <c r="C937" s="355" t="s">
        <v>1107</v>
      </c>
      <c r="D937" s="359" t="s">
        <v>3939</v>
      </c>
      <c r="E937" s="356">
        <v>45784</v>
      </c>
      <c r="F937" s="356">
        <v>45792</v>
      </c>
      <c r="G937" s="355" t="s">
        <v>3940</v>
      </c>
      <c r="H937" s="355" t="s">
        <v>3941</v>
      </c>
      <c r="I937" s="355" t="s">
        <v>1003</v>
      </c>
      <c r="J937" s="355" t="s">
        <v>3830</v>
      </c>
      <c r="K937" s="426" t="str">
        <f>HYPERLINK("https://okcountyrecords.com/detail/roger+mills/2025-002923","63e8b9a8d056433a9994fe46ca85076b.pdf | OKCountyRecords: 2025-002923")</f>
        <v>63e8b9a8d056433a9994fe46ca85076b.pdf | OKCountyRecords: 2025-002923</v>
      </c>
    </row>
    <row r="938" spans="1:11" x14ac:dyDescent="0.25">
      <c r="A938" s="355" t="s">
        <v>3947</v>
      </c>
      <c r="B938" s="355"/>
      <c r="C938" s="355" t="s">
        <v>1623</v>
      </c>
      <c r="D938" s="355" t="s">
        <v>3948</v>
      </c>
      <c r="E938" s="356">
        <v>45896</v>
      </c>
      <c r="F938" s="356">
        <v>45908</v>
      </c>
      <c r="G938" s="355" t="s">
        <v>3799</v>
      </c>
      <c r="H938" s="355" t="s">
        <v>3949</v>
      </c>
      <c r="I938" s="355" t="s">
        <v>2543</v>
      </c>
      <c r="J938" s="355" t="s">
        <v>1625</v>
      </c>
      <c r="K938" s="426" t="str">
        <f>HYPERLINK("https://okcountyrecords.com/detail/roger+mills/2025-005448","OKCountyRecords: 2025-005448")</f>
        <v>OKCountyRecords: 2025-005448</v>
      </c>
    </row>
    <row r="939" spans="1:11" x14ac:dyDescent="0.25">
      <c r="A939" s="355" t="s">
        <v>3950</v>
      </c>
      <c r="B939" s="355"/>
      <c r="C939" s="355" t="s">
        <v>1623</v>
      </c>
      <c r="D939" s="355" t="s">
        <v>3951</v>
      </c>
      <c r="E939" s="356">
        <v>45897</v>
      </c>
      <c r="F939" s="356">
        <v>45908</v>
      </c>
      <c r="G939" s="355" t="s">
        <v>3949</v>
      </c>
      <c r="H939" s="355" t="s">
        <v>3952</v>
      </c>
      <c r="I939" s="355" t="s">
        <v>2543</v>
      </c>
      <c r="J939" s="355" t="s">
        <v>1625</v>
      </c>
      <c r="K939" s="426" t="str">
        <f>HYPERLINK("https://okcountyrecords.com/detail/roger+mills/2025-005451","OKCountyRecords: 2025-005451")</f>
        <v>OKCountyRecords: 2025-005451</v>
      </c>
    </row>
    <row r="940" spans="1:11" x14ac:dyDescent="0.25">
      <c r="A940" s="355" t="s">
        <v>3953</v>
      </c>
      <c r="B940" s="355">
        <v>77</v>
      </c>
      <c r="C940" s="355" t="s">
        <v>3284</v>
      </c>
      <c r="D940" s="359" t="s">
        <v>3954</v>
      </c>
      <c r="E940" s="356">
        <v>45926</v>
      </c>
      <c r="F940" s="356">
        <v>45954</v>
      </c>
      <c r="G940" s="355" t="s">
        <v>3955</v>
      </c>
      <c r="H940" s="355" t="s">
        <v>3956</v>
      </c>
      <c r="I940" s="355" t="s">
        <v>1003</v>
      </c>
      <c r="J940" s="355" t="s">
        <v>3541</v>
      </c>
      <c r="K940" s="426" t="str">
        <f>HYPERLINK("https://okcountyrecords.com/detail/roger+mills/2025-006541","63e8b9a8d056433a9994fe46ca85076b.pdf | OKCountyRecords: 2025-006541")</f>
        <v>63e8b9a8d056433a9994fe46ca85076b.pdf | OKCountyRecords: 2025-006541</v>
      </c>
    </row>
    <row r="941" spans="1:11" x14ac:dyDescent="0.25">
      <c r="A941" s="355" t="s">
        <v>3957</v>
      </c>
      <c r="B941" s="355">
        <v>78</v>
      </c>
      <c r="C941" s="355" t="s">
        <v>3873</v>
      </c>
      <c r="D941" s="359" t="s">
        <v>3958</v>
      </c>
      <c r="E941" s="356">
        <v>45931</v>
      </c>
      <c r="F941" s="356">
        <v>45975</v>
      </c>
      <c r="G941" s="355" t="s">
        <v>3959</v>
      </c>
      <c r="H941" s="355" t="s">
        <v>3960</v>
      </c>
      <c r="I941" s="355" t="s">
        <v>1003</v>
      </c>
      <c r="J941" s="355" t="s">
        <v>3876</v>
      </c>
      <c r="K941" s="426" t="str">
        <f>HYPERLINK("https://okcountyrecords.com/detail/roger+mills/2025-006987","63e8b9a8d056433a9994fe46ca85076b.pdf | OKCountyRecords: 2025-006987")</f>
        <v>63e8b9a8d056433a9994fe46ca85076b.pdf | OKCountyRecords: 2025-006987</v>
      </c>
    </row>
    <row r="942" spans="1:11" x14ac:dyDescent="0.25">
      <c r="A942" s="355" t="s">
        <v>3964</v>
      </c>
      <c r="B942" s="355"/>
      <c r="C942" s="355" t="s">
        <v>1623</v>
      </c>
      <c r="D942" s="355" t="s">
        <v>3965</v>
      </c>
      <c r="E942" s="356">
        <v>45971</v>
      </c>
      <c r="F942" s="356">
        <v>46062</v>
      </c>
      <c r="G942" s="355" t="s">
        <v>3966</v>
      </c>
      <c r="H942" s="355" t="s">
        <v>3967</v>
      </c>
      <c r="I942" s="355" t="s">
        <v>3968</v>
      </c>
      <c r="J942" s="355" t="s">
        <v>1625</v>
      </c>
      <c r="K942" s="426" t="str">
        <f>HYPERLINK("https://okcountyrecords.com/detail/roger+mills/2026-000691","OKCountyRecords: 2026-000691")</f>
        <v>OKCountyRecords: 2026-000691</v>
      </c>
    </row>
    <row r="943" spans="1:11" x14ac:dyDescent="0.25">
      <c r="A943" s="355" t="s">
        <v>4012</v>
      </c>
      <c r="B943" s="355">
        <v>98</v>
      </c>
      <c r="C943" s="355" t="s">
        <v>3873</v>
      </c>
      <c r="D943" s="359" t="s">
        <v>4013</v>
      </c>
      <c r="E943" s="356">
        <v>46023</v>
      </c>
      <c r="F943" s="356">
        <v>46146</v>
      </c>
      <c r="G943" s="355" t="s">
        <v>4014</v>
      </c>
      <c r="H943" s="355" t="s">
        <v>4015</v>
      </c>
      <c r="I943" s="355" t="s">
        <v>2539</v>
      </c>
      <c r="J943" s="355" t="s">
        <v>3876</v>
      </c>
      <c r="K943" s="426" t="str">
        <f>HYPERLINK("https://okcountyrecords.com/detail/roger+mills/2026-002547/35349405","OKCountyRecords: 2026-002547")</f>
        <v>OKCountyRecords: 2026-002547</v>
      </c>
    </row>
    <row r="944" spans="1:11" x14ac:dyDescent="0.25">
      <c r="A944" s="355" t="s">
        <v>3961</v>
      </c>
      <c r="B944" s="355"/>
      <c r="C944" s="355" t="s">
        <v>2441</v>
      </c>
      <c r="D944" s="355" t="s">
        <v>3962</v>
      </c>
      <c r="E944" s="356">
        <v>46041</v>
      </c>
      <c r="F944" s="356">
        <v>46052</v>
      </c>
      <c r="G944" s="355" t="s">
        <v>3963</v>
      </c>
      <c r="H944" s="355" t="s">
        <v>1110</v>
      </c>
      <c r="I944" s="355" t="s">
        <v>1003</v>
      </c>
      <c r="J944" s="355" t="s">
        <v>1095</v>
      </c>
      <c r="K944" s="426" t="str">
        <f>HYPERLINK("https://okcountyrecords.com/detail/roger+mills/2026-000506","63e8b9a8d056433a9994fe46ca85076b.pdf | OKCountyRecords: 2026-000506")</f>
        <v>63e8b9a8d056433a9994fe46ca85076b.pdf | OKCountyRecords: 2026-000506</v>
      </c>
    </row>
    <row r="945" spans="1:11" x14ac:dyDescent="0.25">
      <c r="A945" s="355"/>
      <c r="B945" s="355">
        <v>91</v>
      </c>
      <c r="C945" s="355" t="s">
        <v>309</v>
      </c>
      <c r="D945" s="359" t="s">
        <v>4031</v>
      </c>
      <c r="E945" s="356">
        <v>46064</v>
      </c>
      <c r="F945" s="356">
        <v>46170</v>
      </c>
      <c r="G945" s="355" t="s">
        <v>4032</v>
      </c>
      <c r="H945" s="355" t="s">
        <v>733</v>
      </c>
      <c r="I945" s="355" t="s">
        <v>734</v>
      </c>
      <c r="J945" s="355" t="s">
        <v>2640</v>
      </c>
      <c r="K945" s="426" t="str">
        <f>HYPERLINK("https://okcountyrecords.com/search/roger%20mills","OKCountyRecords search: Oil and Gas Lease 46170")</f>
        <v>OKCountyRecords search: Oil and Gas Lease 46170</v>
      </c>
    </row>
    <row r="946" spans="1:11" x14ac:dyDescent="0.25">
      <c r="A946" s="355" t="s">
        <v>4033</v>
      </c>
      <c r="B946" s="355">
        <v>68</v>
      </c>
      <c r="C946" s="355" t="s">
        <v>309</v>
      </c>
      <c r="D946" s="355" t="s">
        <v>4031</v>
      </c>
      <c r="E946" s="356">
        <v>46064</v>
      </c>
      <c r="F946" s="356">
        <v>46170</v>
      </c>
      <c r="G946" s="355" t="s">
        <v>4032</v>
      </c>
      <c r="H946" s="355" t="s">
        <v>733</v>
      </c>
      <c r="I946" s="355" t="s">
        <v>734</v>
      </c>
      <c r="J946" s="355" t="s">
        <v>4034</v>
      </c>
      <c r="K946" s="426" t="str">
        <f>HYPERLINK("https://okcountyrecords.com/detail/roger+mills/2026-003145/35404151","OKCountyRecords: 2026-003145")</f>
        <v>OKCountyRecords: 2026-003145</v>
      </c>
    </row>
    <row r="947" spans="1:11" x14ac:dyDescent="0.25">
      <c r="A947" s="355" t="s">
        <v>4006</v>
      </c>
      <c r="B947" s="355">
        <v>67</v>
      </c>
      <c r="C947" s="355" t="s">
        <v>309</v>
      </c>
      <c r="D947" s="355" t="s">
        <v>4002</v>
      </c>
      <c r="E947" s="356">
        <v>46070</v>
      </c>
      <c r="F947" s="356">
        <v>46143</v>
      </c>
      <c r="G947" s="355" t="s">
        <v>4003</v>
      </c>
      <c r="H947" s="355" t="s">
        <v>733</v>
      </c>
      <c r="I947" s="355" t="s">
        <v>502</v>
      </c>
      <c r="J947" s="355" t="s">
        <v>4007</v>
      </c>
      <c r="K947" s="426" t="str">
        <f>HYPERLINK("https://okcountyrecords.com/detail/roger+mills/2026-002511/35346711","OKCountyRecords: 2026-002511")</f>
        <v>OKCountyRecords: 2026-002511</v>
      </c>
    </row>
    <row r="948" spans="1:11" x14ac:dyDescent="0.25">
      <c r="A948" s="355"/>
      <c r="B948" s="355">
        <v>81</v>
      </c>
      <c r="C948" s="355" t="s">
        <v>309</v>
      </c>
      <c r="D948" s="359" t="s">
        <v>3983</v>
      </c>
      <c r="E948" s="356">
        <v>46076</v>
      </c>
      <c r="F948" s="356">
        <v>46122</v>
      </c>
      <c r="G948" s="355" t="s">
        <v>3984</v>
      </c>
      <c r="H948" s="355" t="s">
        <v>733</v>
      </c>
      <c r="I948" s="355" t="s">
        <v>743</v>
      </c>
      <c r="J948" s="355" t="s">
        <v>2640</v>
      </c>
      <c r="K948" s="426" t="str">
        <f>HYPERLINK("https://okcountyrecords.com/search/roger%20mills","OKCountyRecords search: Oil and Gas Lease 46122")</f>
        <v>OKCountyRecords search: Oil and Gas Lease 46122</v>
      </c>
    </row>
    <row r="949" spans="1:11" x14ac:dyDescent="0.25">
      <c r="A949" s="355" t="s">
        <v>3991</v>
      </c>
      <c r="B949" s="355">
        <v>64</v>
      </c>
      <c r="C949" s="355" t="s">
        <v>309</v>
      </c>
      <c r="D949" s="355" t="s">
        <v>3983</v>
      </c>
      <c r="E949" s="356">
        <v>46076</v>
      </c>
      <c r="F949" s="356">
        <v>46122</v>
      </c>
      <c r="G949" s="355" t="s">
        <v>3984</v>
      </c>
      <c r="H949" s="355" t="s">
        <v>733</v>
      </c>
      <c r="I949" s="355" t="s">
        <v>743</v>
      </c>
      <c r="J949" s="355" t="s">
        <v>3992</v>
      </c>
      <c r="K949" s="426" t="str">
        <f>HYPERLINK("https://okcountyrecords.com/detail/roger+mills/2026-001949/35274564","OKCountyRecords: 2026-001949")</f>
        <v>OKCountyRecords: 2026-001949</v>
      </c>
    </row>
    <row r="950" spans="1:11" x14ac:dyDescent="0.25">
      <c r="A950" s="355"/>
      <c r="B950" s="355">
        <v>83</v>
      </c>
      <c r="C950" s="355" t="s">
        <v>309</v>
      </c>
      <c r="D950" s="359" t="s">
        <v>3989</v>
      </c>
      <c r="E950" s="356">
        <v>46076</v>
      </c>
      <c r="F950" s="356">
        <v>46122</v>
      </c>
      <c r="G950" s="355" t="s">
        <v>3990</v>
      </c>
      <c r="H950" s="355" t="s">
        <v>733</v>
      </c>
      <c r="I950" s="355" t="s">
        <v>502</v>
      </c>
      <c r="J950" s="355" t="s">
        <v>2640</v>
      </c>
      <c r="K950" s="426" t="str">
        <f>HYPERLINK("https://okcountyrecords.com/search/roger%20mills","OKCountyRecords search: Oil and Gas Lease 46122")</f>
        <v>OKCountyRecords search: Oil and Gas Lease 46122</v>
      </c>
    </row>
    <row r="951" spans="1:11" x14ac:dyDescent="0.25">
      <c r="A951" s="355" t="s">
        <v>3994</v>
      </c>
      <c r="B951" s="355">
        <v>66</v>
      </c>
      <c r="C951" s="355" t="s">
        <v>309</v>
      </c>
      <c r="D951" s="355" t="s">
        <v>3989</v>
      </c>
      <c r="E951" s="356">
        <v>46076</v>
      </c>
      <c r="F951" s="356">
        <v>46122</v>
      </c>
      <c r="G951" s="355" t="s">
        <v>3990</v>
      </c>
      <c r="H951" s="355" t="s">
        <v>733</v>
      </c>
      <c r="I951" s="355" t="s">
        <v>502</v>
      </c>
      <c r="J951" s="355" t="s">
        <v>3992</v>
      </c>
      <c r="K951" s="426" t="str">
        <f>HYPERLINK("https://okcountyrecords.com/detail/roger+mills/2026-001952/35274563","OKCountyRecords: 2026-001952")</f>
        <v>OKCountyRecords: 2026-001952</v>
      </c>
    </row>
    <row r="952" spans="1:11" x14ac:dyDescent="0.25">
      <c r="A952" s="355"/>
      <c r="B952" s="355">
        <v>82</v>
      </c>
      <c r="C952" s="355" t="s">
        <v>309</v>
      </c>
      <c r="D952" s="359" t="s">
        <v>3986</v>
      </c>
      <c r="E952" s="356">
        <v>46080</v>
      </c>
      <c r="F952" s="356">
        <v>46122</v>
      </c>
      <c r="G952" s="355" t="s">
        <v>3987</v>
      </c>
      <c r="H952" s="355" t="s">
        <v>733</v>
      </c>
      <c r="I952" s="355" t="s">
        <v>502</v>
      </c>
      <c r="J952" s="355" t="s">
        <v>2640</v>
      </c>
      <c r="K952" s="426" t="str">
        <f>HYPERLINK("https://okcountyrecords.com/search/roger%20mills","OKCountyRecords search: Oil and Gas Lease 46122")</f>
        <v>OKCountyRecords search: Oil and Gas Lease 46122</v>
      </c>
    </row>
    <row r="953" spans="1:11" x14ac:dyDescent="0.25">
      <c r="A953" s="355" t="s">
        <v>3993</v>
      </c>
      <c r="B953" s="355">
        <v>65</v>
      </c>
      <c r="C953" s="355" t="s">
        <v>309</v>
      </c>
      <c r="D953" s="355" t="s">
        <v>3986</v>
      </c>
      <c r="E953" s="356">
        <v>46080</v>
      </c>
      <c r="F953" s="356">
        <v>46122</v>
      </c>
      <c r="G953" s="355" t="s">
        <v>3987</v>
      </c>
      <c r="H953" s="355" t="s">
        <v>733</v>
      </c>
      <c r="I953" s="355" t="s">
        <v>502</v>
      </c>
      <c r="J953" s="355" t="s">
        <v>3992</v>
      </c>
      <c r="K953" s="426" t="str">
        <f>HYPERLINK("https://okcountyrecords.com/detail/roger+mills/2026-001951/35274565","OKCountyRecords: 2026-001951")</f>
        <v>OKCountyRecords: 2026-001951</v>
      </c>
    </row>
    <row r="954" spans="1:11" x14ac:dyDescent="0.25">
      <c r="A954" s="355" t="s">
        <v>3969</v>
      </c>
      <c r="B954" s="355"/>
      <c r="C954" s="355" t="s">
        <v>1623</v>
      </c>
      <c r="D954" s="355" t="s">
        <v>3970</v>
      </c>
      <c r="E954" s="356">
        <v>46084</v>
      </c>
      <c r="F954" s="356">
        <v>46092</v>
      </c>
      <c r="G954" s="355" t="s">
        <v>3971</v>
      </c>
      <c r="H954" s="355" t="s">
        <v>3972</v>
      </c>
      <c r="I954" s="355" t="s">
        <v>3973</v>
      </c>
      <c r="J954" s="355" t="s">
        <v>1625</v>
      </c>
      <c r="K954" s="426" t="str">
        <f>HYPERLINK("https://okcountyrecords.com/detail/roger+mills/2026-001374","OKCountyRecords: 2026-001374")</f>
        <v>OKCountyRecords: 2026-001374</v>
      </c>
    </row>
    <row r="955" spans="1:11" x14ac:dyDescent="0.25">
      <c r="A955" s="355" t="s">
        <v>4008</v>
      </c>
      <c r="B955" s="355"/>
      <c r="C955" s="355" t="s">
        <v>3379</v>
      </c>
      <c r="D955" s="355" t="s">
        <v>3996</v>
      </c>
      <c r="E955" s="356">
        <v>46106</v>
      </c>
      <c r="F955" s="356">
        <v>46143</v>
      </c>
      <c r="G955" s="355" t="s">
        <v>4009</v>
      </c>
      <c r="H955" s="355" t="s">
        <v>1110</v>
      </c>
      <c r="I955" s="355" t="s">
        <v>1003</v>
      </c>
      <c r="J955" s="355" t="s">
        <v>985</v>
      </c>
      <c r="K955" s="426" t="str">
        <f>HYPERLINK("https://okcountyrecords.com/detail/roger+mills/2026-002509/35346709","OKCountyRecords: 2026-002509")</f>
        <v>OKCountyRecords: 2026-002509</v>
      </c>
    </row>
    <row r="956" spans="1:11" x14ac:dyDescent="0.25">
      <c r="A956" s="355" t="s">
        <v>3995</v>
      </c>
      <c r="B956" s="355">
        <v>84</v>
      </c>
      <c r="C956" s="355" t="s">
        <v>3379</v>
      </c>
      <c r="D956" s="359" t="s">
        <v>3996</v>
      </c>
      <c r="E956" s="356">
        <v>46112</v>
      </c>
      <c r="F956" s="356">
        <v>46143</v>
      </c>
      <c r="G956" s="355" t="s">
        <v>3908</v>
      </c>
      <c r="H956" s="355" t="s">
        <v>3997</v>
      </c>
      <c r="I956" s="355" t="s">
        <v>3998</v>
      </c>
      <c r="J956" s="355" t="s">
        <v>3999</v>
      </c>
      <c r="K956" s="426" t="str">
        <f>HYPERLINK("https://okcountyrecords.com/detail/roger+mills/2026-002512/35346712","OKCountyRecords: 2026-002512")</f>
        <v>OKCountyRecords: 2026-002512</v>
      </c>
    </row>
    <row r="957" spans="1:11" x14ac:dyDescent="0.25">
      <c r="A957" s="355" t="s">
        <v>3995</v>
      </c>
      <c r="B957" s="355">
        <v>85</v>
      </c>
      <c r="C957" s="355" t="s">
        <v>1107</v>
      </c>
      <c r="D957" s="359" t="s">
        <v>4000</v>
      </c>
      <c r="E957" s="356">
        <v>46112</v>
      </c>
      <c r="F957" s="356">
        <v>46143</v>
      </c>
      <c r="G957" s="355" t="s">
        <v>4001</v>
      </c>
      <c r="H957" s="355" t="s">
        <v>1110</v>
      </c>
      <c r="I957" s="355" t="s">
        <v>3998</v>
      </c>
      <c r="J957" s="355" t="s">
        <v>3830</v>
      </c>
      <c r="K957" s="426" t="str">
        <f>HYPERLINK("https://okcountyrecords.com/detail/roger+mills/2026-002512/35346712","OKCountyRecords: 2026-002512")</f>
        <v>OKCountyRecords: 2026-002512</v>
      </c>
    </row>
    <row r="958" spans="1:11" x14ac:dyDescent="0.25">
      <c r="A958" s="355" t="s">
        <v>3995</v>
      </c>
      <c r="B958" s="355">
        <v>86</v>
      </c>
      <c r="C958" s="355" t="s">
        <v>309</v>
      </c>
      <c r="D958" s="359" t="s">
        <v>4002</v>
      </c>
      <c r="E958" s="356">
        <v>46112</v>
      </c>
      <c r="F958" s="356">
        <v>46143</v>
      </c>
      <c r="G958" s="355" t="s">
        <v>4003</v>
      </c>
      <c r="H958" s="355" t="s">
        <v>733</v>
      </c>
      <c r="I958" s="355" t="s">
        <v>502</v>
      </c>
      <c r="J958" s="355" t="s">
        <v>2640</v>
      </c>
      <c r="K958" s="426" t="str">
        <f>HYPERLINK("https://okcountyrecords.com/detail/roger+mills/2026-002512/35346712","OKCountyRecords: 2026-002512")</f>
        <v>OKCountyRecords: 2026-002512</v>
      </c>
    </row>
    <row r="959" spans="1:11" x14ac:dyDescent="0.25">
      <c r="A959" s="355" t="s">
        <v>3995</v>
      </c>
      <c r="B959" s="355">
        <v>97</v>
      </c>
      <c r="C959" s="355" t="s">
        <v>309</v>
      </c>
      <c r="D959" s="359" t="s">
        <v>4004</v>
      </c>
      <c r="E959" s="356">
        <v>46112</v>
      </c>
      <c r="F959" s="356">
        <v>46143</v>
      </c>
      <c r="G959" s="355" t="s">
        <v>4005</v>
      </c>
      <c r="H959" s="355" t="s">
        <v>733</v>
      </c>
      <c r="I959" s="355" t="s">
        <v>747</v>
      </c>
      <c r="J959" s="355" t="s">
        <v>2640</v>
      </c>
      <c r="K959" s="426" t="str">
        <f>HYPERLINK("https://okcountyrecords.com/detail/roger+mills/2026-002512/35346712","OKCountyRecords: 2026-002512")</f>
        <v>OKCountyRecords: 2026-002512</v>
      </c>
    </row>
    <row r="960" spans="1:11" x14ac:dyDescent="0.25">
      <c r="A960" s="355" t="s">
        <v>3974</v>
      </c>
      <c r="B960" s="355">
        <v>79</v>
      </c>
      <c r="C960" s="355" t="s">
        <v>1107</v>
      </c>
      <c r="D960" s="359" t="s">
        <v>3975</v>
      </c>
      <c r="E960" s="356">
        <v>46113</v>
      </c>
      <c r="F960" s="356">
        <v>46119</v>
      </c>
      <c r="G960" s="355" t="s">
        <v>3976</v>
      </c>
      <c r="H960" s="355" t="s">
        <v>1110</v>
      </c>
      <c r="I960" s="355" t="s">
        <v>313</v>
      </c>
      <c r="J960" s="355" t="s">
        <v>3830</v>
      </c>
      <c r="K960" s="426" t="str">
        <f>HYPERLINK("https://okcountyrecords.com/detail/roger+mills/2026-001884","63e8b9a8d056433a9994fe46ca85076b.pdf | OKCountyRecords: 2026-001884")</f>
        <v>63e8b9a8d056433a9994fe46ca85076b.pdf | OKCountyRecords: 2026-001884</v>
      </c>
    </row>
    <row r="961" spans="1:11" x14ac:dyDescent="0.25">
      <c r="A961" s="355" t="s">
        <v>3980</v>
      </c>
      <c r="B961" s="355"/>
      <c r="C961" s="355" t="s">
        <v>1107</v>
      </c>
      <c r="D961" s="355" t="s">
        <v>3975</v>
      </c>
      <c r="E961" s="356">
        <v>46113</v>
      </c>
      <c r="F961" s="356">
        <v>46119</v>
      </c>
      <c r="G961" s="355" t="s">
        <v>3981</v>
      </c>
      <c r="H961" s="355" t="s">
        <v>1110</v>
      </c>
      <c r="I961" s="355" t="s">
        <v>1003</v>
      </c>
      <c r="J961" s="355" t="s">
        <v>1095</v>
      </c>
      <c r="K961" s="426" t="str">
        <f>HYPERLINK("https://okcountyrecords.com/detail/roger+mills/2026-001844","OKCountyRecords: 2026-001844")</f>
        <v>OKCountyRecords: 2026-001844</v>
      </c>
    </row>
    <row r="962" spans="1:11" x14ac:dyDescent="0.25">
      <c r="A962" s="355" t="s">
        <v>3977</v>
      </c>
      <c r="B962" s="355">
        <v>80</v>
      </c>
      <c r="C962" s="355" t="s">
        <v>1107</v>
      </c>
      <c r="D962" s="359" t="s">
        <v>3978</v>
      </c>
      <c r="E962" s="356">
        <v>46113</v>
      </c>
      <c r="F962" s="356">
        <v>46119</v>
      </c>
      <c r="G962" s="355" t="s">
        <v>3979</v>
      </c>
      <c r="H962" s="355" t="s">
        <v>1110</v>
      </c>
      <c r="I962" s="355" t="s">
        <v>313</v>
      </c>
      <c r="J962" s="355" t="s">
        <v>3830</v>
      </c>
      <c r="K962" s="426" t="str">
        <f>HYPERLINK("https://okcountyrecords.com/detail/roger+mills/2026-001865","63e8b9a8d056433a9994fe46ca85076b.pdf | OKCountyRecords: 2026-001865")</f>
        <v>63e8b9a8d056433a9994fe46ca85076b.pdf | OKCountyRecords: 2026-001865</v>
      </c>
    </row>
    <row r="963" spans="1:11" x14ac:dyDescent="0.25">
      <c r="A963" s="355" t="s">
        <v>3982</v>
      </c>
      <c r="B963" s="355"/>
      <c r="C963" s="355" t="s">
        <v>1107</v>
      </c>
      <c r="D963" s="355" t="s">
        <v>3978</v>
      </c>
      <c r="E963" s="356">
        <v>46113</v>
      </c>
      <c r="F963" s="356">
        <v>46119</v>
      </c>
      <c r="G963" s="355" t="s">
        <v>3981</v>
      </c>
      <c r="H963" s="355" t="s">
        <v>1110</v>
      </c>
      <c r="I963" s="355" t="s">
        <v>1003</v>
      </c>
      <c r="J963" s="355" t="s">
        <v>1095</v>
      </c>
      <c r="K963" s="426" t="str">
        <f>HYPERLINK("https://okcountyrecords.com/detail/roger+mills/2026-001845","OKCountyRecords: 2026-001845")</f>
        <v>OKCountyRecords: 2026-001845</v>
      </c>
    </row>
    <row r="964" spans="1:11" x14ac:dyDescent="0.25">
      <c r="A964" s="355" t="s">
        <v>4010</v>
      </c>
      <c r="B964" s="355"/>
      <c r="C964" s="355" t="s">
        <v>1107</v>
      </c>
      <c r="D964" s="355" t="s">
        <v>4000</v>
      </c>
      <c r="E964" s="356">
        <v>46125</v>
      </c>
      <c r="F964" s="356">
        <v>46143</v>
      </c>
      <c r="G964" s="355" t="s">
        <v>4011</v>
      </c>
      <c r="H964" s="355" t="s">
        <v>1110</v>
      </c>
      <c r="I964" s="355" t="s">
        <v>502</v>
      </c>
      <c r="J964" s="355" t="s">
        <v>1095</v>
      </c>
      <c r="K964" s="426" t="str">
        <f>HYPERLINK("https://okcountyrecords.com/detail/roger+mills/2026-002510/35346713","OKCountyRecords: 2026-002510")</f>
        <v>OKCountyRecords: 2026-002510</v>
      </c>
    </row>
    <row r="965" spans="1:11" x14ac:dyDescent="0.25">
      <c r="A965" s="360"/>
      <c r="B965" s="360"/>
      <c r="C965" s="360" t="s">
        <v>3730</v>
      </c>
      <c r="D965" s="360" t="s">
        <v>4016</v>
      </c>
      <c r="E965" s="460">
        <v>46147</v>
      </c>
      <c r="F965" s="361">
        <v>46160</v>
      </c>
      <c r="G965" s="360" t="s">
        <v>4017</v>
      </c>
      <c r="H965" s="360" t="s">
        <v>1110</v>
      </c>
      <c r="I965" s="360" t="s">
        <v>4018</v>
      </c>
      <c r="J965" s="606" t="s">
        <v>8655</v>
      </c>
      <c r="K965" s="427" t="str">
        <f>HYPERLINK("https://okcountyrecords.com/search/roger%20mills","OKCountyRecords search: Change of Address 2700/0268")</f>
        <v>OKCountyRecords search: Change of Address 2700/0268</v>
      </c>
    </row>
    <row r="966" spans="1:11" x14ac:dyDescent="0.25">
      <c r="A966" s="355"/>
      <c r="B966" s="355">
        <v>88</v>
      </c>
      <c r="C966" s="355" t="s">
        <v>3379</v>
      </c>
      <c r="D966" s="359" t="s">
        <v>4025</v>
      </c>
      <c r="E966" s="356">
        <v>46162</v>
      </c>
      <c r="F966" s="356">
        <v>46170</v>
      </c>
      <c r="G966" s="355" t="s">
        <v>3908</v>
      </c>
      <c r="H966" s="355" t="s">
        <v>4026</v>
      </c>
      <c r="I966" s="355" t="s">
        <v>1003</v>
      </c>
      <c r="J966" s="355" t="s">
        <v>3999</v>
      </c>
      <c r="K966" s="426" t="str">
        <f>HYPERLINK("https://okcountyrecords.com/search/roger%20mills","OKCountyRecords search: Affidavit of Heirship 46170")</f>
        <v>OKCountyRecords search: Affidavit of Heirship 46170</v>
      </c>
    </row>
    <row r="967" spans="1:11" x14ac:dyDescent="0.25">
      <c r="A967" s="355" t="s">
        <v>4035</v>
      </c>
      <c r="B967" s="355"/>
      <c r="C967" s="355" t="s">
        <v>3379</v>
      </c>
      <c r="D967" s="355" t="s">
        <v>4025</v>
      </c>
      <c r="E967" s="356">
        <v>46162</v>
      </c>
      <c r="F967" s="356">
        <v>46170</v>
      </c>
      <c r="G967" s="355" t="s">
        <v>4036</v>
      </c>
      <c r="H967" s="355" t="s">
        <v>1110</v>
      </c>
      <c r="I967" s="355" t="s">
        <v>1003</v>
      </c>
      <c r="J967" s="355" t="s">
        <v>985</v>
      </c>
      <c r="K967" s="426" t="str">
        <f>HYPERLINK("https://okcountyrecords.com/detail/roger+mills/2026-003142/35404150","OKCountyRecords: 2026-003142")</f>
        <v>OKCountyRecords: 2026-003142</v>
      </c>
    </row>
    <row r="968" spans="1:11" x14ac:dyDescent="0.25">
      <c r="A968" s="355"/>
      <c r="B968" s="355">
        <v>89</v>
      </c>
      <c r="C968" s="355" t="s">
        <v>3379</v>
      </c>
      <c r="D968" s="359" t="s">
        <v>4027</v>
      </c>
      <c r="E968" s="356">
        <v>46162</v>
      </c>
      <c r="F968" s="356">
        <v>46170</v>
      </c>
      <c r="G968" s="355" t="s">
        <v>3908</v>
      </c>
      <c r="H968" s="355" t="s">
        <v>4028</v>
      </c>
      <c r="I968" s="355" t="s">
        <v>1003</v>
      </c>
      <c r="J968" s="425" t="s">
        <v>3999</v>
      </c>
      <c r="K968" s="426" t="str">
        <f>HYPERLINK("https://okcountyrecords.com/search/roger%20mills","OKCountyRecords search: Affidavit of Heirship 46170")</f>
        <v>OKCountyRecords search: Affidavit of Heirship 46170</v>
      </c>
    </row>
    <row r="969" spans="1:11" x14ac:dyDescent="0.25">
      <c r="A969" s="355" t="s">
        <v>4037</v>
      </c>
      <c r="B969" s="355"/>
      <c r="C969" s="355" t="s">
        <v>3379</v>
      </c>
      <c r="D969" s="355" t="s">
        <v>4027</v>
      </c>
      <c r="E969" s="356">
        <v>46162</v>
      </c>
      <c r="F969" s="356">
        <v>46170</v>
      </c>
      <c r="G969" s="355" t="s">
        <v>4038</v>
      </c>
      <c r="H969" s="355" t="s">
        <v>1110</v>
      </c>
      <c r="I969" s="355" t="s">
        <v>1003</v>
      </c>
      <c r="J969" s="355" t="s">
        <v>985</v>
      </c>
      <c r="K969" s="426" t="str">
        <f>HYPERLINK("https://okcountyrecords.com/detail/roger+mills/2026-003143/35404149","OKCountyRecords: 2026-003143")</f>
        <v>OKCountyRecords: 2026-003143</v>
      </c>
    </row>
    <row r="970" spans="1:11" x14ac:dyDescent="0.25">
      <c r="A970" s="355"/>
      <c r="B970" s="355">
        <v>90</v>
      </c>
      <c r="C970" s="355" t="s">
        <v>1107</v>
      </c>
      <c r="D970" s="359" t="s">
        <v>4029</v>
      </c>
      <c r="E970" s="356">
        <v>46170</v>
      </c>
      <c r="F970" s="356">
        <v>46170</v>
      </c>
      <c r="G970" s="355" t="s">
        <v>4030</v>
      </c>
      <c r="H970" s="355" t="s">
        <v>1110</v>
      </c>
      <c r="I970" s="355" t="s">
        <v>3985</v>
      </c>
      <c r="J970" s="355" t="s">
        <v>3830</v>
      </c>
      <c r="K970" s="426" t="str">
        <f>HYPERLINK("https://okcountyrecords.com/search/roger%20mills","OKCountyRecords search: Affidavit 46170")</f>
        <v>OKCountyRecords search: Affidavit 46170</v>
      </c>
    </row>
    <row r="971" spans="1:11" x14ac:dyDescent="0.25">
      <c r="A971" s="355" t="s">
        <v>4039</v>
      </c>
      <c r="B971" s="355"/>
      <c r="C971" s="355" t="s">
        <v>1107</v>
      </c>
      <c r="D971" s="355" t="s">
        <v>4029</v>
      </c>
      <c r="E971" s="356">
        <v>46170</v>
      </c>
      <c r="F971" s="356">
        <v>46170</v>
      </c>
      <c r="G971" s="355" t="s">
        <v>4040</v>
      </c>
      <c r="H971" s="355" t="s">
        <v>1110</v>
      </c>
      <c r="I971" s="355" t="s">
        <v>4041</v>
      </c>
      <c r="J971" s="355" t="s">
        <v>1095</v>
      </c>
      <c r="K971" s="426" t="str">
        <f>HYPERLINK("https://okcountyrecords.com/detail/roger+mills/2026-003144/35404152","OKCountyRecords: 2026-003144")</f>
        <v>OKCountyRecords: 2026-003144</v>
      </c>
    </row>
    <row r="972" spans="1:11" x14ac:dyDescent="0.25">
      <c r="A972" s="355"/>
      <c r="B972" s="355">
        <v>92</v>
      </c>
      <c r="C972" s="355" t="s">
        <v>1274</v>
      </c>
      <c r="D972" s="359" t="s">
        <v>175</v>
      </c>
      <c r="E972" s="356">
        <v>46175</v>
      </c>
      <c r="F972" s="356">
        <v>46178</v>
      </c>
      <c r="G972" s="355" t="s">
        <v>4042</v>
      </c>
      <c r="H972" s="355" t="s">
        <v>1110</v>
      </c>
      <c r="I972" s="355" t="s">
        <v>4043</v>
      </c>
      <c r="J972" s="355" t="s">
        <v>4022</v>
      </c>
      <c r="K972" s="426" t="str">
        <f>HYPERLINK("https://okcountyrecords.com/search/roger%20mills","OKCountyRecords search: Final Decree 46178")</f>
        <v>OKCountyRecords search: Final Decree 46178</v>
      </c>
    </row>
    <row r="973" spans="1:11" x14ac:dyDescent="0.25">
      <c r="A973" s="355" t="s">
        <v>4044</v>
      </c>
      <c r="B973" s="355"/>
      <c r="C973" s="355" t="s">
        <v>1274</v>
      </c>
      <c r="D973" s="355" t="s">
        <v>175</v>
      </c>
      <c r="E973" s="356">
        <v>46175</v>
      </c>
      <c r="F973" s="356">
        <v>46178</v>
      </c>
      <c r="G973" s="355" t="s">
        <v>4042</v>
      </c>
      <c r="H973" s="355" t="s">
        <v>1110</v>
      </c>
      <c r="I973" s="355" t="s">
        <v>2543</v>
      </c>
      <c r="J973" s="355" t="s">
        <v>985</v>
      </c>
      <c r="K973" s="426" t="str">
        <f>HYPERLINK("https://okcountyrecords.com/detail/roger+mills/2026-003315/35464678","OKCountyRecords: 2026-003315")</f>
        <v>OKCountyRecords: 2026-003315</v>
      </c>
    </row>
    <row r="974" spans="1:11" ht="38.25" hidden="1" x14ac:dyDescent="0.25">
      <c r="A974" s="355" t="s">
        <v>2578</v>
      </c>
      <c r="B974" s="355"/>
      <c r="C974" s="355" t="s">
        <v>114</v>
      </c>
      <c r="D974" s="355" t="s">
        <v>2579</v>
      </c>
      <c r="E974" s="356"/>
      <c r="F974" s="356">
        <v>36008</v>
      </c>
      <c r="G974" s="355" t="s">
        <v>2376</v>
      </c>
      <c r="H974" s="355" t="s">
        <v>2580</v>
      </c>
      <c r="I974" s="357" t="s">
        <v>2515</v>
      </c>
      <c r="J974" s="357" t="s">
        <v>996</v>
      </c>
      <c r="K974" s="426" t="str">
        <f>HYPERLINK("https://okcountyrecords.com/detail/roger+mills/1994-000003","OKCountyRecords: 1994-000003")</f>
        <v>OKCountyRecords: 1994-000003</v>
      </c>
    </row>
    <row r="975" spans="1:11" x14ac:dyDescent="0.25">
      <c r="A975" s="355" t="s">
        <v>2584</v>
      </c>
      <c r="B975" s="355"/>
      <c r="C975" s="355" t="s">
        <v>82</v>
      </c>
      <c r="D975" s="355" t="s">
        <v>2585</v>
      </c>
      <c r="E975" s="356"/>
      <c r="F975" s="356">
        <v>36059</v>
      </c>
      <c r="G975" s="355" t="s">
        <v>509</v>
      </c>
      <c r="H975" s="355" t="s">
        <v>2586</v>
      </c>
      <c r="I975" s="355" t="s">
        <v>2543</v>
      </c>
      <c r="J975" s="355" t="s">
        <v>1625</v>
      </c>
      <c r="K975" s="426" t="str">
        <f>HYPERLINK("https://okcountyrecords.com/detail/roger+mills/1998-000907","OKCountyRecords: 1998-000907")</f>
        <v>OKCountyRecords: 1998-000907</v>
      </c>
    </row>
    <row r="976" spans="1:11" ht="38.25" hidden="1" x14ac:dyDescent="0.25">
      <c r="A976" s="355" t="s">
        <v>3340</v>
      </c>
      <c r="B976" s="355"/>
      <c r="C976" s="355" t="s">
        <v>114</v>
      </c>
      <c r="D976" s="355" t="s">
        <v>3337</v>
      </c>
      <c r="E976" s="356"/>
      <c r="F976" s="356">
        <v>39336</v>
      </c>
      <c r="G976" s="355" t="s">
        <v>3338</v>
      </c>
      <c r="H976" s="355" t="s">
        <v>3339</v>
      </c>
      <c r="I976" s="357" t="s">
        <v>3341</v>
      </c>
      <c r="J976" s="357" t="s">
        <v>996</v>
      </c>
      <c r="K976" s="426" t="str">
        <f>HYPERLINK("https://okcountyrecords.com/detail/roger+mills/1998-000843","OKCountyRecords: 1998-000843")</f>
        <v>OKCountyRecords: 1998-000843</v>
      </c>
    </row>
    <row r="977" spans="1:11" hidden="1" x14ac:dyDescent="0.25">
      <c r="A977" s="355" t="s">
        <v>997</v>
      </c>
      <c r="B977" s="355"/>
      <c r="C977" s="355" t="s">
        <v>114</v>
      </c>
      <c r="D977" s="355" t="s">
        <v>998</v>
      </c>
      <c r="E977" s="356"/>
      <c r="F977" s="356">
        <v>2893</v>
      </c>
      <c r="G977" s="355" t="s">
        <v>999</v>
      </c>
      <c r="H977" s="355" t="s">
        <v>1000</v>
      </c>
      <c r="I977" s="357" t="s">
        <v>242</v>
      </c>
      <c r="J977" s="357" t="s">
        <v>996</v>
      </c>
      <c r="K977" s="426" t="str">
        <f>HYPERLINK("https://okcountyrecords.com/detail/roger+mills/1907-000157","OKCountyRecords: 1907-000157")</f>
        <v>OKCountyRecords: 1907-000157</v>
      </c>
    </row>
    <row r="978" spans="1:11" hidden="1" x14ac:dyDescent="0.25">
      <c r="A978" s="355" t="s">
        <v>1015</v>
      </c>
      <c r="B978" s="355"/>
      <c r="C978" s="355" t="s">
        <v>114</v>
      </c>
      <c r="D978" s="355" t="s">
        <v>1016</v>
      </c>
      <c r="E978" s="356"/>
      <c r="F978" s="356">
        <v>3313</v>
      </c>
      <c r="G978" s="355" t="s">
        <v>999</v>
      </c>
      <c r="H978" s="355" t="s">
        <v>1017</v>
      </c>
      <c r="I978" s="357" t="s">
        <v>1012</v>
      </c>
      <c r="J978" s="357" t="s">
        <v>996</v>
      </c>
      <c r="K978" s="426" t="str">
        <f>HYPERLINK("https://okcountyrecords.com/detail/roger+mills/1909-000004","OKCountyRecords: 1909-000004")</f>
        <v>OKCountyRecords: 1909-000004</v>
      </c>
    </row>
    <row r="979" spans="1:11" hidden="1" x14ac:dyDescent="0.25">
      <c r="A979" s="355" t="s">
        <v>1232</v>
      </c>
      <c r="B979" s="355"/>
      <c r="C979" s="355" t="s">
        <v>114</v>
      </c>
      <c r="D979" s="355" t="s">
        <v>1233</v>
      </c>
      <c r="E979" s="356"/>
      <c r="F979" s="356">
        <v>12271</v>
      </c>
      <c r="G979" s="355" t="s">
        <v>1208</v>
      </c>
      <c r="H979" s="355" t="s">
        <v>1234</v>
      </c>
      <c r="I979" s="357" t="s">
        <v>242</v>
      </c>
      <c r="J979" s="357" t="s">
        <v>996</v>
      </c>
      <c r="K979" s="426" t="str">
        <f>HYPERLINK("https://okcountyrecords.com/detail/roger+mills/1933-000028","OKCountyRecords: 1933-000028")</f>
        <v>OKCountyRecords: 1933-000028</v>
      </c>
    </row>
    <row r="980" spans="1:11" hidden="1" x14ac:dyDescent="0.25">
      <c r="A980" s="355" t="s">
        <v>1265</v>
      </c>
      <c r="B980" s="355"/>
      <c r="C980" s="355" t="s">
        <v>114</v>
      </c>
      <c r="D980" s="355" t="s">
        <v>1266</v>
      </c>
      <c r="E980" s="356"/>
      <c r="F980" s="356">
        <v>14522</v>
      </c>
      <c r="G980" s="355" t="s">
        <v>405</v>
      </c>
      <c r="H980" s="355" t="s">
        <v>1267</v>
      </c>
      <c r="I980" s="357" t="s">
        <v>242</v>
      </c>
      <c r="J980" s="357" t="s">
        <v>996</v>
      </c>
      <c r="K980" s="426" t="str">
        <f>HYPERLINK("https://okcountyrecords.com/detail/roger+mills/1939-000083","OKCountyRecords: 1939-000083")</f>
        <v>OKCountyRecords: 1939-000083</v>
      </c>
    </row>
    <row r="981" spans="1:11" hidden="1" x14ac:dyDescent="0.25">
      <c r="A981" s="355" t="s">
        <v>1268</v>
      </c>
      <c r="B981" s="355"/>
      <c r="C981" s="355" t="s">
        <v>114</v>
      </c>
      <c r="D981" s="355" t="s">
        <v>1269</v>
      </c>
      <c r="E981" s="356"/>
      <c r="F981" s="356">
        <v>14522</v>
      </c>
      <c r="G981" s="355" t="s">
        <v>405</v>
      </c>
      <c r="H981" s="355" t="s">
        <v>1267</v>
      </c>
      <c r="I981" s="357" t="s">
        <v>242</v>
      </c>
      <c r="J981" s="357" t="s">
        <v>996</v>
      </c>
      <c r="K981" s="426" t="str">
        <f>HYPERLINK("https://okcountyrecords.com/detail/roger+mills/1939-000085","OKCountyRecords: 1939-000085")</f>
        <v>OKCountyRecords: 1939-000085</v>
      </c>
    </row>
    <row r="982" spans="1:11" ht="25.5" hidden="1" x14ac:dyDescent="0.25">
      <c r="A982" s="355" t="s">
        <v>1312</v>
      </c>
      <c r="B982" s="355"/>
      <c r="C982" s="355" t="s">
        <v>114</v>
      </c>
      <c r="D982" s="355" t="s">
        <v>1313</v>
      </c>
      <c r="E982" s="356"/>
      <c r="F982" s="356">
        <v>17580</v>
      </c>
      <c r="G982" s="357" t="s">
        <v>1314</v>
      </c>
      <c r="H982" s="355" t="s">
        <v>1315</v>
      </c>
      <c r="I982" s="357" t="s">
        <v>242</v>
      </c>
      <c r="J982" s="357" t="s">
        <v>996</v>
      </c>
      <c r="K982" s="426" t="str">
        <f>HYPERLINK("https://okcountyrecords.com/detail/roger+mills/1948-000106","OKCountyRecords: 1948-000106")</f>
        <v>OKCountyRecords: 1948-000106</v>
      </c>
    </row>
    <row r="983" spans="1:11" ht="25.5" hidden="1" x14ac:dyDescent="0.25">
      <c r="A983" s="355" t="s">
        <v>1345</v>
      </c>
      <c r="B983" s="355"/>
      <c r="C983" s="355" t="s">
        <v>114</v>
      </c>
      <c r="D983" s="355" t="s">
        <v>1346</v>
      </c>
      <c r="E983" s="356"/>
      <c r="F983" s="356">
        <v>18160</v>
      </c>
      <c r="G983" s="357" t="s">
        <v>329</v>
      </c>
      <c r="H983" s="355" t="s">
        <v>1347</v>
      </c>
      <c r="I983" s="357" t="s">
        <v>242</v>
      </c>
      <c r="J983" s="357" t="s">
        <v>996</v>
      </c>
      <c r="K983" s="426" t="str">
        <f>HYPERLINK("https://okcountyrecords.com/detail/roger+mills/1949-000111","OKCountyRecords: 1949-000111")</f>
        <v>OKCountyRecords: 1949-000111</v>
      </c>
    </row>
    <row r="984" spans="1:11" ht="25.5" hidden="1" x14ac:dyDescent="0.25">
      <c r="A984" s="355" t="s">
        <v>1339</v>
      </c>
      <c r="B984" s="355"/>
      <c r="C984" s="355" t="s">
        <v>114</v>
      </c>
      <c r="D984" s="355" t="s">
        <v>1340</v>
      </c>
      <c r="E984" s="356"/>
      <c r="F984" s="356">
        <v>18155</v>
      </c>
      <c r="G984" s="357" t="s">
        <v>1341</v>
      </c>
      <c r="H984" s="355" t="s">
        <v>1342</v>
      </c>
      <c r="I984" s="357" t="s">
        <v>242</v>
      </c>
      <c r="J984" s="357" t="s">
        <v>996</v>
      </c>
      <c r="K984" s="426" t="str">
        <f>HYPERLINK("https://okcountyrecords.com/detail/roger+mills/1949-000505","OKCountyRecords: 1949-000505")</f>
        <v>OKCountyRecords: 1949-000505</v>
      </c>
    </row>
    <row r="985" spans="1:11" ht="25.5" hidden="1" x14ac:dyDescent="0.25">
      <c r="A985" s="355" t="s">
        <v>1343</v>
      </c>
      <c r="B985" s="355"/>
      <c r="C985" s="355" t="s">
        <v>114</v>
      </c>
      <c r="D985" s="355" t="s">
        <v>1344</v>
      </c>
      <c r="E985" s="356"/>
      <c r="F985" s="356">
        <v>18155</v>
      </c>
      <c r="G985" s="357" t="s">
        <v>1341</v>
      </c>
      <c r="H985" s="355" t="s">
        <v>1342</v>
      </c>
      <c r="I985" s="357" t="s">
        <v>242</v>
      </c>
      <c r="J985" s="357" t="s">
        <v>996</v>
      </c>
      <c r="K985" s="426" t="str">
        <f>HYPERLINK("https://okcountyrecords.com/detail/roger+mills/1949-000506","OKCountyRecords: 1949-000506")</f>
        <v>OKCountyRecords: 1949-000506</v>
      </c>
    </row>
    <row r="986" spans="1:11" ht="25.5" hidden="1" x14ac:dyDescent="0.25">
      <c r="A986" s="355" t="s">
        <v>1348</v>
      </c>
      <c r="B986" s="355"/>
      <c r="C986" s="355" t="s">
        <v>114</v>
      </c>
      <c r="D986" s="355" t="s">
        <v>1349</v>
      </c>
      <c r="E986" s="356"/>
      <c r="F986" s="356">
        <v>18160</v>
      </c>
      <c r="G986" s="357" t="s">
        <v>1350</v>
      </c>
      <c r="H986" s="355" t="s">
        <v>1342</v>
      </c>
      <c r="I986" s="357" t="s">
        <v>242</v>
      </c>
      <c r="J986" s="357" t="s">
        <v>996</v>
      </c>
      <c r="K986" s="426" t="str">
        <f>HYPERLINK("https://okcountyrecords.com/detail/roger+mills/1949-000517","OKCountyRecords: 1949-000517")</f>
        <v>OKCountyRecords: 1949-000517</v>
      </c>
    </row>
    <row r="987" spans="1:11" hidden="1" x14ac:dyDescent="0.25">
      <c r="A987" s="355" t="s">
        <v>1024</v>
      </c>
      <c r="B987" s="355"/>
      <c r="C987" s="355" t="s">
        <v>114</v>
      </c>
      <c r="D987" s="355" t="s">
        <v>1025</v>
      </c>
      <c r="E987" s="356"/>
      <c r="F987" s="356">
        <v>4163</v>
      </c>
      <c r="G987" s="355" t="s">
        <v>1026</v>
      </c>
      <c r="H987" s="355" t="s">
        <v>1027</v>
      </c>
      <c r="I987" s="357" t="s">
        <v>1012</v>
      </c>
      <c r="J987" s="357" t="s">
        <v>996</v>
      </c>
      <c r="K987" s="426" t="str">
        <f>HYPERLINK("https://okcountyrecords.com/detail/roger+mills/1911-000098","OKCountyRecords: 1911-000098")</f>
        <v>OKCountyRecords: 1911-000098</v>
      </c>
    </row>
    <row r="988" spans="1:11" hidden="1" x14ac:dyDescent="0.25">
      <c r="A988" s="355" t="s">
        <v>1031</v>
      </c>
      <c r="B988" s="355"/>
      <c r="C988" s="355" t="s">
        <v>114</v>
      </c>
      <c r="D988" s="355" t="s">
        <v>1032</v>
      </c>
      <c r="E988" s="356"/>
      <c r="F988" s="356">
        <v>4820</v>
      </c>
      <c r="G988" s="355" t="s">
        <v>1022</v>
      </c>
      <c r="H988" s="355" t="s">
        <v>1033</v>
      </c>
      <c r="I988" s="357" t="s">
        <v>242</v>
      </c>
      <c r="J988" s="357" t="s">
        <v>996</v>
      </c>
      <c r="K988" s="426" t="str">
        <f>HYPERLINK("https://okcountyrecords.com/detail/roger+mills/1913-000024","OKCountyRecords: 1913-000024")</f>
        <v>OKCountyRecords: 1913-000024</v>
      </c>
    </row>
    <row r="989" spans="1:11" hidden="1" x14ac:dyDescent="0.25">
      <c r="A989" s="355" t="s">
        <v>1020</v>
      </c>
      <c r="B989" s="355"/>
      <c r="C989" s="355" t="s">
        <v>114</v>
      </c>
      <c r="D989" s="355" t="s">
        <v>1021</v>
      </c>
      <c r="E989" s="356"/>
      <c r="F989" s="356">
        <v>3737</v>
      </c>
      <c r="G989" s="355" t="s">
        <v>1022</v>
      </c>
      <c r="H989" s="355" t="s">
        <v>1023</v>
      </c>
      <c r="I989" s="357" t="s">
        <v>1012</v>
      </c>
      <c r="J989" s="357" t="s">
        <v>996</v>
      </c>
      <c r="K989" s="426" t="str">
        <f>HYPERLINK("https://okcountyrecords.com/detail/roger+mills/1910-000114","OKCountyRecords: 1910-000114")</f>
        <v>OKCountyRecords: 1910-000114</v>
      </c>
    </row>
    <row r="990" spans="1:11" hidden="1" x14ac:dyDescent="0.25">
      <c r="A990" s="355" t="s">
        <v>1034</v>
      </c>
      <c r="B990" s="355"/>
      <c r="C990" s="355" t="s">
        <v>114</v>
      </c>
      <c r="D990" s="355" t="s">
        <v>1035</v>
      </c>
      <c r="E990" s="356"/>
      <c r="F990" s="356">
        <v>4839</v>
      </c>
      <c r="G990" s="355" t="s">
        <v>1036</v>
      </c>
      <c r="H990" s="355" t="s">
        <v>306</v>
      </c>
      <c r="I990" s="357" t="s">
        <v>1012</v>
      </c>
      <c r="J990" s="357" t="s">
        <v>996</v>
      </c>
      <c r="K990" s="426" t="str">
        <f>HYPERLINK("https://okcountyrecords.com/detail/roger+mills/1913-000133","OKCountyRecords: 1913-000133")</f>
        <v>OKCountyRecords: 1913-000133</v>
      </c>
    </row>
    <row r="991" spans="1:11" hidden="1" x14ac:dyDescent="0.25">
      <c r="A991" s="355" t="s">
        <v>1050</v>
      </c>
      <c r="B991" s="355"/>
      <c r="C991" s="355" t="s">
        <v>114</v>
      </c>
      <c r="D991" s="355" t="s">
        <v>1051</v>
      </c>
      <c r="E991" s="356"/>
      <c r="F991" s="356">
        <v>5439</v>
      </c>
      <c r="G991" s="355" t="s">
        <v>1052</v>
      </c>
      <c r="H991" s="355" t="s">
        <v>1053</v>
      </c>
      <c r="I991" s="357" t="s">
        <v>242</v>
      </c>
      <c r="J991" s="357" t="s">
        <v>996</v>
      </c>
      <c r="K991" s="426" t="str">
        <f>HYPERLINK("https://okcountyrecords.com/detail/roger+mills/1914-000130","OKCountyRecords: 1914-000130")</f>
        <v>OKCountyRecords: 1914-000130</v>
      </c>
    </row>
    <row r="992" spans="1:11" hidden="1" x14ac:dyDescent="0.25">
      <c r="A992" s="355" t="s">
        <v>1037</v>
      </c>
      <c r="B992" s="355"/>
      <c r="C992" s="355" t="s">
        <v>114</v>
      </c>
      <c r="D992" s="355" t="s">
        <v>1038</v>
      </c>
      <c r="E992" s="356"/>
      <c r="F992" s="356">
        <v>4852</v>
      </c>
      <c r="G992" s="355" t="s">
        <v>1022</v>
      </c>
      <c r="H992" s="355" t="s">
        <v>1039</v>
      </c>
      <c r="I992" s="357" t="s">
        <v>242</v>
      </c>
      <c r="J992" s="357" t="s">
        <v>996</v>
      </c>
      <c r="K992" s="426" t="str">
        <f>HYPERLINK("https://okcountyrecords.com/detail/roger+mills/1913-000192","OKCountyRecords: 1913-000192")</f>
        <v>OKCountyRecords: 1913-000192</v>
      </c>
    </row>
    <row r="993" spans="1:11" hidden="1" x14ac:dyDescent="0.25">
      <c r="A993" s="355" t="s">
        <v>1100</v>
      </c>
      <c r="B993" s="355"/>
      <c r="C993" s="355" t="s">
        <v>114</v>
      </c>
      <c r="D993" s="355" t="s">
        <v>1101</v>
      </c>
      <c r="E993" s="356"/>
      <c r="F993" s="356">
        <v>7291</v>
      </c>
      <c r="G993" s="355" t="s">
        <v>1023</v>
      </c>
      <c r="H993" s="355" t="s">
        <v>1102</v>
      </c>
      <c r="I993" s="357" t="s">
        <v>1012</v>
      </c>
      <c r="J993" s="357" t="s">
        <v>996</v>
      </c>
      <c r="K993" s="426" t="str">
        <f>HYPERLINK("https://okcountyrecords.com/detail/roger+mills/1919-000296","OKCountyRecords: 1919-000296")</f>
        <v>OKCountyRecords: 1919-000296</v>
      </c>
    </row>
    <row r="994" spans="1:11" hidden="1" x14ac:dyDescent="0.25">
      <c r="A994" s="355" t="s">
        <v>1206</v>
      </c>
      <c r="B994" s="355"/>
      <c r="C994" s="355" t="s">
        <v>114</v>
      </c>
      <c r="D994" s="355" t="s">
        <v>1207</v>
      </c>
      <c r="E994" s="356"/>
      <c r="F994" s="356">
        <v>11304</v>
      </c>
      <c r="G994" s="355" t="s">
        <v>1094</v>
      </c>
      <c r="H994" s="355" t="s">
        <v>1208</v>
      </c>
      <c r="I994" s="357" t="s">
        <v>242</v>
      </c>
      <c r="J994" s="357" t="s">
        <v>996</v>
      </c>
      <c r="K994" s="426" t="str">
        <f>HYPERLINK("https://okcountyrecords.com/detail/roger+mills/1930-000125","OKCountyRecords: 1930-000125")</f>
        <v>OKCountyRecords: 1930-000125</v>
      </c>
    </row>
    <row r="995" spans="1:11" x14ac:dyDescent="0.25">
      <c r="A995" s="355" t="s">
        <v>990</v>
      </c>
      <c r="B995" s="355"/>
      <c r="C995" s="355" t="s">
        <v>969</v>
      </c>
      <c r="D995" s="355" t="s">
        <v>991</v>
      </c>
      <c r="E995" s="356"/>
      <c r="F995" s="356">
        <v>2755</v>
      </c>
      <c r="G995" s="355" t="s">
        <v>314</v>
      </c>
      <c r="H995" s="355" t="s">
        <v>328</v>
      </c>
      <c r="I995" s="355" t="s">
        <v>313</v>
      </c>
      <c r="J995" s="355" t="s">
        <v>985</v>
      </c>
      <c r="K995" s="426" t="str">
        <f>HYPERLINK("https://okcountyrecords.com/detail/roger+mills/1907-001545","OKCountyRecords: 1907-001545")</f>
        <v>OKCountyRecords: 1907-001545</v>
      </c>
    </row>
    <row r="996" spans="1:11" x14ac:dyDescent="0.25">
      <c r="A996" s="355" t="s">
        <v>1004</v>
      </c>
      <c r="B996" s="355"/>
      <c r="C996" s="355" t="s">
        <v>969</v>
      </c>
      <c r="D996" s="355" t="s">
        <v>1005</v>
      </c>
      <c r="E996" s="356"/>
      <c r="F996" s="356">
        <v>3189</v>
      </c>
      <c r="G996" s="355" t="s">
        <v>1006</v>
      </c>
      <c r="H996" s="355" t="s">
        <v>1007</v>
      </c>
      <c r="I996" s="355" t="s">
        <v>1003</v>
      </c>
      <c r="J996" s="355" t="s">
        <v>985</v>
      </c>
      <c r="K996" s="426" t="str">
        <f>HYPERLINK("https://okcountyrecords.com/detail/roger+mills/1908-000607","OKCountyRecords: 1908-000607")</f>
        <v>OKCountyRecords: 1908-000607</v>
      </c>
    </row>
    <row r="997" spans="1:11" x14ac:dyDescent="0.25">
      <c r="A997" s="355" t="s">
        <v>1059</v>
      </c>
      <c r="B997" s="355"/>
      <c r="C997" s="355" t="s">
        <v>969</v>
      </c>
      <c r="D997" s="355" t="s">
        <v>1060</v>
      </c>
      <c r="E997" s="356"/>
      <c r="F997" s="356">
        <v>5925</v>
      </c>
      <c r="G997" s="355" t="s">
        <v>1061</v>
      </c>
      <c r="H997" s="355" t="s">
        <v>1062</v>
      </c>
      <c r="I997" s="355" t="s">
        <v>1003</v>
      </c>
      <c r="J997" s="355" t="s">
        <v>985</v>
      </c>
      <c r="K997" s="426" t="str">
        <f>HYPERLINK("https://okcountyrecords.com/detail/roger+mills/1916-000332","OKCountyRecords: 1916-000332")</f>
        <v>OKCountyRecords: 1916-000332</v>
      </c>
    </row>
    <row r="998" spans="1:11" x14ac:dyDescent="0.25">
      <c r="A998" s="355" t="s">
        <v>1084</v>
      </c>
      <c r="B998" s="355"/>
      <c r="C998" s="355" t="s">
        <v>969</v>
      </c>
      <c r="D998" s="355" t="s">
        <v>1085</v>
      </c>
      <c r="E998" s="356"/>
      <c r="F998" s="356">
        <v>6887</v>
      </c>
      <c r="G998" s="355" t="s">
        <v>314</v>
      </c>
      <c r="H998" s="355" t="s">
        <v>1086</v>
      </c>
      <c r="I998" s="355" t="s">
        <v>313</v>
      </c>
      <c r="J998" s="355" t="s">
        <v>985</v>
      </c>
      <c r="K998" s="426" t="str">
        <f>HYPERLINK("https://okcountyrecords.com/detail/roger+mills/1918-000943","OKCountyRecords: 1918-000943")</f>
        <v>OKCountyRecords: 1918-000943</v>
      </c>
    </row>
    <row r="999" spans="1:11" x14ac:dyDescent="0.25">
      <c r="A999" s="355" t="s">
        <v>1103</v>
      </c>
      <c r="B999" s="355"/>
      <c r="C999" s="355" t="s">
        <v>969</v>
      </c>
      <c r="D999" s="355" t="s">
        <v>1104</v>
      </c>
      <c r="E999" s="356"/>
      <c r="F999" s="356">
        <v>7291</v>
      </c>
      <c r="G999" s="355" t="s">
        <v>1105</v>
      </c>
      <c r="H999" s="355" t="s">
        <v>1094</v>
      </c>
      <c r="I999" s="355" t="s">
        <v>313</v>
      </c>
      <c r="J999" s="355" t="s">
        <v>985</v>
      </c>
      <c r="K999" s="426" t="str">
        <f>HYPERLINK("https://okcountyrecords.com/detail/roger+mills/1919-000971","OKCountyRecords: 1919-000971")</f>
        <v>OKCountyRecords: 1919-000971</v>
      </c>
    </row>
    <row r="1000" spans="1:11" x14ac:dyDescent="0.25">
      <c r="A1000" s="355" t="s">
        <v>1129</v>
      </c>
      <c r="B1000" s="355"/>
      <c r="C1000" s="355" t="s">
        <v>969</v>
      </c>
      <c r="D1000" s="355" t="s">
        <v>1130</v>
      </c>
      <c r="E1000" s="356"/>
      <c r="F1000" s="356">
        <v>7805</v>
      </c>
      <c r="G1000" s="355" t="s">
        <v>319</v>
      </c>
      <c r="H1000" s="355" t="s">
        <v>1131</v>
      </c>
      <c r="I1000" s="355" t="s">
        <v>1003</v>
      </c>
      <c r="J1000" s="355" t="s">
        <v>985</v>
      </c>
      <c r="K1000" s="426" t="str">
        <f>HYPERLINK("https://okcountyrecords.com/detail/roger+mills/1921-000501","OKCountyRecords: 1921-000501")</f>
        <v>OKCountyRecords: 1921-000501</v>
      </c>
    </row>
    <row r="1001" spans="1:11" x14ac:dyDescent="0.25">
      <c r="A1001" s="355" t="s">
        <v>1132</v>
      </c>
      <c r="B1001" s="355"/>
      <c r="C1001" s="355" t="s">
        <v>969</v>
      </c>
      <c r="D1001" s="355" t="s">
        <v>1133</v>
      </c>
      <c r="E1001" s="356"/>
      <c r="F1001" s="356">
        <v>7805</v>
      </c>
      <c r="G1001" s="355" t="s">
        <v>1134</v>
      </c>
      <c r="H1001" s="355" t="s">
        <v>1135</v>
      </c>
      <c r="I1001" s="355" t="s">
        <v>1003</v>
      </c>
      <c r="J1001" s="355" t="s">
        <v>985</v>
      </c>
      <c r="K1001" s="426" t="str">
        <f>HYPERLINK("https://okcountyrecords.com/detail/roger+mills/1921-000502","OKCountyRecords: 1921-000502")</f>
        <v>OKCountyRecords: 1921-000502</v>
      </c>
    </row>
    <row r="1002" spans="1:11" x14ac:dyDescent="0.25">
      <c r="A1002" s="355" t="s">
        <v>1140</v>
      </c>
      <c r="B1002" s="355"/>
      <c r="C1002" s="355" t="s">
        <v>969</v>
      </c>
      <c r="D1002" s="355" t="s">
        <v>1141</v>
      </c>
      <c r="E1002" s="356"/>
      <c r="F1002" s="356">
        <v>8121</v>
      </c>
      <c r="G1002" s="355" t="s">
        <v>317</v>
      </c>
      <c r="H1002" s="355" t="s">
        <v>1142</v>
      </c>
      <c r="I1002" s="355" t="s">
        <v>313</v>
      </c>
      <c r="J1002" s="355" t="s">
        <v>985</v>
      </c>
      <c r="K1002" s="426" t="str">
        <f>HYPERLINK("https://okcountyrecords.com/detail/roger+mills/1922-000463","OKCountyRecords: 1922-000463")</f>
        <v>OKCountyRecords: 1922-000463</v>
      </c>
    </row>
    <row r="1003" spans="1:11" x14ac:dyDescent="0.25">
      <c r="A1003" s="355" t="s">
        <v>1162</v>
      </c>
      <c r="B1003" s="355"/>
      <c r="C1003" s="355" t="s">
        <v>969</v>
      </c>
      <c r="D1003" s="355" t="s">
        <v>1163</v>
      </c>
      <c r="E1003" s="356"/>
      <c r="F1003" s="356">
        <v>10077</v>
      </c>
      <c r="G1003" s="355" t="s">
        <v>328</v>
      </c>
      <c r="H1003" s="355" t="s">
        <v>1164</v>
      </c>
      <c r="I1003" s="355" t="s">
        <v>313</v>
      </c>
      <c r="J1003" s="355" t="s">
        <v>985</v>
      </c>
      <c r="K1003" s="426" t="str">
        <f>HYPERLINK("https://okcountyrecords.com/detail/roger+mills/1927-000706","OKCountyRecords: 1927-000706")</f>
        <v>OKCountyRecords: 1927-000706</v>
      </c>
    </row>
    <row r="1004" spans="1:11" x14ac:dyDescent="0.25">
      <c r="A1004" s="355" t="s">
        <v>1165</v>
      </c>
      <c r="B1004" s="355"/>
      <c r="C1004" s="355" t="s">
        <v>969</v>
      </c>
      <c r="D1004" s="355" t="s">
        <v>1166</v>
      </c>
      <c r="E1004" s="356"/>
      <c r="F1004" s="356">
        <v>10077</v>
      </c>
      <c r="G1004" s="355" t="s">
        <v>1167</v>
      </c>
      <c r="H1004" s="355" t="s">
        <v>1168</v>
      </c>
      <c r="I1004" s="355" t="s">
        <v>313</v>
      </c>
      <c r="J1004" s="606" t="s">
        <v>1169</v>
      </c>
      <c r="K1004" s="426" t="str">
        <f>HYPERLINK("https://okcountyrecords.com/detail/roger+mills/1927-000712","OKCountyRecords: 1927-000712")</f>
        <v>OKCountyRecords: 1927-000712</v>
      </c>
    </row>
    <row r="1005" spans="1:11" x14ac:dyDescent="0.25">
      <c r="A1005" s="355" t="s">
        <v>1213</v>
      </c>
      <c r="B1005" s="355"/>
      <c r="C1005" s="355" t="s">
        <v>969</v>
      </c>
      <c r="D1005" s="355" t="s">
        <v>1214</v>
      </c>
      <c r="E1005" s="356"/>
      <c r="F1005" s="356">
        <v>11394</v>
      </c>
      <c r="G1005" s="355" t="s">
        <v>1215</v>
      </c>
      <c r="H1005" s="355" t="s">
        <v>1216</v>
      </c>
      <c r="I1005" s="355" t="s">
        <v>313</v>
      </c>
      <c r="J1005" s="355" t="s">
        <v>985</v>
      </c>
      <c r="K1005" s="426" t="str">
        <f>HYPERLINK("https://okcountyrecords.com/detail/roger+mills/1931-000573","OKCountyRecords: 1931-000573")</f>
        <v>OKCountyRecords: 1931-000573</v>
      </c>
    </row>
    <row r="1006" spans="1:11" x14ac:dyDescent="0.25">
      <c r="A1006" s="355" t="s">
        <v>1223</v>
      </c>
      <c r="B1006" s="355"/>
      <c r="C1006" s="355" t="s">
        <v>969</v>
      </c>
      <c r="D1006" s="355" t="s">
        <v>1224</v>
      </c>
      <c r="E1006" s="356"/>
      <c r="F1006" s="356">
        <v>11578</v>
      </c>
      <c r="G1006" s="355" t="s">
        <v>1225</v>
      </c>
      <c r="H1006" s="355" t="s">
        <v>1226</v>
      </c>
      <c r="I1006" s="355" t="s">
        <v>313</v>
      </c>
      <c r="J1006" s="355" t="s">
        <v>985</v>
      </c>
      <c r="K1006" s="426" t="str">
        <f>HYPERLINK("https://okcountyrecords.com/detail/roger+mills/1931-000994","OKCountyRecords: 1931-000994")</f>
        <v>OKCountyRecords: 1931-000994</v>
      </c>
    </row>
    <row r="1007" spans="1:11" x14ac:dyDescent="0.25">
      <c r="A1007" s="355" t="s">
        <v>1237</v>
      </c>
      <c r="B1007" s="355"/>
      <c r="C1007" s="355" t="s">
        <v>969</v>
      </c>
      <c r="D1007" s="355" t="s">
        <v>1238</v>
      </c>
      <c r="E1007" s="356"/>
      <c r="F1007" s="356">
        <v>12844</v>
      </c>
      <c r="G1007" s="355" t="s">
        <v>1239</v>
      </c>
      <c r="H1007" s="355" t="s">
        <v>1240</v>
      </c>
      <c r="I1007" s="355" t="s">
        <v>1003</v>
      </c>
      <c r="J1007" s="355" t="s">
        <v>985</v>
      </c>
      <c r="K1007" s="426" t="str">
        <f>HYPERLINK("https://okcountyrecords.com/detail/roger+mills/1935-000201","OKCountyRecords: 1935-000201")</f>
        <v>OKCountyRecords: 1935-000201</v>
      </c>
    </row>
    <row r="1008" spans="1:11" x14ac:dyDescent="0.25">
      <c r="A1008" s="355" t="s">
        <v>1241</v>
      </c>
      <c r="B1008" s="355"/>
      <c r="C1008" s="355" t="s">
        <v>969</v>
      </c>
      <c r="D1008" s="355" t="s">
        <v>1242</v>
      </c>
      <c r="E1008" s="356"/>
      <c r="F1008" s="356">
        <v>13121</v>
      </c>
      <c r="G1008" s="355" t="s">
        <v>1215</v>
      </c>
      <c r="H1008" s="355" t="s">
        <v>1243</v>
      </c>
      <c r="I1008" s="355" t="s">
        <v>1003</v>
      </c>
      <c r="J1008" s="355" t="s">
        <v>985</v>
      </c>
      <c r="K1008" s="426" t="str">
        <f>HYPERLINK("https://okcountyrecords.com/detail/roger+mills/1935-000554","OKCountyRecords: 1935-000554")</f>
        <v>OKCountyRecords: 1935-000554</v>
      </c>
    </row>
    <row r="1009" spans="1:11" x14ac:dyDescent="0.25">
      <c r="A1009" s="355" t="s">
        <v>1229</v>
      </c>
      <c r="B1009" s="355"/>
      <c r="C1009" s="355" t="s">
        <v>969</v>
      </c>
      <c r="D1009" s="355" t="s">
        <v>1230</v>
      </c>
      <c r="E1009" s="356"/>
      <c r="F1009" s="356">
        <v>12035</v>
      </c>
      <c r="G1009" s="355" t="s">
        <v>1216</v>
      </c>
      <c r="H1009" s="355" t="s">
        <v>1231</v>
      </c>
      <c r="I1009" s="355" t="s">
        <v>1003</v>
      </c>
      <c r="J1009" s="355" t="s">
        <v>985</v>
      </c>
      <c r="K1009" s="426" t="str">
        <f>HYPERLINK("https://okcountyrecords.com/detail/roger+mills/1932-000511","OKCountyRecords: 1932-000511")</f>
        <v>OKCountyRecords: 1932-000511</v>
      </c>
    </row>
    <row r="1010" spans="1:11" x14ac:dyDescent="0.25">
      <c r="A1010" s="355" t="s">
        <v>1289</v>
      </c>
      <c r="B1010" s="355"/>
      <c r="C1010" s="355" t="s">
        <v>969</v>
      </c>
      <c r="D1010" s="355" t="s">
        <v>1290</v>
      </c>
      <c r="E1010" s="356"/>
      <c r="F1010" s="356">
        <v>16508</v>
      </c>
      <c r="G1010" s="355" t="s">
        <v>1291</v>
      </c>
      <c r="H1010" s="355" t="s">
        <v>1243</v>
      </c>
      <c r="I1010" s="355" t="s">
        <v>313</v>
      </c>
      <c r="J1010" s="355" t="s">
        <v>985</v>
      </c>
      <c r="K1010" s="426" t="str">
        <f>HYPERLINK("https://okcountyrecords.com/detail/roger+mills/1945-000171","OKCountyRecords: 1945-000171")</f>
        <v>OKCountyRecords: 1945-000171</v>
      </c>
    </row>
    <row r="1011" spans="1:11" x14ac:dyDescent="0.25">
      <c r="A1011" s="355" t="s">
        <v>1334</v>
      </c>
      <c r="B1011" s="355"/>
      <c r="C1011" s="355" t="s">
        <v>969</v>
      </c>
      <c r="D1011" s="355" t="s">
        <v>1335</v>
      </c>
      <c r="E1011" s="356"/>
      <c r="F1011" s="356">
        <v>18095</v>
      </c>
      <c r="G1011" s="355" t="s">
        <v>327</v>
      </c>
      <c r="H1011" s="355" t="s">
        <v>353</v>
      </c>
      <c r="I1011" s="355" t="s">
        <v>313</v>
      </c>
      <c r="J1011" s="355" t="s">
        <v>985</v>
      </c>
      <c r="K1011" s="426" t="str">
        <f>HYPERLINK("https://okcountyrecords.com/detail/roger+mills/1949-000809","OKCountyRecords: 1949-000809")</f>
        <v>OKCountyRecords: 1949-000809</v>
      </c>
    </row>
    <row r="1012" spans="1:11" x14ac:dyDescent="0.25">
      <c r="A1012" s="355" t="s">
        <v>1336</v>
      </c>
      <c r="B1012" s="355"/>
      <c r="C1012" s="355" t="s">
        <v>969</v>
      </c>
      <c r="D1012" s="355" t="s">
        <v>1337</v>
      </c>
      <c r="E1012" s="356"/>
      <c r="F1012" s="356">
        <v>18112</v>
      </c>
      <c r="G1012" s="355" t="s">
        <v>1338</v>
      </c>
      <c r="H1012" s="355" t="s">
        <v>353</v>
      </c>
      <c r="I1012" s="355" t="s">
        <v>1003</v>
      </c>
      <c r="J1012" s="355" t="s">
        <v>985</v>
      </c>
      <c r="K1012" s="426" t="str">
        <f>HYPERLINK("https://okcountyrecords.com/detail/roger+mills/1949-000814","OKCountyRecords: 1949-000814")</f>
        <v>OKCountyRecords: 1949-000814</v>
      </c>
    </row>
    <row r="1013" spans="1:11" x14ac:dyDescent="0.25">
      <c r="A1013" s="355" t="s">
        <v>1379</v>
      </c>
      <c r="B1013" s="355"/>
      <c r="C1013" s="355" t="s">
        <v>969</v>
      </c>
      <c r="D1013" s="355" t="s">
        <v>1380</v>
      </c>
      <c r="E1013" s="356"/>
      <c r="F1013" s="356">
        <v>19417</v>
      </c>
      <c r="G1013" s="355" t="s">
        <v>353</v>
      </c>
      <c r="H1013" s="355" t="s">
        <v>1381</v>
      </c>
      <c r="I1013" s="355" t="s">
        <v>1003</v>
      </c>
      <c r="J1013" s="355" t="s">
        <v>985</v>
      </c>
      <c r="K1013" s="426" t="str">
        <f>HYPERLINK("https://okcountyrecords.com/detail/roger+mills/1953-000389","OKCountyRecords: 1953-000389")</f>
        <v>OKCountyRecords: 1953-000389</v>
      </c>
    </row>
    <row r="1014" spans="1:11" x14ac:dyDescent="0.25">
      <c r="A1014" s="355" t="s">
        <v>1376</v>
      </c>
      <c r="B1014" s="355"/>
      <c r="C1014" s="355" t="s">
        <v>969</v>
      </c>
      <c r="D1014" s="355" t="s">
        <v>1377</v>
      </c>
      <c r="E1014" s="356"/>
      <c r="F1014" s="356">
        <v>19417</v>
      </c>
      <c r="G1014" s="355" t="s">
        <v>353</v>
      </c>
      <c r="H1014" s="355" t="s">
        <v>1378</v>
      </c>
      <c r="I1014" s="355" t="s">
        <v>313</v>
      </c>
      <c r="J1014" s="355" t="s">
        <v>985</v>
      </c>
      <c r="K1014" s="426" t="str">
        <f>HYPERLINK("https://okcountyrecords.com/detail/roger+mills/1953-000498","OKCountyRecords: 1953-000498")</f>
        <v>OKCountyRecords: 1953-000498</v>
      </c>
    </row>
    <row r="1015" spans="1:11" x14ac:dyDescent="0.25">
      <c r="A1015" s="355"/>
      <c r="B1015" s="355"/>
      <c r="C1015" s="355" t="s">
        <v>963</v>
      </c>
      <c r="D1015" s="355" t="s">
        <v>964</v>
      </c>
      <c r="E1015" s="356"/>
      <c r="F1015" s="356">
        <v>2063</v>
      </c>
      <c r="G1015" s="355" t="s">
        <v>965</v>
      </c>
      <c r="H1015" s="355" t="s">
        <v>966</v>
      </c>
      <c r="I1015" s="355" t="s">
        <v>313</v>
      </c>
      <c r="J1015" s="606" t="s">
        <v>967</v>
      </c>
      <c r="K1015" s="426" t="str">
        <f>HYPERLINK("https://okcountyrecords.com/search/roger%20mills","OKCountyRecords search: Homestead FR0001/0470")</f>
        <v>OKCountyRecords search: Homestead FR0001/0470</v>
      </c>
    </row>
    <row r="1016" spans="1:11" x14ac:dyDescent="0.25">
      <c r="A1016" s="355"/>
      <c r="B1016" s="355"/>
      <c r="C1016" s="355" t="s">
        <v>963</v>
      </c>
      <c r="D1016" s="355" t="s">
        <v>978</v>
      </c>
      <c r="E1016" s="356"/>
      <c r="F1016" s="356">
        <v>2601</v>
      </c>
      <c r="G1016" s="355" t="s">
        <v>965</v>
      </c>
      <c r="H1016" s="355" t="s">
        <v>979</v>
      </c>
      <c r="I1016" s="355" t="s">
        <v>313</v>
      </c>
      <c r="J1016" s="606" t="s">
        <v>967</v>
      </c>
      <c r="K1016" s="426" t="str">
        <f>HYPERLINK("https://okcountyrecords.com/search/roger%20mills","OKCountyRecords search: Homestead FR0002/0199")</f>
        <v>OKCountyRecords search: Homestead FR0002/0199</v>
      </c>
    </row>
    <row r="1017" spans="1:11" x14ac:dyDescent="0.25">
      <c r="A1017" s="355"/>
      <c r="B1017" s="355"/>
      <c r="C1017" s="355" t="s">
        <v>963</v>
      </c>
      <c r="D1017" s="355" t="s">
        <v>986</v>
      </c>
      <c r="E1017" s="356"/>
      <c r="F1017" s="356">
        <v>2754</v>
      </c>
      <c r="G1017" s="355" t="s">
        <v>965</v>
      </c>
      <c r="H1017" s="355" t="s">
        <v>987</v>
      </c>
      <c r="I1017" s="355" t="s">
        <v>313</v>
      </c>
      <c r="J1017" s="605" t="s">
        <v>967</v>
      </c>
      <c r="K1017" s="426" t="str">
        <f>HYPERLINK("https://okcountyrecords.com/search/roger%20mills","OKCountyRecords search: Homestead FR0002/0292")</f>
        <v>OKCountyRecords search: Homestead FR0002/0292</v>
      </c>
    </row>
    <row r="1018" spans="1:11" x14ac:dyDescent="0.25">
      <c r="A1018" s="355"/>
      <c r="B1018" s="355"/>
      <c r="C1018" s="355" t="s">
        <v>963</v>
      </c>
      <c r="D1018" s="355" t="s">
        <v>988</v>
      </c>
      <c r="E1018" s="356"/>
      <c r="F1018" s="356">
        <v>2754</v>
      </c>
      <c r="G1018" s="355" t="s">
        <v>965</v>
      </c>
      <c r="H1018" s="355" t="s">
        <v>989</v>
      </c>
      <c r="I1018" s="355" t="s">
        <v>313</v>
      </c>
      <c r="J1018" s="606" t="s">
        <v>967</v>
      </c>
      <c r="K1018" s="426" t="str">
        <f>HYPERLINK("https://okcountyrecords.com/search/roger%20mills","OKCountyRecords search: Homestead FR0002/0293")</f>
        <v>OKCountyRecords search: Homestead FR0002/0293</v>
      </c>
    </row>
    <row r="1019" spans="1:11" x14ac:dyDescent="0.25">
      <c r="A1019" s="355"/>
      <c r="B1019" s="355"/>
      <c r="C1019" s="355" t="s">
        <v>963</v>
      </c>
      <c r="D1019" s="355" t="s">
        <v>1001</v>
      </c>
      <c r="E1019" s="356"/>
      <c r="F1019" s="356">
        <v>3121</v>
      </c>
      <c r="G1019" s="355" t="s">
        <v>965</v>
      </c>
      <c r="H1019" s="355" t="s">
        <v>1002</v>
      </c>
      <c r="I1019" s="355" t="s">
        <v>1003</v>
      </c>
      <c r="J1019" s="606" t="s">
        <v>967</v>
      </c>
      <c r="K1019" s="426" t="str">
        <f>HYPERLINK("https://okcountyrecords.com/search/roger%20mills","OKCountyRecords search: Homestead FR0002/0448")</f>
        <v>OKCountyRecords search: Homestead FR0002/0448</v>
      </c>
    </row>
    <row r="1020" spans="1:11" x14ac:dyDescent="0.25">
      <c r="A1020" s="360" t="s">
        <v>1090</v>
      </c>
      <c r="B1020" s="360"/>
      <c r="C1020" s="360" t="s">
        <v>1091</v>
      </c>
      <c r="D1020" s="360" t="s">
        <v>1092</v>
      </c>
      <c r="E1020" s="361"/>
      <c r="F1020" s="361">
        <v>6902</v>
      </c>
      <c r="G1020" s="360" t="s">
        <v>1093</v>
      </c>
      <c r="H1020" s="360" t="s">
        <v>1094</v>
      </c>
      <c r="I1020" s="360" t="s">
        <v>242</v>
      </c>
      <c r="J1020" s="360" t="s">
        <v>1095</v>
      </c>
      <c r="K1020" s="427" t="str">
        <f>HYPERLINK("https://okcountyrecords.com/detail/roger+mills/1918-001215","OKCountyRecords: 1918-001215")</f>
        <v>OKCountyRecords: 1918-001215</v>
      </c>
    </row>
    <row r="1021" spans="1:11" x14ac:dyDescent="0.25">
      <c r="A1021" s="355" t="s">
        <v>1106</v>
      </c>
      <c r="B1021" s="355"/>
      <c r="C1021" s="355" t="s">
        <v>1107</v>
      </c>
      <c r="D1021" s="355" t="s">
        <v>1108</v>
      </c>
      <c r="E1021" s="356"/>
      <c r="F1021" s="356">
        <v>7291</v>
      </c>
      <c r="G1021" s="355" t="s">
        <v>1109</v>
      </c>
      <c r="H1021" s="355" t="s">
        <v>1110</v>
      </c>
      <c r="I1021" s="355" t="s">
        <v>313</v>
      </c>
      <c r="J1021" s="355" t="s">
        <v>1095</v>
      </c>
      <c r="K1021" s="426" t="str">
        <f>HYPERLINK("https://okcountyrecords.com/detail/roger+mills/1919-001437","OKCountyRecords: 1919-001437")</f>
        <v>OKCountyRecords: 1919-001437</v>
      </c>
    </row>
    <row r="1022" spans="1:11" hidden="1" x14ac:dyDescent="0.25">
      <c r="A1022" s="355" t="s">
        <v>1148</v>
      </c>
      <c r="B1022" s="355"/>
      <c r="C1022" s="355" t="s">
        <v>114</v>
      </c>
      <c r="D1022" s="355" t="s">
        <v>1149</v>
      </c>
      <c r="E1022" s="356"/>
      <c r="F1022" s="356">
        <v>8508</v>
      </c>
      <c r="G1022" s="355" t="s">
        <v>1086</v>
      </c>
      <c r="H1022" s="355" t="s">
        <v>331</v>
      </c>
      <c r="I1022" s="357" t="s">
        <v>242</v>
      </c>
      <c r="J1022" s="357" t="s">
        <v>996</v>
      </c>
      <c r="K1022" s="426" t="str">
        <f>HYPERLINK("https://okcountyrecords.com/detail/roger+mills/1923-001298","OKCountyRecords: 1923-001298")</f>
        <v>OKCountyRecords: 1923-001298</v>
      </c>
    </row>
    <row r="1023" spans="1:11" x14ac:dyDescent="0.25">
      <c r="A1023" s="355" t="s">
        <v>1152</v>
      </c>
      <c r="B1023" s="355"/>
      <c r="C1023" s="355" t="s">
        <v>1107</v>
      </c>
      <c r="D1023" s="355" t="s">
        <v>1153</v>
      </c>
      <c r="E1023" s="356"/>
      <c r="F1023" s="356">
        <v>8518</v>
      </c>
      <c r="G1023" s="355" t="s">
        <v>1154</v>
      </c>
      <c r="H1023" s="355" t="s">
        <v>1110</v>
      </c>
      <c r="I1023" s="355" t="s">
        <v>313</v>
      </c>
      <c r="J1023" s="355" t="s">
        <v>1095</v>
      </c>
      <c r="K1023" s="426" t="str">
        <f>HYPERLINK("https://okcountyrecords.com/detail/roger+mills/1923-001306","OKCountyRecords: 1923-001306")</f>
        <v>OKCountyRecords: 1923-001306</v>
      </c>
    </row>
    <row r="1024" spans="1:11" x14ac:dyDescent="0.25">
      <c r="A1024" s="355" t="s">
        <v>1195</v>
      </c>
      <c r="B1024" s="355"/>
      <c r="C1024" s="355" t="s">
        <v>1196</v>
      </c>
      <c r="D1024" s="355" t="s">
        <v>1197</v>
      </c>
      <c r="E1024" s="356"/>
      <c r="F1024" s="356">
        <v>11237</v>
      </c>
      <c r="G1024" s="355" t="s">
        <v>327</v>
      </c>
      <c r="H1024" s="355" t="s">
        <v>326</v>
      </c>
      <c r="I1024" s="355" t="s">
        <v>242</v>
      </c>
      <c r="J1024" s="355" t="s">
        <v>1095</v>
      </c>
      <c r="K1024" s="426" t="str">
        <f>HYPERLINK("https://okcountyrecords.com/detail/roger+mills/1930-001789","OKCountyRecords: 1930-001789")</f>
        <v>OKCountyRecords: 1930-001789</v>
      </c>
    </row>
    <row r="1025" spans="1:11" x14ac:dyDescent="0.25">
      <c r="A1025" s="355" t="s">
        <v>1198</v>
      </c>
      <c r="B1025" s="355"/>
      <c r="C1025" s="355" t="s">
        <v>1196</v>
      </c>
      <c r="D1025" s="355" t="s">
        <v>1199</v>
      </c>
      <c r="E1025" s="356"/>
      <c r="F1025" s="356">
        <v>11237</v>
      </c>
      <c r="G1025" s="355" t="s">
        <v>325</v>
      </c>
      <c r="H1025" s="355" t="s">
        <v>326</v>
      </c>
      <c r="I1025" s="355" t="s">
        <v>1012</v>
      </c>
      <c r="J1025" s="355" t="s">
        <v>1095</v>
      </c>
      <c r="K1025" s="426" t="str">
        <f>HYPERLINK("https://okcountyrecords.com/detail/roger+mills/1930-001819","OKCountyRecords: 1930-001819")</f>
        <v>OKCountyRecords: 1930-001819</v>
      </c>
    </row>
    <row r="1026" spans="1:11" x14ac:dyDescent="0.25">
      <c r="A1026" s="360" t="s">
        <v>1182</v>
      </c>
      <c r="B1026" s="360"/>
      <c r="C1026" s="360" t="s">
        <v>1091</v>
      </c>
      <c r="D1026" s="360" t="s">
        <v>1183</v>
      </c>
      <c r="E1026" s="361"/>
      <c r="F1026" s="361">
        <v>11139</v>
      </c>
      <c r="G1026" s="360" t="s">
        <v>1184</v>
      </c>
      <c r="H1026" s="360" t="s">
        <v>1110</v>
      </c>
      <c r="I1026" s="360" t="s">
        <v>1012</v>
      </c>
      <c r="J1026" s="360" t="s">
        <v>1095</v>
      </c>
      <c r="K1026" s="427" t="str">
        <f>HYPERLINK("https://okcountyrecords.com/detail/roger+mills/1930-001678","OKCountyRecords: 1930-001678")</f>
        <v>OKCountyRecords: 1930-001678</v>
      </c>
    </row>
    <row r="1027" spans="1:11" x14ac:dyDescent="0.25">
      <c r="A1027" s="360" t="s">
        <v>1185</v>
      </c>
      <c r="B1027" s="360"/>
      <c r="C1027" s="360" t="s">
        <v>1091</v>
      </c>
      <c r="D1027" s="360" t="s">
        <v>1186</v>
      </c>
      <c r="E1027" s="361"/>
      <c r="F1027" s="361">
        <v>11164</v>
      </c>
      <c r="G1027" s="360" t="s">
        <v>326</v>
      </c>
      <c r="H1027" s="360" t="s">
        <v>1110</v>
      </c>
      <c r="I1027" s="360" t="s">
        <v>1012</v>
      </c>
      <c r="J1027" s="360" t="s">
        <v>1095</v>
      </c>
      <c r="K1027" s="427" t="str">
        <f>HYPERLINK("https://okcountyrecords.com/detail/roger+mills/1930-001681","OKCountyRecords: 1930-001681")</f>
        <v>OKCountyRecords: 1930-001681</v>
      </c>
    </row>
    <row r="1028" spans="1:11" x14ac:dyDescent="0.25">
      <c r="A1028" s="355" t="s">
        <v>1251</v>
      </c>
      <c r="B1028" s="355"/>
      <c r="C1028" s="355" t="s">
        <v>1107</v>
      </c>
      <c r="D1028" s="355" t="s">
        <v>1252</v>
      </c>
      <c r="E1028" s="356"/>
      <c r="F1028" s="356">
        <v>13924</v>
      </c>
      <c r="G1028" s="355" t="s">
        <v>1253</v>
      </c>
      <c r="H1028" s="355" t="s">
        <v>1110</v>
      </c>
      <c r="I1028" s="355" t="s">
        <v>1003</v>
      </c>
      <c r="J1028" s="355" t="s">
        <v>1095</v>
      </c>
      <c r="K1028" s="426" t="str">
        <f>HYPERLINK("https://okcountyrecords.com/detail/roger+mills/1938-000632","OKCountyRecords: 1938-000632")</f>
        <v>OKCountyRecords: 1938-000632</v>
      </c>
    </row>
    <row r="1029" spans="1:11" x14ac:dyDescent="0.25">
      <c r="A1029" s="355" t="s">
        <v>1273</v>
      </c>
      <c r="B1029" s="355"/>
      <c r="C1029" s="355" t="s">
        <v>1274</v>
      </c>
      <c r="D1029" s="355" t="s">
        <v>1275</v>
      </c>
      <c r="E1029" s="356"/>
      <c r="F1029" s="356">
        <v>15490</v>
      </c>
      <c r="G1029" s="355" t="s">
        <v>1276</v>
      </c>
      <c r="H1029" s="355" t="s">
        <v>1110</v>
      </c>
      <c r="I1029" s="355" t="s">
        <v>1003</v>
      </c>
      <c r="J1029" s="355" t="s">
        <v>985</v>
      </c>
      <c r="K1029" s="426" t="str">
        <f>HYPERLINK("https://okcountyrecords.com/detail/roger+mills/1942-000630","OKCountyRecords: 1942-000630")</f>
        <v>OKCountyRecords: 1942-000630</v>
      </c>
    </row>
    <row r="1030" spans="1:11" x14ac:dyDescent="0.25">
      <c r="A1030" s="360" t="s">
        <v>1316</v>
      </c>
      <c r="B1030" s="360"/>
      <c r="C1030" s="360" t="s">
        <v>1317</v>
      </c>
      <c r="D1030" s="360" t="s">
        <v>1318</v>
      </c>
      <c r="E1030" s="361"/>
      <c r="F1030" s="361">
        <v>17986</v>
      </c>
      <c r="G1030" s="360" t="s">
        <v>1319</v>
      </c>
      <c r="H1030" s="360" t="s">
        <v>1110</v>
      </c>
      <c r="I1030" s="360" t="s">
        <v>1012</v>
      </c>
      <c r="J1030" s="360" t="s">
        <v>1095</v>
      </c>
      <c r="K1030" s="427" t="str">
        <f>HYPERLINK("https://okcountyrecords.com/detail/roger+mills/1949-002129","OKCountyRecords: 1949-002129")</f>
        <v>OKCountyRecords: 1949-002129</v>
      </c>
    </row>
    <row r="1031" spans="1:11" x14ac:dyDescent="0.25">
      <c r="A1031" s="360" t="s">
        <v>1356</v>
      </c>
      <c r="B1031" s="360"/>
      <c r="C1031" s="360" t="s">
        <v>1091</v>
      </c>
      <c r="D1031" s="360" t="s">
        <v>1357</v>
      </c>
      <c r="E1031" s="361"/>
      <c r="F1031" s="361">
        <v>18321</v>
      </c>
      <c r="G1031" s="360" t="s">
        <v>353</v>
      </c>
      <c r="H1031" s="360" t="s">
        <v>1358</v>
      </c>
      <c r="I1031" s="360" t="s">
        <v>242</v>
      </c>
      <c r="J1031" s="360" t="s">
        <v>1095</v>
      </c>
      <c r="K1031" s="427" t="str">
        <f>HYPERLINK("https://okcountyrecords.com/detail/roger+mills/1950-001326","OKCountyRecords: 1950-001326")</f>
        <v>OKCountyRecords: 1950-001326</v>
      </c>
    </row>
    <row r="1032" spans="1:11" x14ac:dyDescent="0.25">
      <c r="A1032" s="355" t="s">
        <v>1320</v>
      </c>
      <c r="B1032" s="355"/>
      <c r="C1032" s="355" t="s">
        <v>1321</v>
      </c>
      <c r="D1032" s="355" t="s">
        <v>1322</v>
      </c>
      <c r="E1032" s="356"/>
      <c r="F1032" s="356">
        <v>17991</v>
      </c>
      <c r="G1032" s="355" t="s">
        <v>1323</v>
      </c>
      <c r="H1032" s="355" t="s">
        <v>1324</v>
      </c>
      <c r="I1032" s="355" t="s">
        <v>1012</v>
      </c>
      <c r="J1032" s="355" t="s">
        <v>1095</v>
      </c>
      <c r="K1032" s="426" t="str">
        <f>HYPERLINK("https://okcountyrecords.com/detail/roger+mills/1949-002138","OKCountyRecords: 1949-002138")</f>
        <v>OKCountyRecords: 1949-002138</v>
      </c>
    </row>
    <row r="1033" spans="1:11" x14ac:dyDescent="0.25">
      <c r="A1033" s="355" t="s">
        <v>1388</v>
      </c>
      <c r="B1033" s="355"/>
      <c r="C1033" s="355" t="s">
        <v>1321</v>
      </c>
      <c r="D1033" s="355" t="s">
        <v>1389</v>
      </c>
      <c r="E1033" s="356"/>
      <c r="F1033" s="356">
        <v>20876</v>
      </c>
      <c r="G1033" s="355" t="s">
        <v>1390</v>
      </c>
      <c r="H1033" s="355" t="s">
        <v>1391</v>
      </c>
      <c r="I1033" s="355" t="s">
        <v>1012</v>
      </c>
      <c r="J1033" s="355" t="s">
        <v>1095</v>
      </c>
      <c r="K1033" s="426" t="str">
        <f>HYPERLINK("https://okcountyrecords.com/detail/roger+mills/1957-001086","OKCountyRecords: 1957-001086")</f>
        <v>OKCountyRecords: 1957-001086</v>
      </c>
    </row>
    <row r="1034" spans="1:11" x14ac:dyDescent="0.25">
      <c r="A1034" s="360" t="s">
        <v>1404</v>
      </c>
      <c r="B1034" s="360"/>
      <c r="C1034" s="360" t="s">
        <v>1091</v>
      </c>
      <c r="D1034" s="360" t="s">
        <v>1405</v>
      </c>
      <c r="E1034" s="361"/>
      <c r="F1034" s="361">
        <v>21696</v>
      </c>
      <c r="G1034" s="360" t="s">
        <v>1406</v>
      </c>
      <c r="H1034" s="360" t="s">
        <v>1110</v>
      </c>
      <c r="I1034" s="360" t="s">
        <v>1012</v>
      </c>
      <c r="J1034" s="360" t="s">
        <v>1095</v>
      </c>
      <c r="K1034" s="427" t="str">
        <f>HYPERLINK("https://okcountyrecords.com/detail/roger+mills/1959-001270","OKCountyRecords: 1959-001270")</f>
        <v>OKCountyRecords: 1959-001270</v>
      </c>
    </row>
    <row r="1035" spans="1:11" x14ac:dyDescent="0.25">
      <c r="A1035" s="355" t="s">
        <v>1409</v>
      </c>
      <c r="B1035" s="355"/>
      <c r="C1035" s="355" t="s">
        <v>1410</v>
      </c>
      <c r="D1035" s="355" t="s">
        <v>1411</v>
      </c>
      <c r="E1035" s="356"/>
      <c r="F1035" s="356">
        <v>21969</v>
      </c>
      <c r="G1035" s="355" t="s">
        <v>1412</v>
      </c>
      <c r="H1035" s="355" t="s">
        <v>1110</v>
      </c>
      <c r="I1035" s="355" t="s">
        <v>1012</v>
      </c>
      <c r="J1035" s="355" t="s">
        <v>985</v>
      </c>
      <c r="K1035" s="426" t="str">
        <f>HYPERLINK("https://okcountyrecords.com/detail/roger+mills/1960-000414","OKCountyRecords: 1960-000414")</f>
        <v>OKCountyRecords: 1960-000414</v>
      </c>
    </row>
    <row r="1036" spans="1:11" hidden="1" x14ac:dyDescent="0.25">
      <c r="A1036" s="355" t="s">
        <v>992</v>
      </c>
      <c r="B1036" s="355"/>
      <c r="C1036" s="355" t="s">
        <v>993</v>
      </c>
      <c r="D1036" s="355" t="s">
        <v>994</v>
      </c>
      <c r="E1036" s="356"/>
      <c r="F1036" s="356">
        <v>2761</v>
      </c>
      <c r="G1036" s="355" t="s">
        <v>995</v>
      </c>
      <c r="H1036" s="355" t="s">
        <v>328</v>
      </c>
      <c r="I1036" s="357" t="s">
        <v>242</v>
      </c>
      <c r="J1036" s="357" t="s">
        <v>996</v>
      </c>
      <c r="K1036" s="426" t="str">
        <f>HYPERLINK("https://okcountyrecords.com/detail/roger+mills/1907-002970","OKCountyRecords: 1907-002970")</f>
        <v>OKCountyRecords: 1907-002970</v>
      </c>
    </row>
    <row r="1037" spans="1:11" hidden="1" x14ac:dyDescent="0.25">
      <c r="A1037" s="355" t="s">
        <v>1454</v>
      </c>
      <c r="B1037" s="355"/>
      <c r="C1037" s="355" t="s">
        <v>114</v>
      </c>
      <c r="D1037" s="355" t="s">
        <v>1455</v>
      </c>
      <c r="E1037" s="356"/>
      <c r="F1037" s="356">
        <v>23054</v>
      </c>
      <c r="G1037" s="355" t="s">
        <v>1415</v>
      </c>
      <c r="H1037" s="355" t="s">
        <v>359</v>
      </c>
      <c r="I1037" s="357" t="s">
        <v>1012</v>
      </c>
      <c r="J1037" s="357" t="s">
        <v>996</v>
      </c>
      <c r="K1037" s="426" t="str">
        <f>HYPERLINK("https://okcountyrecords.com/detail/roger+mills/1963-000284","OKCountyRecords: 1963-000284")</f>
        <v>OKCountyRecords: 1963-000284</v>
      </c>
    </row>
    <row r="1038" spans="1:11" hidden="1" x14ac:dyDescent="0.25">
      <c r="A1038" s="355" t="s">
        <v>1456</v>
      </c>
      <c r="B1038" s="355"/>
      <c r="C1038" s="355" t="s">
        <v>114</v>
      </c>
      <c r="D1038" s="355" t="s">
        <v>1457</v>
      </c>
      <c r="E1038" s="356"/>
      <c r="F1038" s="356">
        <v>23054</v>
      </c>
      <c r="G1038" s="355" t="s">
        <v>1415</v>
      </c>
      <c r="H1038" s="355" t="s">
        <v>359</v>
      </c>
      <c r="I1038" s="357" t="s">
        <v>1012</v>
      </c>
      <c r="J1038" s="357" t="s">
        <v>996</v>
      </c>
      <c r="K1038" s="426" t="str">
        <f>HYPERLINK("https://okcountyrecords.com/detail/roger+mills/1963-000285","OKCountyRecords: 1963-000285")</f>
        <v>OKCountyRecords: 1963-000285</v>
      </c>
    </row>
    <row r="1039" spans="1:11" hidden="1" x14ac:dyDescent="0.25">
      <c r="A1039" s="355" t="s">
        <v>1458</v>
      </c>
      <c r="B1039" s="355"/>
      <c r="C1039" s="355" t="s">
        <v>114</v>
      </c>
      <c r="D1039" s="355" t="s">
        <v>1459</v>
      </c>
      <c r="E1039" s="356"/>
      <c r="F1039" s="356">
        <v>23054</v>
      </c>
      <c r="G1039" s="355" t="s">
        <v>1415</v>
      </c>
      <c r="H1039" s="355" t="s">
        <v>359</v>
      </c>
      <c r="I1039" s="357" t="s">
        <v>1012</v>
      </c>
      <c r="J1039" s="357" t="s">
        <v>996</v>
      </c>
      <c r="K1039" s="426" t="str">
        <f>HYPERLINK("https://okcountyrecords.com/detail/roger+mills/1963-000286","OKCountyRecords: 1963-000286")</f>
        <v>OKCountyRecords: 1963-000286</v>
      </c>
    </row>
    <row r="1040" spans="1:11" hidden="1" x14ac:dyDescent="0.25">
      <c r="A1040" s="355" t="s">
        <v>1460</v>
      </c>
      <c r="B1040" s="355"/>
      <c r="C1040" s="355" t="s">
        <v>114</v>
      </c>
      <c r="D1040" s="355" t="s">
        <v>1461</v>
      </c>
      <c r="E1040" s="356"/>
      <c r="F1040" s="356">
        <v>23054</v>
      </c>
      <c r="G1040" s="355" t="s">
        <v>1415</v>
      </c>
      <c r="H1040" s="355" t="s">
        <v>359</v>
      </c>
      <c r="I1040" s="357" t="s">
        <v>1012</v>
      </c>
      <c r="J1040" s="357" t="s">
        <v>996</v>
      </c>
      <c r="K1040" s="426" t="str">
        <f>HYPERLINK("https://okcountyrecords.com/detail/roger+mills/1963-000287","OKCountyRecords: 1963-000287")</f>
        <v>OKCountyRecords: 1963-000287</v>
      </c>
    </row>
    <row r="1041" spans="1:11" ht="25.5" hidden="1" x14ac:dyDescent="0.25">
      <c r="A1041" s="355" t="s">
        <v>1466</v>
      </c>
      <c r="B1041" s="355"/>
      <c r="C1041" s="355" t="s">
        <v>993</v>
      </c>
      <c r="D1041" s="355" t="s">
        <v>1467</v>
      </c>
      <c r="E1041" s="356"/>
      <c r="F1041" s="356">
        <v>24168</v>
      </c>
      <c r="G1041" s="355" t="s">
        <v>1468</v>
      </c>
      <c r="H1041" s="357" t="s">
        <v>1469</v>
      </c>
      <c r="I1041" s="357" t="s">
        <v>242</v>
      </c>
      <c r="J1041" s="357" t="s">
        <v>996</v>
      </c>
      <c r="K1041" s="426" t="str">
        <f>HYPERLINK("https://okcountyrecords.com/detail/roger+mills/1966-000665","OKCountyRecords: 1966-000665")</f>
        <v>OKCountyRecords: 1966-000665</v>
      </c>
    </row>
    <row r="1042" spans="1:11" x14ac:dyDescent="0.25">
      <c r="A1042" s="355" t="s">
        <v>1476</v>
      </c>
      <c r="B1042" s="355"/>
      <c r="C1042" s="355" t="s">
        <v>1274</v>
      </c>
      <c r="D1042" s="355" t="s">
        <v>1477</v>
      </c>
      <c r="E1042" s="356"/>
      <c r="F1042" s="356">
        <v>24750</v>
      </c>
      <c r="G1042" s="355" t="s">
        <v>1441</v>
      </c>
      <c r="H1042" s="355" t="s">
        <v>1478</v>
      </c>
      <c r="I1042" s="355" t="s">
        <v>1003</v>
      </c>
      <c r="J1042" s="606" t="s">
        <v>1479</v>
      </c>
      <c r="K1042" s="426" t="str">
        <f>HYPERLINK("https://okcountyrecords.com/detail/roger+mills/1967-002816","OKCountyRecords: 1967-002816")</f>
        <v>OKCountyRecords: 1967-002816</v>
      </c>
    </row>
    <row r="1043" spans="1:11" ht="25.5" hidden="1" x14ac:dyDescent="0.25">
      <c r="A1043" s="355" t="s">
        <v>1297</v>
      </c>
      <c r="B1043" s="355"/>
      <c r="C1043" s="355" t="s">
        <v>309</v>
      </c>
      <c r="D1043" s="355" t="s">
        <v>1298</v>
      </c>
      <c r="E1043" s="356"/>
      <c r="F1043" s="356">
        <v>16977</v>
      </c>
      <c r="G1043" s="357" t="s">
        <v>335</v>
      </c>
      <c r="H1043" s="355" t="s">
        <v>336</v>
      </c>
      <c r="I1043" s="357" t="s">
        <v>1012</v>
      </c>
      <c r="J1043" s="357" t="s">
        <v>996</v>
      </c>
      <c r="K1043" s="426" t="str">
        <f>HYPERLINK("https://okcountyrecords.com/detail/roger+mills/1946-001409","OKCountyRecords: 1946-001409")</f>
        <v>OKCountyRecords: 1946-001409</v>
      </c>
    </row>
    <row r="1044" spans="1:11" ht="38.25" hidden="1" x14ac:dyDescent="0.25">
      <c r="A1044" s="355" t="s">
        <v>1301</v>
      </c>
      <c r="B1044" s="355"/>
      <c r="C1044" s="355" t="s">
        <v>309</v>
      </c>
      <c r="D1044" s="355" t="s">
        <v>1302</v>
      </c>
      <c r="E1044" s="356"/>
      <c r="F1044" s="356">
        <v>17504</v>
      </c>
      <c r="G1044" s="357" t="s">
        <v>1303</v>
      </c>
      <c r="H1044" s="355" t="s">
        <v>338</v>
      </c>
      <c r="I1044" s="357" t="s">
        <v>242</v>
      </c>
      <c r="J1044" s="357" t="s">
        <v>996</v>
      </c>
      <c r="K1044" s="426" t="str">
        <f>HYPERLINK("https://okcountyrecords.com/detail/roger+mills/1947-001286","OKCountyRecords: 1947-001286")</f>
        <v>OKCountyRecords: 1947-001286</v>
      </c>
    </row>
    <row r="1045" spans="1:11" hidden="1" x14ac:dyDescent="0.25">
      <c r="A1045" s="355" t="s">
        <v>1310</v>
      </c>
      <c r="B1045" s="355"/>
      <c r="C1045" s="355" t="s">
        <v>309</v>
      </c>
      <c r="D1045" s="355" t="s">
        <v>1311</v>
      </c>
      <c r="E1045" s="356"/>
      <c r="F1045" s="356">
        <v>17566</v>
      </c>
      <c r="G1045" s="355" t="s">
        <v>340</v>
      </c>
      <c r="H1045" s="355" t="s">
        <v>341</v>
      </c>
      <c r="I1045" s="357" t="s">
        <v>242</v>
      </c>
      <c r="J1045" s="357" t="s">
        <v>996</v>
      </c>
      <c r="K1045" s="426" t="str">
        <f>HYPERLINK("https://okcountyrecords.com/detail/roger+mills/1948-002054","OKCountyRecords: 1948-002054")</f>
        <v>OKCountyRecords: 1948-002054</v>
      </c>
    </row>
    <row r="1046" spans="1:11" ht="25.5" hidden="1" x14ac:dyDescent="0.25">
      <c r="A1046" s="355" t="s">
        <v>1327</v>
      </c>
      <c r="B1046" s="355"/>
      <c r="C1046" s="355" t="s">
        <v>309</v>
      </c>
      <c r="D1046" s="355" t="s">
        <v>1328</v>
      </c>
      <c r="E1046" s="356"/>
      <c r="F1046" s="356">
        <v>18015</v>
      </c>
      <c r="G1046" s="357" t="s">
        <v>327</v>
      </c>
      <c r="H1046" s="355" t="s">
        <v>1294</v>
      </c>
      <c r="I1046" s="357" t="s">
        <v>242</v>
      </c>
      <c r="J1046" s="357" t="s">
        <v>996</v>
      </c>
      <c r="K1046" s="426" t="str">
        <f>HYPERLINK("https://okcountyrecords.com/detail/roger+mills/1949-002521","OKCountyRecords: 1949-002521")</f>
        <v>OKCountyRecords: 1949-002521</v>
      </c>
    </row>
    <row r="1047" spans="1:11" ht="25.5" hidden="1" x14ac:dyDescent="0.25">
      <c r="A1047" s="355" t="s">
        <v>1402</v>
      </c>
      <c r="B1047" s="355"/>
      <c r="C1047" s="355" t="s">
        <v>309</v>
      </c>
      <c r="D1047" s="355" t="s">
        <v>1403</v>
      </c>
      <c r="E1047" s="356"/>
      <c r="F1047" s="356">
        <v>21495</v>
      </c>
      <c r="G1047" s="357" t="s">
        <v>342</v>
      </c>
      <c r="H1047" s="355" t="s">
        <v>343</v>
      </c>
      <c r="I1047" s="357" t="s">
        <v>1012</v>
      </c>
      <c r="J1047" s="357" t="s">
        <v>996</v>
      </c>
      <c r="K1047" s="426" t="str">
        <f>HYPERLINK("https://okcountyrecords.com/detail/roger+mills/1958-002487","OKCountyRecords: 1958-002487")</f>
        <v>OKCountyRecords: 1958-002487</v>
      </c>
    </row>
    <row r="1048" spans="1:11" ht="25.5" hidden="1" x14ac:dyDescent="0.25">
      <c r="A1048" s="355" t="s">
        <v>1098</v>
      </c>
      <c r="B1048" s="355"/>
      <c r="C1048" s="355" t="s">
        <v>309</v>
      </c>
      <c r="D1048" s="355" t="s">
        <v>1099</v>
      </c>
      <c r="E1048" s="356"/>
      <c r="F1048" s="356">
        <v>7116</v>
      </c>
      <c r="G1048" s="357" t="s">
        <v>319</v>
      </c>
      <c r="H1048" s="355" t="s">
        <v>320</v>
      </c>
      <c r="I1048" s="357" t="s">
        <v>242</v>
      </c>
      <c r="J1048" s="357" t="s">
        <v>996</v>
      </c>
      <c r="K1048" s="426" t="str">
        <f>HYPERLINK("https://okcountyrecords.com/detail/roger+mills/1919-002150","OKCountyRecords: 1919-002150")</f>
        <v>OKCountyRecords: 1919-002150</v>
      </c>
    </row>
    <row r="1049" spans="1:11" ht="25.5" hidden="1" x14ac:dyDescent="0.25">
      <c r="A1049" s="355" t="s">
        <v>1200</v>
      </c>
      <c r="B1049" s="355"/>
      <c r="C1049" s="355" t="s">
        <v>309</v>
      </c>
      <c r="D1049" s="355" t="s">
        <v>1201</v>
      </c>
      <c r="E1049" s="356"/>
      <c r="F1049" s="356">
        <v>11260</v>
      </c>
      <c r="G1049" s="357" t="s">
        <v>330</v>
      </c>
      <c r="H1049" s="355" t="s">
        <v>326</v>
      </c>
      <c r="I1049" s="357" t="s">
        <v>242</v>
      </c>
      <c r="J1049" s="357" t="s">
        <v>996</v>
      </c>
      <c r="K1049" s="426" t="str">
        <f>HYPERLINK("https://okcountyrecords.com/detail/roger+mills/1930-002841","OKCountyRecords: 1930-002841")</f>
        <v>OKCountyRecords: 1930-002841</v>
      </c>
    </row>
    <row r="1050" spans="1:11" hidden="1" x14ac:dyDescent="0.25">
      <c r="A1050" s="355" t="s">
        <v>1202</v>
      </c>
      <c r="B1050" s="355"/>
      <c r="C1050" s="355" t="s">
        <v>309</v>
      </c>
      <c r="D1050" s="355" t="s">
        <v>1203</v>
      </c>
      <c r="E1050" s="356"/>
      <c r="F1050" s="356">
        <v>11272</v>
      </c>
      <c r="G1050" s="355" t="s">
        <v>331</v>
      </c>
      <c r="H1050" s="355" t="s">
        <v>326</v>
      </c>
      <c r="I1050" s="357" t="s">
        <v>242</v>
      </c>
      <c r="J1050" s="357" t="s">
        <v>996</v>
      </c>
      <c r="K1050" s="426" t="str">
        <f>HYPERLINK("https://okcountyrecords.com/detail/roger+mills/1930-002854","OKCountyRecords: 1930-002854")</f>
        <v>OKCountyRecords: 1930-002854</v>
      </c>
    </row>
    <row r="1051" spans="1:11" ht="114.75" hidden="1" x14ac:dyDescent="0.25">
      <c r="A1051" s="355" t="s">
        <v>1204</v>
      </c>
      <c r="B1051" s="355"/>
      <c r="C1051" s="355" t="s">
        <v>309</v>
      </c>
      <c r="D1051" s="355" t="s">
        <v>1205</v>
      </c>
      <c r="E1051" s="356"/>
      <c r="F1051" s="356">
        <v>11279</v>
      </c>
      <c r="G1051" s="357" t="s">
        <v>332</v>
      </c>
      <c r="H1051" s="355" t="s">
        <v>326</v>
      </c>
      <c r="I1051" s="357" t="s">
        <v>242</v>
      </c>
      <c r="J1051" s="357" t="s">
        <v>996</v>
      </c>
      <c r="K1051" s="426" t="str">
        <f>HYPERLINK("https://okcountyrecords.com/detail/roger+mills/1930-002857","OKCountyRecords: 1930-002857")</f>
        <v>OKCountyRecords: 1930-002857</v>
      </c>
    </row>
    <row r="1052" spans="1:11" hidden="1" x14ac:dyDescent="0.25">
      <c r="A1052" s="355" t="s">
        <v>1191</v>
      </c>
      <c r="B1052" s="355"/>
      <c r="C1052" s="355" t="s">
        <v>309</v>
      </c>
      <c r="D1052" s="355" t="s">
        <v>1192</v>
      </c>
      <c r="E1052" s="356"/>
      <c r="F1052" s="356">
        <v>11177</v>
      </c>
      <c r="G1052" s="355" t="s">
        <v>328</v>
      </c>
      <c r="H1052" s="355" t="s">
        <v>326</v>
      </c>
      <c r="I1052" s="357" t="s">
        <v>242</v>
      </c>
      <c r="J1052" s="357" t="s">
        <v>996</v>
      </c>
      <c r="K1052" s="426" t="str">
        <f>HYPERLINK("https://okcountyrecords.com/detail/roger+mills/1930-002771","OKCountyRecords: 1930-002771")</f>
        <v>OKCountyRecords: 1930-002771</v>
      </c>
    </row>
    <row r="1053" spans="1:11" ht="25.5" hidden="1" x14ac:dyDescent="0.25">
      <c r="A1053" s="355" t="s">
        <v>1189</v>
      </c>
      <c r="B1053" s="355"/>
      <c r="C1053" s="355" t="s">
        <v>309</v>
      </c>
      <c r="D1053" s="355" t="s">
        <v>1190</v>
      </c>
      <c r="E1053" s="356"/>
      <c r="F1053" s="356">
        <v>11174</v>
      </c>
      <c r="G1053" s="357" t="s">
        <v>327</v>
      </c>
      <c r="H1053" s="355" t="s">
        <v>326</v>
      </c>
      <c r="I1053" s="357" t="s">
        <v>242</v>
      </c>
      <c r="J1053" s="357" t="s">
        <v>996</v>
      </c>
      <c r="K1053" s="426" t="str">
        <f>HYPERLINK("https://okcountyrecords.com/detail/roger+mills/1930-002773","OKCountyRecords: 1930-002773")</f>
        <v>OKCountyRecords: 1930-002773</v>
      </c>
    </row>
    <row r="1054" spans="1:11" ht="25.5" hidden="1" x14ac:dyDescent="0.25">
      <c r="A1054" s="355" t="s">
        <v>1193</v>
      </c>
      <c r="B1054" s="355"/>
      <c r="C1054" s="355" t="s">
        <v>309</v>
      </c>
      <c r="D1054" s="355" t="s">
        <v>1194</v>
      </c>
      <c r="E1054" s="356"/>
      <c r="F1054" s="356">
        <v>11223</v>
      </c>
      <c r="G1054" s="357" t="s">
        <v>329</v>
      </c>
      <c r="H1054" s="355" t="s">
        <v>326</v>
      </c>
      <c r="I1054" s="357" t="s">
        <v>242</v>
      </c>
      <c r="J1054" s="357" t="s">
        <v>996</v>
      </c>
      <c r="K1054" s="426" t="str">
        <f>HYPERLINK("https://okcountyrecords.com/detail/roger+mills/1930-002803","OKCountyRecords: 1930-002803")</f>
        <v>OKCountyRecords: 1930-002803</v>
      </c>
    </row>
    <row r="1055" spans="1:11" x14ac:dyDescent="0.25">
      <c r="A1055" s="355" t="s">
        <v>1177</v>
      </c>
      <c r="B1055" s="355"/>
      <c r="C1055" s="355" t="s">
        <v>981</v>
      </c>
      <c r="D1055" s="355" t="s">
        <v>1178</v>
      </c>
      <c r="E1055" s="356"/>
      <c r="F1055" s="356">
        <v>11021</v>
      </c>
      <c r="G1055" s="355" t="s">
        <v>983</v>
      </c>
      <c r="H1055" s="355" t="s">
        <v>1179</v>
      </c>
      <c r="I1055" s="425" t="s">
        <v>1003</v>
      </c>
      <c r="J1055" s="355" t="s">
        <v>985</v>
      </c>
      <c r="K1055" s="426" t="str">
        <f>HYPERLINK("https://okcountyrecords.com/detail/roger+mills/1930-002914","OKCountyRecords: 1930-002914")</f>
        <v>OKCountyRecords: 1930-002914</v>
      </c>
    </row>
    <row r="1056" spans="1:11" x14ac:dyDescent="0.25">
      <c r="A1056" s="355" t="s">
        <v>980</v>
      </c>
      <c r="B1056" s="355"/>
      <c r="C1056" s="355" t="s">
        <v>981</v>
      </c>
      <c r="D1056" s="355" t="s">
        <v>982</v>
      </c>
      <c r="E1056" s="356"/>
      <c r="F1056" s="356">
        <v>2752</v>
      </c>
      <c r="G1056" s="355" t="s">
        <v>983</v>
      </c>
      <c r="H1056" s="355" t="s">
        <v>971</v>
      </c>
      <c r="I1056" s="608" t="s">
        <v>984</v>
      </c>
      <c r="J1056" s="355" t="s">
        <v>985</v>
      </c>
      <c r="K1056" s="426" t="str">
        <f>HYPERLINK("https://okcountyrecords.com/detail/roger+mills/1907-005379","OKCountyRecords: 1907-005379")</f>
        <v>OKCountyRecords: 1907-005379</v>
      </c>
    </row>
    <row r="1057" spans="1:20" x14ac:dyDescent="0.25">
      <c r="A1057" s="355" t="s">
        <v>1018</v>
      </c>
      <c r="B1057" s="355"/>
      <c r="C1057" s="355" t="s">
        <v>981</v>
      </c>
      <c r="D1057" s="355" t="s">
        <v>1019</v>
      </c>
      <c r="E1057" s="356"/>
      <c r="F1057" s="356">
        <v>3652</v>
      </c>
      <c r="G1057" s="355" t="s">
        <v>983</v>
      </c>
      <c r="H1057" s="355" t="s">
        <v>989</v>
      </c>
      <c r="I1057" s="355" t="s">
        <v>313</v>
      </c>
      <c r="J1057" s="355" t="s">
        <v>985</v>
      </c>
      <c r="K1057" s="426" t="str">
        <f>HYPERLINK("https://okcountyrecords.com/detail/roger+mills/1909-002932","OKCountyRecords: 1909-002932")</f>
        <v>OKCountyRecords: 1909-002932</v>
      </c>
    </row>
    <row r="1058" spans="1:20" x14ac:dyDescent="0.25">
      <c r="A1058" s="355" t="s">
        <v>1220</v>
      </c>
      <c r="B1058" s="355"/>
      <c r="C1058" s="355" t="s">
        <v>981</v>
      </c>
      <c r="D1058" s="355" t="s">
        <v>1221</v>
      </c>
      <c r="E1058" s="356"/>
      <c r="F1058" s="356">
        <v>11450</v>
      </c>
      <c r="G1058" s="355" t="s">
        <v>983</v>
      </c>
      <c r="H1058" s="355" t="s">
        <v>1222</v>
      </c>
      <c r="I1058" s="355" t="s">
        <v>313</v>
      </c>
      <c r="J1058" s="355" t="s">
        <v>985</v>
      </c>
      <c r="K1058" s="426" t="str">
        <f>HYPERLINK("https://okcountyrecords.com/detail/roger+mills/1931-001789","OKCountyRecords: 1931-001789")</f>
        <v>OKCountyRecords: 1931-001789</v>
      </c>
    </row>
    <row r="1059" spans="1:20" s="591" customFormat="1" x14ac:dyDescent="0.25">
      <c r="A1059" s="580" t="s">
        <v>1258</v>
      </c>
      <c r="B1059" s="580"/>
      <c r="C1059" s="581" t="s">
        <v>2506</v>
      </c>
      <c r="D1059" s="580" t="s">
        <v>1259</v>
      </c>
      <c r="E1059" s="582">
        <v>14235</v>
      </c>
      <c r="F1059" s="582">
        <v>14289</v>
      </c>
      <c r="G1059" s="581" t="s">
        <v>8878</v>
      </c>
      <c r="H1059" s="580" t="s">
        <v>1240</v>
      </c>
      <c r="I1059" s="581" t="s">
        <v>8600</v>
      </c>
      <c r="J1059" s="581" t="s">
        <v>8877</v>
      </c>
      <c r="K1059" s="584" t="str">
        <f>HYPERLINK("https://okcountyrecords.com/detail/roger+mills/1939-001120","OKCountyRecords: 1939-001120")</f>
        <v>OKCountyRecords: 1939-001120</v>
      </c>
      <c r="L1059" s="585"/>
      <c r="M1059" s="585"/>
      <c r="N1059" s="585"/>
      <c r="O1059" s="585"/>
      <c r="P1059" s="585"/>
      <c r="Q1059" s="585"/>
      <c r="R1059" s="585"/>
      <c r="S1059" s="585"/>
      <c r="T1059" s="585"/>
    </row>
    <row r="1060" spans="1:20" s="591" customFormat="1" x14ac:dyDescent="0.25">
      <c r="A1060" s="580" t="s">
        <v>1331</v>
      </c>
      <c r="B1060" s="580"/>
      <c r="C1060" s="581" t="s">
        <v>2506</v>
      </c>
      <c r="D1060" s="580" t="s">
        <v>1332</v>
      </c>
      <c r="E1060" s="582">
        <v>18056</v>
      </c>
      <c r="F1060" s="582">
        <v>18084</v>
      </c>
      <c r="G1060" s="580" t="s">
        <v>1333</v>
      </c>
      <c r="H1060" s="580" t="s">
        <v>1324</v>
      </c>
      <c r="I1060" s="581" t="s">
        <v>8875</v>
      </c>
      <c r="J1060" s="581" t="s">
        <v>8876</v>
      </c>
      <c r="K1060" s="584" t="str">
        <f>HYPERLINK("https://okcountyrecords.com/detail/roger+mills/1949-003394","OKCountyRecords: 1949-003394")</f>
        <v>OKCountyRecords: 1949-003394</v>
      </c>
      <c r="L1060" s="585"/>
      <c r="M1060" s="585"/>
      <c r="N1060" s="585"/>
      <c r="O1060" s="585"/>
      <c r="P1060" s="585"/>
      <c r="Q1060" s="585"/>
      <c r="R1060" s="585"/>
      <c r="S1060" s="585"/>
      <c r="T1060" s="585"/>
    </row>
    <row r="1061" spans="1:20" ht="25.5" hidden="1" x14ac:dyDescent="0.25">
      <c r="A1061" s="355" t="s">
        <v>1008</v>
      </c>
      <c r="B1061" s="355"/>
      <c r="C1061" s="355" t="s">
        <v>993</v>
      </c>
      <c r="D1061" s="355" t="s">
        <v>1009</v>
      </c>
      <c r="E1061" s="356"/>
      <c r="F1061" s="356">
        <v>3191</v>
      </c>
      <c r="G1061" s="355" t="s">
        <v>1010</v>
      </c>
      <c r="H1061" s="357" t="s">
        <v>1011</v>
      </c>
      <c r="I1061" s="357" t="s">
        <v>1012</v>
      </c>
      <c r="J1061" s="357" t="s">
        <v>996</v>
      </c>
      <c r="K1061" s="426" t="str">
        <f>HYPERLINK("https://okcountyrecords.com/detail/roger+mills/1908-003103","OKCountyRecords: 1908-003103")</f>
        <v>OKCountyRecords: 1908-003103</v>
      </c>
    </row>
    <row r="1062" spans="1:20" ht="25.5" hidden="1" x14ac:dyDescent="0.25">
      <c r="A1062" s="355" t="s">
        <v>1013</v>
      </c>
      <c r="B1062" s="355"/>
      <c r="C1062" s="355" t="s">
        <v>993</v>
      </c>
      <c r="D1062" s="355" t="s">
        <v>1014</v>
      </c>
      <c r="E1062" s="356"/>
      <c r="F1062" s="356">
        <v>3191</v>
      </c>
      <c r="G1062" s="355" t="s">
        <v>1010</v>
      </c>
      <c r="H1062" s="357" t="s">
        <v>1011</v>
      </c>
      <c r="I1062" s="357" t="s">
        <v>1012</v>
      </c>
      <c r="J1062" s="357" t="s">
        <v>996</v>
      </c>
      <c r="K1062" s="426" t="str">
        <f>HYPERLINK("https://okcountyrecords.com/detail/roger+mills/1908-003105","OKCountyRecords: 1908-003105")</f>
        <v>OKCountyRecords: 1908-003105</v>
      </c>
    </row>
    <row r="1063" spans="1:20" ht="25.5" hidden="1" x14ac:dyDescent="0.25">
      <c r="A1063" s="355" t="s">
        <v>1111</v>
      </c>
      <c r="B1063" s="355"/>
      <c r="C1063" s="355" t="s">
        <v>993</v>
      </c>
      <c r="D1063" s="355" t="s">
        <v>1112</v>
      </c>
      <c r="E1063" s="356"/>
      <c r="F1063" s="356">
        <v>7291</v>
      </c>
      <c r="G1063" s="355" t="s">
        <v>1113</v>
      </c>
      <c r="H1063" s="357" t="s">
        <v>1046</v>
      </c>
      <c r="I1063" s="357" t="s">
        <v>242</v>
      </c>
      <c r="J1063" s="357" t="s">
        <v>996</v>
      </c>
      <c r="K1063" s="426" t="str">
        <f>HYPERLINK("https://okcountyrecords.com/detail/roger+mills/1919-003329","OKCountyRecords: 1919-003329")</f>
        <v>OKCountyRecords: 1919-003329</v>
      </c>
    </row>
    <row r="1064" spans="1:20" ht="25.5" hidden="1" x14ac:dyDescent="0.25">
      <c r="A1064" s="355" t="s">
        <v>1120</v>
      </c>
      <c r="B1064" s="355"/>
      <c r="C1064" s="355" t="s">
        <v>993</v>
      </c>
      <c r="D1064" s="355" t="s">
        <v>1121</v>
      </c>
      <c r="E1064" s="356"/>
      <c r="F1064" s="356">
        <v>7663</v>
      </c>
      <c r="G1064" s="355" t="s">
        <v>1052</v>
      </c>
      <c r="H1064" s="357" t="s">
        <v>314</v>
      </c>
      <c r="I1064" s="357" t="s">
        <v>242</v>
      </c>
      <c r="J1064" s="357" t="s">
        <v>996</v>
      </c>
      <c r="K1064" s="426" t="str">
        <f>HYPERLINK("https://okcountyrecords.com/detail/roger+mills/1920-003327","OKCountyRecords: 1920-003327")</f>
        <v>OKCountyRecords: 1920-003327</v>
      </c>
    </row>
    <row r="1065" spans="1:20" ht="25.5" hidden="1" x14ac:dyDescent="0.25">
      <c r="A1065" s="355" t="s">
        <v>1136</v>
      </c>
      <c r="B1065" s="355"/>
      <c r="C1065" s="355" t="s">
        <v>993</v>
      </c>
      <c r="D1065" s="355" t="s">
        <v>1137</v>
      </c>
      <c r="E1065" s="356"/>
      <c r="F1065" s="356">
        <v>7807</v>
      </c>
      <c r="G1065" s="355" t="s">
        <v>315</v>
      </c>
      <c r="H1065" s="357" t="s">
        <v>1105</v>
      </c>
      <c r="I1065" s="357" t="s">
        <v>242</v>
      </c>
      <c r="J1065" s="357" t="s">
        <v>996</v>
      </c>
      <c r="K1065" s="426" t="str">
        <f>HYPERLINK("https://okcountyrecords.com/detail/roger+mills/1921-001778","OKCountyRecords: 1921-001778")</f>
        <v>OKCountyRecords: 1921-001778</v>
      </c>
    </row>
    <row r="1066" spans="1:20" ht="25.5" hidden="1" x14ac:dyDescent="0.25">
      <c r="A1066" s="355" t="s">
        <v>1138</v>
      </c>
      <c r="B1066" s="355"/>
      <c r="C1066" s="355" t="s">
        <v>993</v>
      </c>
      <c r="D1066" s="355" t="s">
        <v>1139</v>
      </c>
      <c r="E1066" s="356"/>
      <c r="F1066" s="356">
        <v>7860</v>
      </c>
      <c r="G1066" s="355" t="s">
        <v>318</v>
      </c>
      <c r="H1066" s="357" t="s">
        <v>317</v>
      </c>
      <c r="I1066" s="357" t="s">
        <v>242</v>
      </c>
      <c r="J1066" s="357" t="s">
        <v>996</v>
      </c>
      <c r="K1066" s="426" t="str">
        <f>HYPERLINK("https://okcountyrecords.com/detail/roger+mills/1921-001835","OKCountyRecords: 1921-001835")</f>
        <v>OKCountyRecords: 1921-001835</v>
      </c>
    </row>
    <row r="1067" spans="1:20" ht="25.5" hidden="1" x14ac:dyDescent="0.25">
      <c r="A1067" s="355" t="s">
        <v>1143</v>
      </c>
      <c r="B1067" s="355"/>
      <c r="C1067" s="355" t="s">
        <v>993</v>
      </c>
      <c r="D1067" s="355" t="s">
        <v>1144</v>
      </c>
      <c r="E1067" s="356"/>
      <c r="F1067" s="356">
        <v>8121</v>
      </c>
      <c r="G1067" s="355" t="s">
        <v>1033</v>
      </c>
      <c r="H1067" s="357" t="s">
        <v>1030</v>
      </c>
      <c r="I1067" s="357" t="s">
        <v>242</v>
      </c>
      <c r="J1067" s="357" t="s">
        <v>996</v>
      </c>
      <c r="K1067" s="426" t="str">
        <f>HYPERLINK("https://okcountyrecords.com/detail/roger+mills/1922-001969","OKCountyRecords: 1922-001969")</f>
        <v>OKCountyRecords: 1922-001969</v>
      </c>
    </row>
    <row r="1068" spans="1:20" ht="25.5" hidden="1" x14ac:dyDescent="0.25">
      <c r="A1068" s="355" t="s">
        <v>1145</v>
      </c>
      <c r="B1068" s="355"/>
      <c r="C1068" s="355" t="s">
        <v>993</v>
      </c>
      <c r="D1068" s="355" t="s">
        <v>1146</v>
      </c>
      <c r="E1068" s="356"/>
      <c r="F1068" s="356">
        <v>8143</v>
      </c>
      <c r="G1068" s="355" t="s">
        <v>1147</v>
      </c>
      <c r="H1068" s="357" t="s">
        <v>1011</v>
      </c>
      <c r="I1068" s="357" t="s">
        <v>1012</v>
      </c>
      <c r="J1068" s="357" t="s">
        <v>996</v>
      </c>
      <c r="K1068" s="426" t="str">
        <f>HYPERLINK("https://okcountyrecords.com/detail/roger+mills/1922-001979","OKCountyRecords: 1922-001979")</f>
        <v>OKCountyRecords: 1922-001979</v>
      </c>
    </row>
    <row r="1069" spans="1:20" ht="25.5" hidden="1" x14ac:dyDescent="0.25">
      <c r="A1069" s="355" t="s">
        <v>1126</v>
      </c>
      <c r="B1069" s="355"/>
      <c r="C1069" s="355" t="s">
        <v>993</v>
      </c>
      <c r="D1069" s="355" t="s">
        <v>1127</v>
      </c>
      <c r="E1069" s="356"/>
      <c r="F1069" s="356">
        <v>7750</v>
      </c>
      <c r="G1069" s="355" t="s">
        <v>1124</v>
      </c>
      <c r="H1069" s="357" t="s">
        <v>1128</v>
      </c>
      <c r="I1069" s="357" t="s">
        <v>1012</v>
      </c>
      <c r="J1069" s="357" t="s">
        <v>996</v>
      </c>
      <c r="K1069" s="426" t="str">
        <f>HYPERLINK("https://okcountyrecords.com/detail/roger+mills/1921-001998","OKCountyRecords: 1921-001998")</f>
        <v>OKCountyRecords: 1921-001998</v>
      </c>
    </row>
    <row r="1070" spans="1:20" hidden="1" x14ac:dyDescent="0.25">
      <c r="A1070" s="355" t="s">
        <v>1217</v>
      </c>
      <c r="B1070" s="355"/>
      <c r="C1070" s="355" t="s">
        <v>993</v>
      </c>
      <c r="D1070" s="355" t="s">
        <v>1218</v>
      </c>
      <c r="E1070" s="356"/>
      <c r="F1070" s="356">
        <v>11400</v>
      </c>
      <c r="G1070" s="355" t="s">
        <v>1219</v>
      </c>
      <c r="H1070" s="355" t="s">
        <v>328</v>
      </c>
      <c r="I1070" s="357" t="s">
        <v>242</v>
      </c>
      <c r="J1070" s="357" t="s">
        <v>996</v>
      </c>
      <c r="K1070" s="426" t="str">
        <f>HYPERLINK("https://okcountyrecords.com/detail/roger+mills/1931-001910","OKCountyRecords: 1931-001910")</f>
        <v>OKCountyRecords: 1931-001910</v>
      </c>
    </row>
    <row r="1071" spans="1:20" ht="25.5" hidden="1" x14ac:dyDescent="0.25">
      <c r="A1071" s="355" t="s">
        <v>1180</v>
      </c>
      <c r="B1071" s="355"/>
      <c r="C1071" s="355" t="s">
        <v>993</v>
      </c>
      <c r="D1071" s="355" t="s">
        <v>1181</v>
      </c>
      <c r="E1071" s="356"/>
      <c r="F1071" s="356">
        <v>11069</v>
      </c>
      <c r="G1071" s="355" t="s">
        <v>1176</v>
      </c>
      <c r="H1071" s="357" t="s">
        <v>1128</v>
      </c>
      <c r="I1071" s="357" t="s">
        <v>1012</v>
      </c>
      <c r="J1071" s="357" t="s">
        <v>996</v>
      </c>
      <c r="K1071" s="426" t="str">
        <f>HYPERLINK("https://okcountyrecords.com/detail/roger+mills/1930-003271","OKCountyRecords: 1930-003271")</f>
        <v>OKCountyRecords: 1930-003271</v>
      </c>
    </row>
    <row r="1072" spans="1:20" hidden="1" x14ac:dyDescent="0.25">
      <c r="A1072" s="355" t="s">
        <v>1211</v>
      </c>
      <c r="B1072" s="355"/>
      <c r="C1072" s="355" t="s">
        <v>993</v>
      </c>
      <c r="D1072" s="355" t="s">
        <v>1212</v>
      </c>
      <c r="E1072" s="356"/>
      <c r="F1072" s="356">
        <v>11364</v>
      </c>
      <c r="G1072" s="355" t="s">
        <v>326</v>
      </c>
      <c r="H1072" s="355" t="s">
        <v>331</v>
      </c>
      <c r="I1072" s="357" t="s">
        <v>1012</v>
      </c>
      <c r="J1072" s="357" t="s">
        <v>996</v>
      </c>
      <c r="K1072" s="426" t="str">
        <f>HYPERLINK("https://okcountyrecords.com/detail/roger+mills/1931-001962","OKCountyRecords: 1931-001962")</f>
        <v>OKCountyRecords: 1931-001962</v>
      </c>
    </row>
    <row r="1073" spans="1:11" ht="25.5" hidden="1" x14ac:dyDescent="0.25">
      <c r="A1073" s="355" t="s">
        <v>1407</v>
      </c>
      <c r="B1073" s="355"/>
      <c r="C1073" s="355" t="s">
        <v>993</v>
      </c>
      <c r="D1073" s="355" t="s">
        <v>1408</v>
      </c>
      <c r="E1073" s="356"/>
      <c r="F1073" s="356">
        <v>21872</v>
      </c>
      <c r="G1073" s="355" t="s">
        <v>343</v>
      </c>
      <c r="H1073" s="357" t="s">
        <v>342</v>
      </c>
      <c r="I1073" s="357" t="s">
        <v>1012</v>
      </c>
      <c r="J1073" s="357" t="s">
        <v>996</v>
      </c>
      <c r="K1073" s="426" t="str">
        <f>HYPERLINK("https://okcountyrecords.com/detail/roger+mills/1959-002917","OKCountyRecords: 1959-002917")</f>
        <v>OKCountyRecords: 1959-002917</v>
      </c>
    </row>
    <row r="1074" spans="1:11" hidden="1" x14ac:dyDescent="0.25">
      <c r="A1074" s="355" t="s">
        <v>1227</v>
      </c>
      <c r="B1074" s="355"/>
      <c r="C1074" s="355" t="s">
        <v>993</v>
      </c>
      <c r="D1074" s="355" t="s">
        <v>1228</v>
      </c>
      <c r="E1074" s="356"/>
      <c r="F1074" s="356">
        <v>11842</v>
      </c>
      <c r="G1074" s="355" t="s">
        <v>326</v>
      </c>
      <c r="H1074" s="355" t="s">
        <v>331</v>
      </c>
      <c r="I1074" s="357" t="s">
        <v>1012</v>
      </c>
      <c r="J1074" s="357" t="s">
        <v>996</v>
      </c>
      <c r="K1074" s="426" t="str">
        <f>HYPERLINK("https://okcountyrecords.com/detail/roger+mills/1932-001278","OKCountyRecords: 1932-001278")</f>
        <v>OKCountyRecords: 1932-001278</v>
      </c>
    </row>
    <row r="1075" spans="1:11" ht="25.5" hidden="1" x14ac:dyDescent="0.25">
      <c r="A1075" s="355" t="s">
        <v>1254</v>
      </c>
      <c r="B1075" s="355"/>
      <c r="C1075" s="355" t="s">
        <v>993</v>
      </c>
      <c r="D1075" s="355" t="s">
        <v>1255</v>
      </c>
      <c r="E1075" s="356"/>
      <c r="F1075" s="356">
        <v>14183</v>
      </c>
      <c r="G1075" s="355" t="s">
        <v>1256</v>
      </c>
      <c r="H1075" s="357" t="s">
        <v>1257</v>
      </c>
      <c r="I1075" s="357" t="s">
        <v>1012</v>
      </c>
      <c r="J1075" s="357" t="s">
        <v>996</v>
      </c>
      <c r="K1075" s="426" t="str">
        <f>HYPERLINK("https://okcountyrecords.com/detail/roger+mills/1938-000969","OKCountyRecords: 1938-000969")</f>
        <v>OKCountyRecords: 1938-000969</v>
      </c>
    </row>
    <row r="1076" spans="1:11" ht="25.5" hidden="1" x14ac:dyDescent="0.25">
      <c r="A1076" s="355" t="s">
        <v>1261</v>
      </c>
      <c r="B1076" s="355"/>
      <c r="C1076" s="355" t="s">
        <v>993</v>
      </c>
      <c r="D1076" s="355" t="s">
        <v>1262</v>
      </c>
      <c r="E1076" s="356"/>
      <c r="F1076" s="356">
        <v>14300</v>
      </c>
      <c r="G1076" s="355" t="s">
        <v>1256</v>
      </c>
      <c r="H1076" s="357" t="s">
        <v>1257</v>
      </c>
      <c r="I1076" s="357" t="s">
        <v>1012</v>
      </c>
      <c r="J1076" s="357" t="s">
        <v>996</v>
      </c>
      <c r="K1076" s="426" t="str">
        <f>HYPERLINK("https://okcountyrecords.com/detail/roger+mills/1939-001197","OKCountyRecords: 1939-001197")</f>
        <v>OKCountyRecords: 1939-001197</v>
      </c>
    </row>
    <row r="1077" spans="1:11" hidden="1" x14ac:dyDescent="0.25">
      <c r="A1077" s="355" t="s">
        <v>1263</v>
      </c>
      <c r="B1077" s="355"/>
      <c r="C1077" s="355" t="s">
        <v>993</v>
      </c>
      <c r="D1077" s="355" t="s">
        <v>1264</v>
      </c>
      <c r="E1077" s="356"/>
      <c r="F1077" s="356">
        <v>14334</v>
      </c>
      <c r="G1077" s="355" t="s">
        <v>1219</v>
      </c>
      <c r="H1077" s="355" t="s">
        <v>328</v>
      </c>
      <c r="I1077" s="357" t="s">
        <v>242</v>
      </c>
      <c r="J1077" s="357" t="s">
        <v>996</v>
      </c>
      <c r="K1077" s="426" t="str">
        <f>HYPERLINK("https://okcountyrecords.com/detail/roger+mills/1939-001202","OKCountyRecords: 1939-001202")</f>
        <v>OKCountyRecords: 1939-001202</v>
      </c>
    </row>
    <row r="1078" spans="1:11" ht="25.5" hidden="1" x14ac:dyDescent="0.25">
      <c r="A1078" s="355" t="s">
        <v>1283</v>
      </c>
      <c r="B1078" s="355"/>
      <c r="C1078" s="355" t="s">
        <v>993</v>
      </c>
      <c r="D1078" s="355" t="s">
        <v>1284</v>
      </c>
      <c r="E1078" s="356"/>
      <c r="F1078" s="356">
        <v>16477</v>
      </c>
      <c r="G1078" s="355" t="s">
        <v>1285</v>
      </c>
      <c r="H1078" s="357" t="s">
        <v>329</v>
      </c>
      <c r="I1078" s="357" t="s">
        <v>242</v>
      </c>
      <c r="J1078" s="357" t="s">
        <v>996</v>
      </c>
      <c r="K1078" s="426" t="str">
        <f>HYPERLINK("https://okcountyrecords.com/detail/roger+mills/1945-001445","OKCountyRecords: 1945-001445")</f>
        <v>OKCountyRecords: 1945-001445</v>
      </c>
    </row>
    <row r="1079" spans="1:11" ht="25.5" hidden="1" x14ac:dyDescent="0.25">
      <c r="A1079" s="355" t="s">
        <v>1235</v>
      </c>
      <c r="B1079" s="355"/>
      <c r="C1079" s="355" t="s">
        <v>993</v>
      </c>
      <c r="D1079" s="355" t="s">
        <v>1236</v>
      </c>
      <c r="E1079" s="356"/>
      <c r="F1079" s="356">
        <v>12596</v>
      </c>
      <c r="G1079" s="355" t="s">
        <v>331</v>
      </c>
      <c r="H1079" s="357" t="s">
        <v>327</v>
      </c>
      <c r="I1079" s="357" t="s">
        <v>242</v>
      </c>
      <c r="J1079" s="357" t="s">
        <v>996</v>
      </c>
      <c r="K1079" s="426" t="str">
        <f>HYPERLINK("https://okcountyrecords.com/detail/roger+mills/1934-001693","OKCountyRecords: 1934-001693")</f>
        <v>OKCountyRecords: 1934-001693</v>
      </c>
    </row>
    <row r="1080" spans="1:11" ht="25.5" hidden="1" x14ac:dyDescent="0.25">
      <c r="A1080" s="355" t="s">
        <v>1244</v>
      </c>
      <c r="B1080" s="355"/>
      <c r="C1080" s="355" t="s">
        <v>993</v>
      </c>
      <c r="D1080" s="355" t="s">
        <v>1245</v>
      </c>
      <c r="E1080" s="356"/>
      <c r="F1080" s="356">
        <v>13121</v>
      </c>
      <c r="G1080" s="355" t="s">
        <v>326</v>
      </c>
      <c r="H1080" s="357" t="s">
        <v>330</v>
      </c>
      <c r="I1080" s="357" t="s">
        <v>242</v>
      </c>
      <c r="J1080" s="357" t="s">
        <v>996</v>
      </c>
      <c r="K1080" s="426" t="str">
        <f>HYPERLINK("https://okcountyrecords.com/detail/roger+mills/1935-001793","OKCountyRecords: 1935-001793")</f>
        <v>OKCountyRecords: 1935-001793</v>
      </c>
    </row>
    <row r="1081" spans="1:11" hidden="1" x14ac:dyDescent="0.25">
      <c r="A1081" s="355" t="s">
        <v>1246</v>
      </c>
      <c r="B1081" s="355"/>
      <c r="C1081" s="355" t="s">
        <v>993</v>
      </c>
      <c r="D1081" s="355" t="s">
        <v>1247</v>
      </c>
      <c r="E1081" s="356"/>
      <c r="F1081" s="356">
        <v>13121</v>
      </c>
      <c r="G1081" s="355" t="s">
        <v>326</v>
      </c>
      <c r="H1081" s="355" t="s">
        <v>328</v>
      </c>
      <c r="I1081" s="357" t="s">
        <v>242</v>
      </c>
      <c r="J1081" s="357" t="s">
        <v>996</v>
      </c>
      <c r="K1081" s="426" t="str">
        <f>HYPERLINK("https://okcountyrecords.com/detail/roger+mills/1935-001795","OKCountyRecords: 1935-001795")</f>
        <v>OKCountyRecords: 1935-001795</v>
      </c>
    </row>
    <row r="1082" spans="1:11" ht="25.5" hidden="1" x14ac:dyDescent="0.25">
      <c r="A1082" s="355" t="s">
        <v>1277</v>
      </c>
      <c r="B1082" s="355"/>
      <c r="C1082" s="355" t="s">
        <v>993</v>
      </c>
      <c r="D1082" s="355" t="s">
        <v>1278</v>
      </c>
      <c r="E1082" s="356"/>
      <c r="F1082" s="356">
        <v>16343</v>
      </c>
      <c r="G1082" s="355" t="s">
        <v>1279</v>
      </c>
      <c r="H1082" s="357" t="s">
        <v>329</v>
      </c>
      <c r="I1082" s="357" t="s">
        <v>242</v>
      </c>
      <c r="J1082" s="357" t="s">
        <v>996</v>
      </c>
      <c r="K1082" s="426" t="str">
        <f>HYPERLINK("https://okcountyrecords.com/detail/roger+mills/1944-001314","OKCountyRecords: 1944-001314")</f>
        <v>OKCountyRecords: 1944-001314</v>
      </c>
    </row>
    <row r="1083" spans="1:11" ht="25.5" hidden="1" x14ac:dyDescent="0.25">
      <c r="A1083" s="355" t="s">
        <v>1286</v>
      </c>
      <c r="B1083" s="355"/>
      <c r="C1083" s="355" t="s">
        <v>993</v>
      </c>
      <c r="D1083" s="355" t="s">
        <v>1287</v>
      </c>
      <c r="E1083" s="356"/>
      <c r="F1083" s="356">
        <v>16477</v>
      </c>
      <c r="G1083" s="355" t="s">
        <v>1288</v>
      </c>
      <c r="H1083" s="357" t="s">
        <v>329</v>
      </c>
      <c r="I1083" s="357" t="s">
        <v>242</v>
      </c>
      <c r="J1083" s="357" t="s">
        <v>996</v>
      </c>
      <c r="K1083" s="426" t="str">
        <f>HYPERLINK("https://okcountyrecords.com/detail/roger+mills/1945-001524","OKCountyRecords: 1945-001524")</f>
        <v>OKCountyRecords: 1945-001524</v>
      </c>
    </row>
    <row r="1084" spans="1:11" ht="38.25" hidden="1" x14ac:dyDescent="0.25">
      <c r="A1084" s="355" t="s">
        <v>1270</v>
      </c>
      <c r="B1084" s="355"/>
      <c r="C1084" s="355" t="s">
        <v>993</v>
      </c>
      <c r="D1084" s="355" t="s">
        <v>1271</v>
      </c>
      <c r="E1084" s="356"/>
      <c r="F1084" s="356">
        <v>15376</v>
      </c>
      <c r="G1084" s="357" t="s">
        <v>1272</v>
      </c>
      <c r="H1084" s="357" t="s">
        <v>327</v>
      </c>
      <c r="I1084" s="357" t="s">
        <v>242</v>
      </c>
      <c r="J1084" s="357" t="s">
        <v>996</v>
      </c>
      <c r="K1084" s="426" t="str">
        <f>HYPERLINK("https://okcountyrecords.com/detail/roger+mills/1942-000982","OKCountyRecords: 1942-000982")</f>
        <v>OKCountyRecords: 1942-000982</v>
      </c>
    </row>
    <row r="1085" spans="1:11" ht="25.5" hidden="1" x14ac:dyDescent="0.25">
      <c r="A1085" s="355" t="s">
        <v>1299</v>
      </c>
      <c r="B1085" s="355"/>
      <c r="C1085" s="355" t="s">
        <v>993</v>
      </c>
      <c r="D1085" s="355" t="s">
        <v>1300</v>
      </c>
      <c r="E1085" s="356"/>
      <c r="F1085" s="356">
        <v>17198</v>
      </c>
      <c r="G1085" s="355" t="s">
        <v>326</v>
      </c>
      <c r="H1085" s="357" t="s">
        <v>361</v>
      </c>
      <c r="I1085" s="357" t="s">
        <v>242</v>
      </c>
      <c r="J1085" s="357" t="s">
        <v>996</v>
      </c>
      <c r="K1085" s="426" t="str">
        <f>HYPERLINK("https://okcountyrecords.com/detail/roger+mills/1947-001785","OKCountyRecords: 1947-001785")</f>
        <v>OKCountyRecords: 1947-001785</v>
      </c>
    </row>
    <row r="1086" spans="1:11" hidden="1" x14ac:dyDescent="0.25">
      <c r="A1086" s="355" t="s">
        <v>1325</v>
      </c>
      <c r="B1086" s="355"/>
      <c r="C1086" s="355" t="s">
        <v>993</v>
      </c>
      <c r="D1086" s="355" t="s">
        <v>1326</v>
      </c>
      <c r="E1086" s="356"/>
      <c r="F1086" s="356">
        <v>17995</v>
      </c>
      <c r="G1086" s="355" t="s">
        <v>1256</v>
      </c>
      <c r="H1086" s="355" t="s">
        <v>328</v>
      </c>
      <c r="I1086" s="357" t="s">
        <v>242</v>
      </c>
      <c r="J1086" s="357" t="s">
        <v>996</v>
      </c>
      <c r="K1086" s="426" t="str">
        <f>HYPERLINK("https://okcountyrecords.com/detail/roger+mills/1949-003597","OKCountyRecords: 1949-003597")</f>
        <v>OKCountyRecords: 1949-003597</v>
      </c>
    </row>
    <row r="1087" spans="1:11" ht="25.5" hidden="1" x14ac:dyDescent="0.25">
      <c r="A1087" s="355" t="s">
        <v>1329</v>
      </c>
      <c r="B1087" s="355"/>
      <c r="C1087" s="355" t="s">
        <v>993</v>
      </c>
      <c r="D1087" s="355" t="s">
        <v>1330</v>
      </c>
      <c r="E1087" s="356"/>
      <c r="F1087" s="356">
        <v>18015</v>
      </c>
      <c r="G1087" s="355" t="s">
        <v>1294</v>
      </c>
      <c r="H1087" s="357" t="s">
        <v>327</v>
      </c>
      <c r="I1087" s="357" t="s">
        <v>242</v>
      </c>
      <c r="J1087" s="357" t="s">
        <v>996</v>
      </c>
      <c r="K1087" s="426" t="str">
        <f>HYPERLINK("https://okcountyrecords.com/detail/roger+mills/1949-003605","OKCountyRecords: 1949-003605")</f>
        <v>OKCountyRecords: 1949-003605</v>
      </c>
    </row>
    <row r="1088" spans="1:11" ht="25.5" hidden="1" x14ac:dyDescent="0.25">
      <c r="A1088" s="355" t="s">
        <v>1351</v>
      </c>
      <c r="B1088" s="355"/>
      <c r="C1088" s="355" t="s">
        <v>993</v>
      </c>
      <c r="D1088" s="355" t="s">
        <v>1352</v>
      </c>
      <c r="E1088" s="356"/>
      <c r="F1088" s="356">
        <v>18169</v>
      </c>
      <c r="G1088" s="355" t="s">
        <v>326</v>
      </c>
      <c r="H1088" s="357" t="s">
        <v>329</v>
      </c>
      <c r="I1088" s="357" t="s">
        <v>242</v>
      </c>
      <c r="J1088" s="357" t="s">
        <v>996</v>
      </c>
      <c r="K1088" s="426" t="str">
        <f>HYPERLINK("https://okcountyrecords.com/detail/roger+mills/1949-003639","OKCountyRecords: 1949-003639")</f>
        <v>OKCountyRecords: 1949-003639</v>
      </c>
    </row>
    <row r="1089" spans="1:11" ht="25.5" hidden="1" x14ac:dyDescent="0.25">
      <c r="A1089" s="355" t="s">
        <v>1374</v>
      </c>
      <c r="B1089" s="355"/>
      <c r="C1089" s="355" t="s">
        <v>993</v>
      </c>
      <c r="D1089" s="355" t="s">
        <v>1375</v>
      </c>
      <c r="E1089" s="356"/>
      <c r="F1089" s="356">
        <v>19403</v>
      </c>
      <c r="G1089" s="357" t="s">
        <v>1373</v>
      </c>
      <c r="H1089" s="357" t="s">
        <v>1372</v>
      </c>
      <c r="I1089" s="357" t="s">
        <v>1012</v>
      </c>
      <c r="J1089" s="357" t="s">
        <v>996</v>
      </c>
      <c r="K1089" s="426" t="str">
        <f>HYPERLINK("https://okcountyrecords.com/detail/roger+mills/1953-001402","OKCountyRecords: 1953-001402")</f>
        <v>OKCountyRecords: 1953-001402</v>
      </c>
    </row>
    <row r="1090" spans="1:11" ht="25.5" hidden="1" x14ac:dyDescent="0.25">
      <c r="A1090" s="355" t="s">
        <v>1382</v>
      </c>
      <c r="B1090" s="355"/>
      <c r="C1090" s="355" t="s">
        <v>993</v>
      </c>
      <c r="D1090" s="355" t="s">
        <v>1383</v>
      </c>
      <c r="E1090" s="356"/>
      <c r="F1090" s="356">
        <v>19935</v>
      </c>
      <c r="G1090" s="355" t="s">
        <v>336</v>
      </c>
      <c r="H1090" s="357" t="s">
        <v>335</v>
      </c>
      <c r="I1090" s="357" t="s">
        <v>1012</v>
      </c>
      <c r="J1090" s="357" t="s">
        <v>996</v>
      </c>
      <c r="K1090" s="426" t="str">
        <f>HYPERLINK("https://okcountyrecords.com/detail/roger+mills/1954-001418","OKCountyRecords: 1954-001418")</f>
        <v>OKCountyRecords: 1954-001418</v>
      </c>
    </row>
    <row r="1091" spans="1:11" hidden="1" x14ac:dyDescent="0.25">
      <c r="A1091" s="355" t="s">
        <v>1386</v>
      </c>
      <c r="B1091" s="355"/>
      <c r="C1091" s="355" t="s">
        <v>993</v>
      </c>
      <c r="D1091" s="355" t="s">
        <v>1387</v>
      </c>
      <c r="E1091" s="356"/>
      <c r="F1091" s="356">
        <v>20654</v>
      </c>
      <c r="G1091" s="355" t="s">
        <v>1342</v>
      </c>
      <c r="H1091" s="355" t="s">
        <v>1094</v>
      </c>
      <c r="I1091" s="357" t="s">
        <v>242</v>
      </c>
      <c r="J1091" s="357" t="s">
        <v>996</v>
      </c>
      <c r="K1091" s="426" t="str">
        <f>HYPERLINK("https://okcountyrecords.com/detail/roger+mills/1956-001377","OKCountyRecords: 1956-001377")</f>
        <v>OKCountyRecords: 1956-001377</v>
      </c>
    </row>
    <row r="1092" spans="1:11" ht="409.5" hidden="1" x14ac:dyDescent="0.25">
      <c r="A1092" s="355" t="s">
        <v>1392</v>
      </c>
      <c r="B1092" s="355"/>
      <c r="C1092" s="355" t="s">
        <v>993</v>
      </c>
      <c r="D1092" s="355" t="s">
        <v>1393</v>
      </c>
      <c r="E1092" s="356"/>
      <c r="F1092" s="356">
        <v>21177</v>
      </c>
      <c r="G1092" s="355" t="s">
        <v>1315</v>
      </c>
      <c r="H1092" s="357" t="s">
        <v>1394</v>
      </c>
      <c r="I1092" s="357" t="s">
        <v>1003</v>
      </c>
      <c r="J1092" s="428" t="s">
        <v>1395</v>
      </c>
      <c r="K1092" s="426" t="str">
        <f>HYPERLINK("https://okcountyrecords.com/detail/roger+mills/1957-002580","OKCountyRecords: 1957-002580")</f>
        <v>OKCountyRecords: 1957-002580</v>
      </c>
    </row>
    <row r="1093" spans="1:11" ht="38.25" hidden="1" x14ac:dyDescent="0.25">
      <c r="A1093" s="355" t="s">
        <v>1396</v>
      </c>
      <c r="B1093" s="355"/>
      <c r="C1093" s="355" t="s">
        <v>993</v>
      </c>
      <c r="D1093" s="355" t="s">
        <v>1397</v>
      </c>
      <c r="E1093" s="356"/>
      <c r="F1093" s="356">
        <v>21286</v>
      </c>
      <c r="G1093" s="355" t="s">
        <v>1342</v>
      </c>
      <c r="H1093" s="357" t="s">
        <v>1398</v>
      </c>
      <c r="I1093" s="357" t="s">
        <v>1012</v>
      </c>
      <c r="J1093" s="357" t="s">
        <v>996</v>
      </c>
      <c r="K1093" s="426" t="str">
        <f>HYPERLINK("https://okcountyrecords.com/detail/roger+mills/1958-002778","OKCountyRecords: 1958-002778")</f>
        <v>OKCountyRecords: 1958-002778</v>
      </c>
    </row>
    <row r="1094" spans="1:11" ht="63.75" hidden="1" x14ac:dyDescent="0.25">
      <c r="A1094" s="355" t="s">
        <v>1399</v>
      </c>
      <c r="B1094" s="355"/>
      <c r="C1094" s="355" t="s">
        <v>993</v>
      </c>
      <c r="D1094" s="355" t="s">
        <v>1400</v>
      </c>
      <c r="E1094" s="356"/>
      <c r="F1094" s="356">
        <v>21307</v>
      </c>
      <c r="G1094" s="355" t="s">
        <v>1342</v>
      </c>
      <c r="H1094" s="357" t="s">
        <v>1401</v>
      </c>
      <c r="I1094" s="357" t="s">
        <v>1012</v>
      </c>
      <c r="J1094" s="357" t="s">
        <v>996</v>
      </c>
      <c r="K1094" s="426" t="str">
        <f>HYPERLINK("https://okcountyrecords.com/detail/roger+mills/1958-002810","OKCountyRecords: 1958-002810")</f>
        <v>OKCountyRecords: 1958-002810</v>
      </c>
    </row>
    <row r="1095" spans="1:11" hidden="1" x14ac:dyDescent="0.25">
      <c r="A1095" s="355" t="s">
        <v>1384</v>
      </c>
      <c r="B1095" s="355"/>
      <c r="C1095" s="355" t="s">
        <v>993</v>
      </c>
      <c r="D1095" s="355" t="s">
        <v>1385</v>
      </c>
      <c r="E1095" s="356"/>
      <c r="F1095" s="356">
        <v>20617</v>
      </c>
      <c r="G1095" s="355" t="s">
        <v>1309</v>
      </c>
      <c r="H1095" s="355" t="s">
        <v>1231</v>
      </c>
      <c r="I1095" s="357" t="s">
        <v>242</v>
      </c>
      <c r="J1095" s="357" t="s">
        <v>996</v>
      </c>
      <c r="K1095" s="426" t="str">
        <f>HYPERLINK("https://okcountyrecords.com/detail/roger+mills/1956-001415","OKCountyRecords: 1956-001415")</f>
        <v>OKCountyRecords: 1956-001415</v>
      </c>
    </row>
    <row r="1096" spans="1:11" ht="25.5" hidden="1" x14ac:dyDescent="0.25">
      <c r="A1096" s="355" t="s">
        <v>1364</v>
      </c>
      <c r="B1096" s="355"/>
      <c r="C1096" s="355" t="s">
        <v>993</v>
      </c>
      <c r="D1096" s="355" t="s">
        <v>1365</v>
      </c>
      <c r="E1096" s="356"/>
      <c r="F1096" s="356">
        <v>19099</v>
      </c>
      <c r="G1096" s="355" t="s">
        <v>1309</v>
      </c>
      <c r="H1096" s="357" t="s">
        <v>335</v>
      </c>
      <c r="I1096" s="357" t="s">
        <v>242</v>
      </c>
      <c r="J1096" s="357" t="s">
        <v>996</v>
      </c>
      <c r="K1096" s="426" t="str">
        <f>HYPERLINK("https://okcountyrecords.com/detail/roger+mills/1952-001426","OKCountyRecords: 1952-001426")</f>
        <v>OKCountyRecords: 1952-001426</v>
      </c>
    </row>
    <row r="1097" spans="1:11" ht="25.5" hidden="1" x14ac:dyDescent="0.25">
      <c r="A1097" s="355" t="s">
        <v>1366</v>
      </c>
      <c r="B1097" s="355"/>
      <c r="C1097" s="355" t="s">
        <v>993</v>
      </c>
      <c r="D1097" s="355" t="s">
        <v>1367</v>
      </c>
      <c r="E1097" s="356"/>
      <c r="F1097" s="356">
        <v>19099</v>
      </c>
      <c r="G1097" s="355" t="s">
        <v>1309</v>
      </c>
      <c r="H1097" s="357" t="s">
        <v>1368</v>
      </c>
      <c r="I1097" s="357" t="s">
        <v>1012</v>
      </c>
      <c r="J1097" s="428" t="s">
        <v>1369</v>
      </c>
      <c r="K1097" s="426" t="str">
        <f>HYPERLINK("https://okcountyrecords.com/detail/roger+mills/1952-001427","OKCountyRecords: 1952-001427")</f>
        <v>OKCountyRecords: 1952-001427</v>
      </c>
    </row>
    <row r="1098" spans="1:11" ht="25.5" hidden="1" x14ac:dyDescent="0.25">
      <c r="A1098" s="355" t="s">
        <v>1044</v>
      </c>
      <c r="B1098" s="355"/>
      <c r="C1098" s="355" t="s">
        <v>993</v>
      </c>
      <c r="D1098" s="355" t="s">
        <v>1045</v>
      </c>
      <c r="E1098" s="356"/>
      <c r="F1098" s="356">
        <v>5328</v>
      </c>
      <c r="G1098" s="355" t="s">
        <v>1022</v>
      </c>
      <c r="H1098" s="357" t="s">
        <v>1046</v>
      </c>
      <c r="I1098" s="357" t="s">
        <v>1012</v>
      </c>
      <c r="J1098" s="357" t="s">
        <v>996</v>
      </c>
      <c r="K1098" s="426" t="str">
        <f>HYPERLINK("https://okcountyrecords.com/detail/roger+mills/1914-002098","OKCountyRecords: 1914-002098")</f>
        <v>OKCountyRecords: 1914-002098</v>
      </c>
    </row>
    <row r="1099" spans="1:11" ht="25.5" hidden="1" x14ac:dyDescent="0.25">
      <c r="A1099" s="355" t="s">
        <v>1054</v>
      </c>
      <c r="B1099" s="355"/>
      <c r="C1099" s="355" t="s">
        <v>993</v>
      </c>
      <c r="D1099" s="355" t="s">
        <v>1055</v>
      </c>
      <c r="E1099" s="356"/>
      <c r="F1099" s="356">
        <v>5439</v>
      </c>
      <c r="G1099" s="355" t="s">
        <v>1000</v>
      </c>
      <c r="H1099" s="357" t="s">
        <v>1056</v>
      </c>
      <c r="I1099" s="357" t="s">
        <v>242</v>
      </c>
      <c r="J1099" s="357" t="s">
        <v>996</v>
      </c>
      <c r="K1099" s="426" t="str">
        <f>HYPERLINK("https://okcountyrecords.com/detail/roger+mills/1914-002143","OKCountyRecords: 1914-002143")</f>
        <v>OKCountyRecords: 1914-002143</v>
      </c>
    </row>
    <row r="1100" spans="1:11" ht="25.5" hidden="1" x14ac:dyDescent="0.25">
      <c r="A1100" s="355" t="s">
        <v>1063</v>
      </c>
      <c r="B1100" s="355"/>
      <c r="C1100" s="355" t="s">
        <v>993</v>
      </c>
      <c r="D1100" s="355" t="s">
        <v>1064</v>
      </c>
      <c r="E1100" s="356"/>
      <c r="F1100" s="356">
        <v>6271</v>
      </c>
      <c r="G1100" s="355" t="s">
        <v>1000</v>
      </c>
      <c r="H1100" s="357" t="s">
        <v>1065</v>
      </c>
      <c r="I1100" s="357" t="s">
        <v>242</v>
      </c>
      <c r="J1100" s="357" t="s">
        <v>996</v>
      </c>
      <c r="K1100" s="426" t="str">
        <f>HYPERLINK("https://okcountyrecords.com/detail/roger+mills/1917-004125","OKCountyRecords: 1917-004125")</f>
        <v>OKCountyRecords: 1917-004125</v>
      </c>
    </row>
    <row r="1101" spans="1:11" ht="25.5" hidden="1" x14ac:dyDescent="0.25">
      <c r="A1101" s="355" t="s">
        <v>1040</v>
      </c>
      <c r="B1101" s="355"/>
      <c r="C1101" s="355" t="s">
        <v>993</v>
      </c>
      <c r="D1101" s="355" t="s">
        <v>1041</v>
      </c>
      <c r="E1101" s="356"/>
      <c r="F1101" s="356">
        <v>5287</v>
      </c>
      <c r="G1101" s="355" t="s">
        <v>1042</v>
      </c>
      <c r="H1101" s="357" t="s">
        <v>1043</v>
      </c>
      <c r="I1101" s="357" t="s">
        <v>1012</v>
      </c>
      <c r="J1101" s="357" t="s">
        <v>996</v>
      </c>
      <c r="K1101" s="426" t="str">
        <f>HYPERLINK("https://okcountyrecords.com/detail/roger+mills/1914-002273","OKCountyRecords: 1914-002273")</f>
        <v>OKCountyRecords: 1914-002273</v>
      </c>
    </row>
    <row r="1102" spans="1:11" ht="25.5" hidden="1" x14ac:dyDescent="0.25">
      <c r="A1102" s="355" t="s">
        <v>1047</v>
      </c>
      <c r="B1102" s="355"/>
      <c r="C1102" s="355" t="s">
        <v>993</v>
      </c>
      <c r="D1102" s="355" t="s">
        <v>1048</v>
      </c>
      <c r="E1102" s="356"/>
      <c r="F1102" s="356">
        <v>5340</v>
      </c>
      <c r="G1102" s="355" t="s">
        <v>1049</v>
      </c>
      <c r="H1102" s="357" t="s">
        <v>314</v>
      </c>
      <c r="I1102" s="357" t="s">
        <v>242</v>
      </c>
      <c r="J1102" s="357" t="s">
        <v>996</v>
      </c>
      <c r="K1102" s="426" t="str">
        <f>HYPERLINK("https://okcountyrecords.com/detail/roger+mills/1914-002382","OKCountyRecords: 1914-002382")</f>
        <v>OKCountyRecords: 1914-002382</v>
      </c>
    </row>
    <row r="1103" spans="1:11" ht="25.5" hidden="1" x14ac:dyDescent="0.25">
      <c r="A1103" s="355" t="s">
        <v>1159</v>
      </c>
      <c r="B1103" s="355"/>
      <c r="C1103" s="355" t="s">
        <v>993</v>
      </c>
      <c r="D1103" s="355" t="s">
        <v>1160</v>
      </c>
      <c r="E1103" s="356"/>
      <c r="F1103" s="356">
        <v>9801</v>
      </c>
      <c r="G1103" s="355" t="s">
        <v>1116</v>
      </c>
      <c r="H1103" s="357" t="s">
        <v>1161</v>
      </c>
      <c r="I1103" s="357" t="s">
        <v>242</v>
      </c>
      <c r="J1103" s="357" t="s">
        <v>996</v>
      </c>
      <c r="K1103" s="426" t="str">
        <f>HYPERLINK("https://okcountyrecords.com/detail/roger+mills/1926-001354","OKCountyRecords: 1926-001354")</f>
        <v>OKCountyRecords: 1926-001354</v>
      </c>
    </row>
    <row r="1104" spans="1:11" ht="25.5" hidden="1" x14ac:dyDescent="0.25">
      <c r="A1104" s="355" t="s">
        <v>1172</v>
      </c>
      <c r="B1104" s="355"/>
      <c r="C1104" s="355" t="s">
        <v>993</v>
      </c>
      <c r="D1104" s="355" t="s">
        <v>1173</v>
      </c>
      <c r="E1104" s="356"/>
      <c r="F1104" s="356">
        <v>10920</v>
      </c>
      <c r="G1104" s="355" t="s">
        <v>1116</v>
      </c>
      <c r="H1104" s="357" t="s">
        <v>329</v>
      </c>
      <c r="I1104" s="357" t="s">
        <v>242</v>
      </c>
      <c r="J1104" s="357" t="s">
        <v>996</v>
      </c>
      <c r="K1104" s="426" t="str">
        <f>HYPERLINK("https://okcountyrecords.com/detail/roger+mills/1929-002475","OKCountyRecords: 1929-002475")</f>
        <v>OKCountyRecords: 1929-002475</v>
      </c>
    </row>
    <row r="1105" spans="1:11" ht="25.5" hidden="1" x14ac:dyDescent="0.25">
      <c r="A1105" s="355" t="s">
        <v>1087</v>
      </c>
      <c r="B1105" s="355"/>
      <c r="C1105" s="355" t="s">
        <v>993</v>
      </c>
      <c r="D1105" s="355" t="s">
        <v>1088</v>
      </c>
      <c r="E1105" s="356"/>
      <c r="F1105" s="356">
        <v>6888</v>
      </c>
      <c r="G1105" s="355" t="s">
        <v>1089</v>
      </c>
      <c r="H1105" s="357" t="s">
        <v>314</v>
      </c>
      <c r="I1105" s="357" t="s">
        <v>242</v>
      </c>
      <c r="J1105" s="357" t="s">
        <v>996</v>
      </c>
      <c r="K1105" s="426" t="str">
        <f>HYPERLINK("https://okcountyrecords.com/detail/roger+mills/1918-002849","OKCountyRecords: 1918-002849")</f>
        <v>OKCountyRecords: 1918-002849</v>
      </c>
    </row>
    <row r="1106" spans="1:11" hidden="1" x14ac:dyDescent="0.25">
      <c r="A1106" s="355" t="s">
        <v>1075</v>
      </c>
      <c r="B1106" s="355"/>
      <c r="C1106" s="355" t="s">
        <v>993</v>
      </c>
      <c r="D1106" s="355" t="s">
        <v>1076</v>
      </c>
      <c r="E1106" s="356"/>
      <c r="F1106" s="356">
        <v>6566</v>
      </c>
      <c r="G1106" s="355" t="s">
        <v>1039</v>
      </c>
      <c r="H1106" s="355" t="s">
        <v>1077</v>
      </c>
      <c r="I1106" s="357" t="s">
        <v>242</v>
      </c>
      <c r="J1106" s="357" t="s">
        <v>996</v>
      </c>
      <c r="K1106" s="426" t="str">
        <f>HYPERLINK("https://okcountyrecords.com/detail/roger+mills/1917-004775","OKCountyRecords: 1917-004775")</f>
        <v>OKCountyRecords: 1917-004775</v>
      </c>
    </row>
    <row r="1107" spans="1:11" x14ac:dyDescent="0.25">
      <c r="A1107" s="351"/>
      <c r="B1107" s="351"/>
      <c r="C1107" s="351"/>
      <c r="D1107" s="351"/>
      <c r="E1107" s="352"/>
      <c r="F1107" s="352"/>
      <c r="G1107" s="351"/>
      <c r="H1107" s="351"/>
      <c r="I1107" s="351"/>
      <c r="J1107" s="353"/>
      <c r="K1107" s="609"/>
    </row>
    <row r="1108" spans="1:11" x14ac:dyDescent="0.25">
      <c r="A1108" s="351"/>
      <c r="B1108" s="351"/>
      <c r="C1108" s="351"/>
      <c r="D1108" s="351"/>
      <c r="E1108" s="352"/>
      <c r="F1108" s="352"/>
      <c r="G1108" s="351"/>
      <c r="H1108" s="351"/>
      <c r="I1108" s="351"/>
      <c r="J1108" s="351"/>
      <c r="K1108" s="609"/>
    </row>
    <row r="1109" spans="1:11" x14ac:dyDescent="0.25">
      <c r="A1109" s="351"/>
      <c r="B1109" s="351"/>
      <c r="C1109" s="351"/>
      <c r="D1109" s="351"/>
      <c r="E1109" s="352"/>
      <c r="F1109" s="352"/>
      <c r="G1109" s="351"/>
      <c r="H1109" s="351"/>
      <c r="I1109" s="351"/>
      <c r="J1109" s="351"/>
      <c r="K1109" s="609"/>
    </row>
    <row r="1110" spans="1:11" x14ac:dyDescent="0.25">
      <c r="A1110" s="351"/>
      <c r="B1110" s="351"/>
      <c r="C1110" s="351"/>
      <c r="D1110" s="351"/>
      <c r="E1110" s="352"/>
      <c r="F1110" s="352"/>
      <c r="G1110" s="351"/>
      <c r="H1110" s="351"/>
      <c r="I1110" s="351"/>
      <c r="J1110" s="351"/>
      <c r="K1110" s="609"/>
    </row>
    <row r="1111" spans="1:11" x14ac:dyDescent="0.25">
      <c r="A1111" s="351"/>
      <c r="B1111" s="351"/>
      <c r="C1111" s="353"/>
      <c r="D1111" s="351"/>
      <c r="E1111" s="352"/>
      <c r="F1111" s="352"/>
      <c r="G1111" s="353"/>
      <c r="H1111" s="351"/>
      <c r="I1111" s="353"/>
      <c r="J1111" s="353"/>
      <c r="K1111" s="354"/>
    </row>
    <row r="1112" spans="1:11" x14ac:dyDescent="0.25">
      <c r="A1112" s="351"/>
      <c r="B1112" s="351"/>
      <c r="C1112" s="353"/>
      <c r="D1112" s="351"/>
      <c r="E1112" s="352"/>
      <c r="F1112" s="352"/>
      <c r="G1112" s="353"/>
      <c r="H1112" s="351"/>
      <c r="I1112" s="353"/>
      <c r="J1112" s="353"/>
      <c r="K1112" s="354"/>
    </row>
    <row r="1113" spans="1:11" x14ac:dyDescent="0.25">
      <c r="A1113" s="351"/>
      <c r="B1113" s="351"/>
      <c r="C1113" s="353"/>
      <c r="D1113" s="351"/>
      <c r="E1113" s="352"/>
      <c r="F1113" s="352"/>
      <c r="G1113" s="353"/>
      <c r="H1113" s="351"/>
      <c r="I1113" s="353"/>
      <c r="J1113" s="353"/>
      <c r="K1113" s="354"/>
    </row>
    <row r="1114" spans="1:11" x14ac:dyDescent="0.25">
      <c r="A1114" s="351"/>
      <c r="B1114" s="351"/>
      <c r="C1114" s="353"/>
      <c r="D1114" s="351"/>
      <c r="E1114" s="352"/>
      <c r="F1114" s="352"/>
      <c r="G1114" s="353"/>
      <c r="H1114" s="351"/>
      <c r="I1114" s="353"/>
      <c r="J1114" s="353"/>
      <c r="K1114" s="354"/>
    </row>
    <row r="1115" spans="1:11" x14ac:dyDescent="0.25">
      <c r="A1115" s="351"/>
      <c r="B1115" s="351"/>
      <c r="C1115" s="353"/>
      <c r="D1115" s="351"/>
      <c r="E1115" s="352"/>
      <c r="F1115" s="352"/>
      <c r="G1115" s="353"/>
      <c r="H1115" s="351"/>
      <c r="I1115" s="353"/>
      <c r="J1115" s="353"/>
      <c r="K1115" s="354"/>
    </row>
    <row r="1116" spans="1:11" x14ac:dyDescent="0.25">
      <c r="A1116" s="351"/>
      <c r="B1116" s="351"/>
      <c r="C1116" s="353"/>
      <c r="D1116" s="351"/>
      <c r="E1116" s="352"/>
      <c r="F1116" s="352"/>
      <c r="G1116" s="353"/>
      <c r="H1116" s="351"/>
      <c r="I1116" s="353"/>
      <c r="J1116" s="353"/>
      <c r="K1116" s="354"/>
    </row>
    <row r="1117" spans="1:11" x14ac:dyDescent="0.25">
      <c r="A1117" s="351"/>
      <c r="B1117" s="351"/>
      <c r="C1117" s="353"/>
      <c r="D1117" s="351"/>
      <c r="E1117" s="352"/>
      <c r="F1117" s="352"/>
      <c r="G1117" s="353"/>
      <c r="H1117" s="351"/>
      <c r="I1117" s="353"/>
      <c r="J1117" s="353"/>
      <c r="K1117" s="354"/>
    </row>
    <row r="1118" spans="1:11" x14ac:dyDescent="0.25">
      <c r="A1118" s="351"/>
      <c r="B1118" s="351"/>
      <c r="C1118" s="353"/>
      <c r="D1118" s="351"/>
      <c r="E1118" s="352"/>
      <c r="F1118" s="352"/>
      <c r="G1118" s="353"/>
      <c r="H1118" s="351"/>
      <c r="I1118" s="353"/>
      <c r="J1118" s="353"/>
      <c r="K1118" s="354"/>
    </row>
    <row r="1119" spans="1:11" x14ac:dyDescent="0.25">
      <c r="A1119" s="351"/>
      <c r="B1119" s="351"/>
      <c r="C1119" s="353"/>
      <c r="D1119" s="351"/>
      <c r="E1119" s="352"/>
      <c r="F1119" s="352"/>
      <c r="G1119" s="353"/>
      <c r="H1119" s="351"/>
      <c r="I1119" s="353"/>
      <c r="J1119" s="353"/>
      <c r="K1119" s="354"/>
    </row>
    <row r="1120" spans="1:11" x14ac:dyDescent="0.25">
      <c r="A1120" s="351"/>
      <c r="B1120" s="351"/>
      <c r="C1120" s="353"/>
      <c r="D1120" s="351"/>
      <c r="E1120" s="352"/>
      <c r="F1120" s="352"/>
      <c r="G1120" s="353"/>
      <c r="H1120" s="351"/>
      <c r="I1120" s="353"/>
      <c r="J1120" s="353"/>
      <c r="K1120" s="354"/>
    </row>
    <row r="1121" spans="1:11" x14ac:dyDescent="0.25">
      <c r="A1121" s="351"/>
      <c r="B1121" s="351"/>
      <c r="C1121" s="353"/>
      <c r="D1121" s="351"/>
      <c r="E1121" s="352"/>
      <c r="F1121" s="352"/>
      <c r="G1121" s="353"/>
      <c r="H1121" s="351"/>
      <c r="I1121" s="353"/>
      <c r="J1121" s="353"/>
      <c r="K1121" s="354"/>
    </row>
    <row r="1122" spans="1:11" x14ac:dyDescent="0.25">
      <c r="A1122" s="351"/>
      <c r="B1122" s="351"/>
      <c r="C1122" s="353"/>
      <c r="D1122" s="351"/>
      <c r="E1122" s="352"/>
      <c r="F1122" s="352"/>
      <c r="G1122" s="353"/>
      <c r="H1122" s="351"/>
      <c r="I1122" s="353"/>
      <c r="J1122" s="353"/>
      <c r="K1122" s="354"/>
    </row>
    <row r="1123" spans="1:11" x14ac:dyDescent="0.25">
      <c r="A1123" s="351"/>
      <c r="B1123" s="351"/>
      <c r="C1123" s="353"/>
      <c r="D1123" s="351"/>
      <c r="E1123" s="352"/>
      <c r="F1123" s="352"/>
      <c r="G1123" s="353"/>
      <c r="H1123" s="351"/>
      <c r="I1123" s="353"/>
      <c r="J1123" s="353"/>
      <c r="K1123" s="354"/>
    </row>
    <row r="1124" spans="1:11" x14ac:dyDescent="0.25">
      <c r="A1124" s="351"/>
      <c r="B1124" s="351"/>
      <c r="C1124" s="353"/>
      <c r="D1124" s="351"/>
      <c r="E1124" s="352"/>
      <c r="F1124" s="352"/>
      <c r="G1124" s="353"/>
      <c r="H1124" s="351"/>
      <c r="I1124" s="353"/>
      <c r="J1124" s="353"/>
      <c r="K1124" s="354"/>
    </row>
    <row r="1125" spans="1:11" x14ac:dyDescent="0.25">
      <c r="A1125" s="351"/>
      <c r="B1125" s="351"/>
      <c r="C1125" s="353"/>
      <c r="D1125" s="351"/>
      <c r="E1125" s="352"/>
      <c r="F1125" s="352"/>
      <c r="G1125" s="353"/>
      <c r="H1125" s="351"/>
      <c r="I1125" s="353"/>
      <c r="J1125" s="353"/>
      <c r="K1125" s="354"/>
    </row>
    <row r="1126" spans="1:11" x14ac:dyDescent="0.25">
      <c r="A1126" s="351"/>
      <c r="B1126" s="351"/>
      <c r="C1126" s="353"/>
      <c r="D1126" s="351"/>
      <c r="E1126" s="352"/>
      <c r="F1126" s="352"/>
      <c r="G1126" s="353"/>
      <c r="H1126" s="351"/>
      <c r="I1126" s="353"/>
      <c r="J1126" s="353"/>
      <c r="K1126" s="354"/>
    </row>
    <row r="1127" spans="1:11" x14ac:dyDescent="0.25">
      <c r="A1127" s="351"/>
      <c r="B1127" s="351"/>
      <c r="C1127" s="353"/>
      <c r="D1127" s="351"/>
      <c r="E1127" s="352"/>
      <c r="F1127" s="352"/>
      <c r="G1127" s="353"/>
      <c r="H1127" s="351"/>
      <c r="I1127" s="353"/>
      <c r="J1127" s="353"/>
      <c r="K1127" s="354"/>
    </row>
    <row r="1128" spans="1:11" x14ac:dyDescent="0.25">
      <c r="A1128" s="351"/>
      <c r="B1128" s="351"/>
      <c r="C1128" s="353"/>
      <c r="D1128" s="351"/>
      <c r="E1128" s="352"/>
      <c r="F1128" s="352"/>
      <c r="G1128" s="353"/>
      <c r="H1128" s="351"/>
      <c r="I1128" s="353"/>
      <c r="J1128" s="353"/>
      <c r="K1128" s="354"/>
    </row>
    <row r="1129" spans="1:11" x14ac:dyDescent="0.25">
      <c r="A1129" s="351"/>
      <c r="B1129" s="351"/>
      <c r="C1129" s="353"/>
      <c r="D1129" s="351"/>
      <c r="E1129" s="352"/>
      <c r="F1129" s="352"/>
      <c r="G1129" s="353"/>
      <c r="H1129" s="351"/>
      <c r="I1129" s="353"/>
      <c r="J1129" s="353"/>
      <c r="K1129" s="354"/>
    </row>
    <row r="1130" spans="1:11" x14ac:dyDescent="0.25">
      <c r="A1130" s="351"/>
      <c r="B1130" s="351"/>
      <c r="C1130" s="353"/>
      <c r="D1130" s="351"/>
      <c r="E1130" s="352"/>
      <c r="F1130" s="352"/>
      <c r="G1130" s="353"/>
      <c r="H1130" s="351"/>
      <c r="I1130" s="353"/>
      <c r="J1130" s="353"/>
      <c r="K1130" s="354"/>
    </row>
    <row r="1131" spans="1:11" x14ac:dyDescent="0.25">
      <c r="A1131" s="351"/>
      <c r="B1131" s="351"/>
      <c r="C1131" s="353"/>
      <c r="D1131" s="351"/>
      <c r="E1131" s="352"/>
      <c r="F1131" s="352"/>
      <c r="G1131" s="353"/>
      <c r="H1131" s="351"/>
      <c r="I1131" s="353"/>
      <c r="J1131" s="353"/>
      <c r="K1131" s="354"/>
    </row>
    <row r="1132" spans="1:11" x14ac:dyDescent="0.25">
      <c r="A1132" s="351"/>
      <c r="B1132" s="351"/>
      <c r="C1132" s="353"/>
      <c r="D1132" s="351"/>
      <c r="E1132" s="352"/>
      <c r="F1132" s="352"/>
      <c r="G1132" s="353"/>
      <c r="H1132" s="351"/>
      <c r="I1132" s="353"/>
      <c r="J1132" s="353"/>
      <c r="K1132" s="354"/>
    </row>
    <row r="1133" spans="1:11" x14ac:dyDescent="0.25">
      <c r="A1133" s="351"/>
      <c r="B1133" s="351"/>
      <c r="C1133" s="353"/>
      <c r="D1133" s="351"/>
      <c r="E1133" s="352"/>
      <c r="F1133" s="352"/>
      <c r="G1133" s="353"/>
      <c r="H1133" s="351"/>
      <c r="I1133" s="353"/>
      <c r="J1133" s="353"/>
      <c r="K1133" s="354"/>
    </row>
    <row r="1134" spans="1:11" x14ac:dyDescent="0.25">
      <c r="A1134" s="351"/>
      <c r="B1134" s="351"/>
      <c r="C1134" s="353"/>
      <c r="D1134" s="351"/>
      <c r="E1134" s="352"/>
      <c r="F1134" s="352"/>
      <c r="G1134" s="353"/>
      <c r="H1134" s="351"/>
      <c r="I1134" s="353"/>
      <c r="J1134" s="353"/>
      <c r="K1134" s="354"/>
    </row>
    <row r="1135" spans="1:11" x14ac:dyDescent="0.25">
      <c r="A1135" s="351"/>
      <c r="B1135" s="351"/>
      <c r="C1135" s="353"/>
      <c r="D1135" s="351"/>
      <c r="E1135" s="352"/>
      <c r="F1135" s="352"/>
      <c r="G1135" s="353"/>
      <c r="H1135" s="351"/>
      <c r="I1135" s="353"/>
      <c r="J1135" s="353"/>
      <c r="K1135" s="354"/>
    </row>
    <row r="1136" spans="1:11" x14ac:dyDescent="0.25">
      <c r="A1136" s="351"/>
      <c r="B1136" s="351"/>
      <c r="C1136" s="353"/>
      <c r="D1136" s="351"/>
      <c r="E1136" s="352"/>
      <c r="F1136" s="352"/>
      <c r="G1136" s="353"/>
      <c r="H1136" s="351"/>
      <c r="I1136" s="353"/>
      <c r="J1136" s="353"/>
      <c r="K1136" s="354"/>
    </row>
    <row r="1137" spans="1:11" x14ac:dyDescent="0.25">
      <c r="A1137" s="351"/>
      <c r="B1137" s="351"/>
      <c r="C1137" s="353"/>
      <c r="D1137" s="351"/>
      <c r="E1137" s="352"/>
      <c r="F1137" s="352"/>
      <c r="G1137" s="353"/>
      <c r="H1137" s="351"/>
      <c r="I1137" s="353"/>
      <c r="J1137" s="353"/>
      <c r="K1137" s="354"/>
    </row>
    <row r="1138" spans="1:11" x14ac:dyDescent="0.25">
      <c r="A1138" s="351"/>
      <c r="B1138" s="351"/>
      <c r="C1138" s="353"/>
      <c r="D1138" s="351"/>
      <c r="E1138" s="352"/>
      <c r="F1138" s="352"/>
      <c r="G1138" s="353"/>
      <c r="H1138" s="351"/>
      <c r="I1138" s="353"/>
      <c r="J1138" s="353"/>
      <c r="K1138" s="354"/>
    </row>
    <row r="1139" spans="1:11" x14ac:dyDescent="0.25">
      <c r="A1139" s="351"/>
      <c r="B1139" s="351"/>
      <c r="C1139" s="353"/>
      <c r="D1139" s="351"/>
      <c r="E1139" s="352"/>
      <c r="F1139" s="352"/>
      <c r="G1139" s="353"/>
      <c r="H1139" s="351"/>
      <c r="I1139" s="353"/>
      <c r="J1139" s="353"/>
      <c r="K1139" s="354"/>
    </row>
    <row r="1140" spans="1:11" x14ac:dyDescent="0.25">
      <c r="A1140" s="351"/>
      <c r="B1140" s="351"/>
      <c r="C1140" s="353"/>
      <c r="D1140" s="351"/>
      <c r="E1140" s="352"/>
      <c r="F1140" s="352"/>
      <c r="G1140" s="353"/>
      <c r="H1140" s="351"/>
      <c r="I1140" s="353"/>
      <c r="J1140" s="353"/>
      <c r="K1140" s="354"/>
    </row>
    <row r="1141" spans="1:11" x14ac:dyDescent="0.25">
      <c r="A1141" s="351"/>
      <c r="B1141" s="351"/>
      <c r="C1141" s="353"/>
      <c r="D1141" s="351"/>
      <c r="E1141" s="352"/>
      <c r="F1141" s="352"/>
      <c r="G1141" s="353"/>
      <c r="H1141" s="351"/>
      <c r="I1141" s="353"/>
      <c r="J1141" s="353"/>
      <c r="K1141" s="354"/>
    </row>
    <row r="1142" spans="1:11" x14ac:dyDescent="0.25">
      <c r="A1142" s="351"/>
      <c r="B1142" s="351"/>
      <c r="C1142" s="353"/>
      <c r="D1142" s="351"/>
      <c r="E1142" s="352"/>
      <c r="F1142" s="352"/>
      <c r="G1142" s="353"/>
      <c r="H1142" s="351"/>
      <c r="I1142" s="353"/>
      <c r="J1142" s="353"/>
      <c r="K1142" s="354"/>
    </row>
    <row r="1143" spans="1:11" x14ac:dyDescent="0.25">
      <c r="A1143" s="351"/>
      <c r="B1143" s="351"/>
      <c r="C1143" s="353"/>
      <c r="D1143" s="351"/>
      <c r="E1143" s="352"/>
      <c r="F1143" s="352"/>
      <c r="G1143" s="353"/>
      <c r="H1143" s="351"/>
      <c r="I1143" s="353"/>
      <c r="J1143" s="353"/>
      <c r="K1143" s="354"/>
    </row>
    <row r="1144" spans="1:11" x14ac:dyDescent="0.25">
      <c r="A1144" s="351"/>
      <c r="B1144" s="351"/>
      <c r="C1144" s="353"/>
      <c r="D1144" s="351"/>
      <c r="E1144" s="352"/>
      <c r="F1144" s="352"/>
      <c r="G1144" s="353"/>
      <c r="H1144" s="351"/>
      <c r="I1144" s="353"/>
      <c r="J1144" s="353"/>
      <c r="K1144" s="354"/>
    </row>
    <row r="1145" spans="1:11" x14ac:dyDescent="0.25">
      <c r="A1145" s="351"/>
      <c r="B1145" s="351"/>
      <c r="C1145" s="353"/>
      <c r="D1145" s="351"/>
      <c r="E1145" s="352"/>
      <c r="F1145" s="352"/>
      <c r="G1145" s="353"/>
      <c r="H1145" s="351"/>
      <c r="I1145" s="353"/>
      <c r="J1145" s="353"/>
      <c r="K1145" s="354"/>
    </row>
    <row r="1146" spans="1:11" x14ac:dyDescent="0.25">
      <c r="A1146" s="351"/>
      <c r="B1146" s="351"/>
      <c r="C1146" s="353"/>
      <c r="D1146" s="351"/>
      <c r="E1146" s="352"/>
      <c r="F1146" s="352"/>
      <c r="G1146" s="353"/>
      <c r="H1146" s="351"/>
      <c r="I1146" s="353"/>
      <c r="J1146" s="353"/>
      <c r="K1146" s="354"/>
    </row>
    <row r="1147" spans="1:11" x14ac:dyDescent="0.25">
      <c r="A1147" s="351"/>
      <c r="B1147" s="351"/>
      <c r="C1147" s="353"/>
      <c r="D1147" s="351"/>
      <c r="E1147" s="352"/>
      <c r="F1147" s="352"/>
      <c r="G1147" s="353"/>
      <c r="H1147" s="351"/>
      <c r="I1147" s="353"/>
      <c r="J1147" s="353"/>
      <c r="K1147" s="354"/>
    </row>
    <row r="1148" spans="1:11" x14ac:dyDescent="0.25">
      <c r="A1148" s="351"/>
      <c r="B1148" s="351"/>
      <c r="C1148" s="353"/>
      <c r="D1148" s="351"/>
      <c r="E1148" s="352"/>
      <c r="F1148" s="352"/>
      <c r="G1148" s="353"/>
      <c r="H1148" s="351"/>
      <c r="I1148" s="353"/>
      <c r="J1148" s="353"/>
      <c r="K1148" s="354"/>
    </row>
    <row r="1149" spans="1:11" x14ac:dyDescent="0.25">
      <c r="A1149" s="351"/>
      <c r="B1149" s="351"/>
      <c r="C1149" s="353"/>
      <c r="D1149" s="351"/>
      <c r="E1149" s="352"/>
      <c r="F1149" s="352"/>
      <c r="G1149" s="353"/>
      <c r="H1149" s="351"/>
      <c r="I1149" s="353"/>
      <c r="J1149" s="353"/>
      <c r="K1149" s="354"/>
    </row>
    <row r="1150" spans="1:11" x14ac:dyDescent="0.25">
      <c r="A1150" s="351"/>
      <c r="B1150" s="351"/>
      <c r="C1150" s="353"/>
      <c r="D1150" s="351"/>
      <c r="E1150" s="352"/>
      <c r="F1150" s="352"/>
      <c r="G1150" s="353"/>
      <c r="H1150" s="351"/>
      <c r="I1150" s="353"/>
      <c r="J1150" s="353"/>
      <c r="K1150" s="354"/>
    </row>
    <row r="1151" spans="1:11" x14ac:dyDescent="0.25">
      <c r="A1151" s="351"/>
      <c r="B1151" s="351"/>
      <c r="C1151" s="353"/>
      <c r="D1151" s="351"/>
      <c r="E1151" s="352"/>
      <c r="F1151" s="352"/>
      <c r="G1151" s="353"/>
      <c r="H1151" s="351"/>
      <c r="I1151" s="353"/>
      <c r="J1151" s="353"/>
      <c r="K1151" s="354"/>
    </row>
    <row r="1152" spans="1:11" x14ac:dyDescent="0.25">
      <c r="A1152" s="351"/>
      <c r="B1152" s="351"/>
      <c r="C1152" s="353"/>
      <c r="D1152" s="351"/>
      <c r="E1152" s="352"/>
      <c r="F1152" s="352"/>
      <c r="G1152" s="353"/>
      <c r="H1152" s="351"/>
      <c r="I1152" s="353"/>
      <c r="J1152" s="353"/>
      <c r="K1152" s="354"/>
    </row>
    <row r="1153" spans="1:11" x14ac:dyDescent="0.25">
      <c r="A1153" s="351"/>
      <c r="B1153" s="351"/>
      <c r="C1153" s="353"/>
      <c r="D1153" s="351"/>
      <c r="E1153" s="352"/>
      <c r="F1153" s="352"/>
      <c r="G1153" s="353"/>
      <c r="H1153" s="351"/>
      <c r="I1153" s="353"/>
      <c r="J1153" s="353"/>
      <c r="K1153" s="354"/>
    </row>
    <row r="1154" spans="1:11" x14ac:dyDescent="0.25">
      <c r="A1154" s="351"/>
      <c r="B1154" s="351"/>
      <c r="C1154" s="353"/>
      <c r="D1154" s="351"/>
      <c r="E1154" s="352"/>
      <c r="F1154" s="352"/>
      <c r="G1154" s="353"/>
      <c r="H1154" s="351"/>
      <c r="I1154" s="353"/>
      <c r="J1154" s="353"/>
      <c r="K1154" s="354"/>
    </row>
    <row r="1155" spans="1:11" x14ac:dyDescent="0.25">
      <c r="A1155" s="351"/>
      <c r="B1155" s="351"/>
      <c r="C1155" s="353"/>
      <c r="D1155" s="351"/>
      <c r="E1155" s="352"/>
      <c r="F1155" s="352"/>
      <c r="G1155" s="353"/>
      <c r="H1155" s="351"/>
      <c r="I1155" s="353"/>
      <c r="J1155" s="353"/>
      <c r="K1155" s="354"/>
    </row>
    <row r="1156" spans="1:11" x14ac:dyDescent="0.25">
      <c r="A1156" s="351"/>
      <c r="B1156" s="351"/>
      <c r="C1156" s="353"/>
      <c r="D1156" s="351"/>
      <c r="E1156" s="352"/>
      <c r="F1156" s="352"/>
      <c r="G1156" s="353"/>
      <c r="H1156" s="351"/>
      <c r="I1156" s="353"/>
      <c r="J1156" s="353"/>
      <c r="K1156" s="354"/>
    </row>
    <row r="1157" spans="1:11" x14ac:dyDescent="0.25">
      <c r="A1157" s="351"/>
      <c r="B1157" s="351"/>
      <c r="C1157" s="353"/>
      <c r="D1157" s="351"/>
      <c r="E1157" s="352"/>
      <c r="F1157" s="352"/>
      <c r="G1157" s="353"/>
      <c r="H1157" s="351"/>
      <c r="I1157" s="353"/>
      <c r="J1157" s="353"/>
      <c r="K1157" s="354"/>
    </row>
    <row r="1158" spans="1:11" x14ac:dyDescent="0.25">
      <c r="A1158" s="351"/>
      <c r="B1158" s="351"/>
      <c r="C1158" s="353"/>
      <c r="D1158" s="351"/>
      <c r="E1158" s="352"/>
      <c r="F1158" s="352"/>
      <c r="G1158" s="353"/>
      <c r="H1158" s="351"/>
      <c r="I1158" s="353"/>
      <c r="J1158" s="353"/>
      <c r="K1158" s="354"/>
    </row>
    <row r="1159" spans="1:11" x14ac:dyDescent="0.25">
      <c r="A1159" s="351"/>
      <c r="B1159" s="351"/>
      <c r="C1159" s="353"/>
      <c r="D1159" s="351"/>
      <c r="E1159" s="352"/>
      <c r="F1159" s="352"/>
      <c r="G1159" s="353"/>
      <c r="H1159" s="351"/>
      <c r="I1159" s="353"/>
      <c r="J1159" s="353"/>
      <c r="K1159" s="354"/>
    </row>
    <row r="1160" spans="1:11" x14ac:dyDescent="0.25">
      <c r="A1160" s="364"/>
      <c r="B1160" s="364"/>
      <c r="C1160" s="367"/>
      <c r="D1160" s="365"/>
      <c r="E1160" s="366"/>
      <c r="F1160" s="366"/>
      <c r="G1160" s="367"/>
      <c r="H1160" s="364"/>
      <c r="I1160" s="367"/>
      <c r="J1160" s="367"/>
      <c r="K1160" s="368"/>
    </row>
    <row r="1161" spans="1:11" x14ac:dyDescent="0.25">
      <c r="A1161" s="364"/>
      <c r="B1161" s="364"/>
      <c r="C1161" s="367"/>
      <c r="D1161" s="365"/>
      <c r="E1161" s="366"/>
      <c r="F1161" s="366"/>
      <c r="G1161" s="367"/>
      <c r="H1161" s="364"/>
      <c r="I1161" s="367"/>
      <c r="J1161" s="367"/>
      <c r="K1161" s="368"/>
    </row>
    <row r="1162" spans="1:11" x14ac:dyDescent="0.25">
      <c r="A1162" s="364"/>
      <c r="B1162" s="364"/>
      <c r="C1162" s="367"/>
      <c r="D1162" s="365"/>
      <c r="E1162" s="366"/>
      <c r="F1162" s="366"/>
      <c r="G1162" s="367"/>
      <c r="H1162" s="364"/>
      <c r="I1162" s="367"/>
      <c r="J1162" s="367"/>
      <c r="K1162" s="368"/>
    </row>
    <row r="1163" spans="1:11" x14ac:dyDescent="0.25">
      <c r="A1163" s="364"/>
      <c r="B1163" s="364"/>
      <c r="C1163" s="367"/>
      <c r="D1163" s="365"/>
      <c r="E1163" s="366"/>
      <c r="F1163" s="366"/>
      <c r="G1163" s="367"/>
      <c r="H1163" s="364"/>
      <c r="I1163" s="367"/>
      <c r="J1163" s="367"/>
      <c r="K1163" s="368"/>
    </row>
    <row r="1164" spans="1:11" x14ac:dyDescent="0.25">
      <c r="A1164" s="364"/>
      <c r="B1164" s="364"/>
      <c r="C1164" s="367"/>
      <c r="D1164" s="365"/>
      <c r="E1164" s="366"/>
      <c r="F1164" s="366"/>
      <c r="G1164" s="367"/>
      <c r="H1164" s="364"/>
      <c r="I1164" s="367"/>
      <c r="J1164" s="367"/>
      <c r="K1164" s="368"/>
    </row>
    <row r="1165" spans="1:11" x14ac:dyDescent="0.25">
      <c r="A1165" s="364"/>
      <c r="B1165" s="364"/>
      <c r="C1165" s="367"/>
      <c r="D1165" s="365"/>
      <c r="E1165" s="366"/>
      <c r="F1165" s="366"/>
      <c r="G1165" s="367"/>
      <c r="H1165" s="364"/>
      <c r="I1165" s="367"/>
      <c r="J1165" s="367"/>
      <c r="K1165" s="368"/>
    </row>
    <row r="1166" spans="1:11" x14ac:dyDescent="0.25">
      <c r="A1166" s="364"/>
      <c r="B1166" s="364"/>
      <c r="C1166" s="367"/>
      <c r="D1166" s="365"/>
      <c r="E1166" s="366"/>
      <c r="F1166" s="366"/>
      <c r="G1166" s="367"/>
      <c r="H1166" s="364"/>
      <c r="I1166" s="367"/>
      <c r="J1166" s="367"/>
      <c r="K1166" s="368"/>
    </row>
    <row r="1167" spans="1:11" x14ac:dyDescent="0.25">
      <c r="A1167" s="364"/>
      <c r="B1167" s="364"/>
      <c r="C1167" s="367"/>
      <c r="D1167" s="365"/>
      <c r="E1167" s="366"/>
      <c r="F1167" s="366"/>
      <c r="G1167" s="367"/>
      <c r="H1167" s="364"/>
      <c r="I1167" s="367"/>
      <c r="J1167" s="367"/>
      <c r="K1167" s="368"/>
    </row>
    <row r="1168" spans="1:11" x14ac:dyDescent="0.25">
      <c r="A1168" s="364"/>
      <c r="B1168" s="364"/>
      <c r="C1168" s="367"/>
      <c r="D1168" s="365"/>
      <c r="E1168" s="366"/>
      <c r="F1168" s="366"/>
      <c r="G1168" s="367"/>
      <c r="H1168" s="364"/>
      <c r="I1168" s="367"/>
      <c r="J1168" s="367"/>
      <c r="K1168" s="368"/>
    </row>
    <row r="1169" spans="1:11" x14ac:dyDescent="0.25">
      <c r="A1169" s="364"/>
      <c r="B1169" s="364"/>
      <c r="C1169" s="367"/>
      <c r="D1169" s="365"/>
      <c r="E1169" s="366"/>
      <c r="F1169" s="366"/>
      <c r="G1169" s="367"/>
      <c r="H1169" s="364"/>
      <c r="I1169" s="367"/>
      <c r="J1169" s="367"/>
      <c r="K1169" s="368"/>
    </row>
    <row r="1170" spans="1:11" x14ac:dyDescent="0.25">
      <c r="A1170" s="364"/>
      <c r="B1170" s="364"/>
      <c r="C1170" s="367"/>
      <c r="D1170" s="365"/>
      <c r="E1170" s="366"/>
      <c r="F1170" s="366"/>
      <c r="G1170" s="367"/>
      <c r="H1170" s="364"/>
      <c r="I1170" s="367"/>
      <c r="J1170" s="367"/>
      <c r="K1170" s="368"/>
    </row>
    <row r="1171" spans="1:11" x14ac:dyDescent="0.25">
      <c r="A1171" s="364"/>
      <c r="B1171" s="364"/>
      <c r="C1171" s="367"/>
      <c r="D1171" s="365"/>
      <c r="E1171" s="366"/>
      <c r="F1171" s="366"/>
      <c r="G1171" s="367"/>
      <c r="H1171" s="364"/>
      <c r="I1171" s="367"/>
      <c r="J1171" s="367"/>
      <c r="K1171" s="368"/>
    </row>
    <row r="1172" spans="1:11" x14ac:dyDescent="0.25">
      <c r="A1172" s="364"/>
      <c r="B1172" s="364"/>
      <c r="C1172" s="367"/>
      <c r="D1172" s="365"/>
      <c r="E1172" s="366"/>
      <c r="F1172" s="366"/>
      <c r="G1172" s="367"/>
      <c r="H1172" s="364"/>
      <c r="I1172" s="367"/>
      <c r="J1172" s="367"/>
      <c r="K1172" s="368"/>
    </row>
    <row r="1173" spans="1:11" x14ac:dyDescent="0.25">
      <c r="A1173" s="364"/>
      <c r="B1173" s="364"/>
      <c r="C1173" s="367"/>
      <c r="D1173" s="365"/>
      <c r="E1173" s="366"/>
      <c r="F1173" s="366"/>
      <c r="G1173" s="367"/>
      <c r="H1173" s="364"/>
      <c r="I1173" s="367"/>
      <c r="J1173" s="367"/>
      <c r="K1173" s="368"/>
    </row>
    <row r="1174" spans="1:11" x14ac:dyDescent="0.25">
      <c r="A1174" s="364"/>
      <c r="B1174" s="364"/>
      <c r="C1174" s="367"/>
      <c r="D1174" s="365"/>
      <c r="E1174" s="366"/>
      <c r="F1174" s="366"/>
      <c r="G1174" s="367"/>
      <c r="H1174" s="364"/>
      <c r="I1174" s="367"/>
      <c r="J1174" s="367"/>
      <c r="K1174" s="368"/>
    </row>
    <row r="1175" spans="1:11" x14ac:dyDescent="0.25">
      <c r="A1175" s="364"/>
      <c r="B1175" s="364"/>
      <c r="C1175" s="367"/>
      <c r="D1175" s="365"/>
      <c r="E1175" s="366"/>
      <c r="F1175" s="366"/>
      <c r="G1175" s="367"/>
      <c r="H1175" s="364"/>
      <c r="I1175" s="367"/>
      <c r="J1175" s="367"/>
      <c r="K1175" s="368"/>
    </row>
    <row r="1176" spans="1:11" x14ac:dyDescent="0.25">
      <c r="A1176" s="364"/>
      <c r="B1176" s="364"/>
      <c r="C1176" s="367"/>
      <c r="D1176" s="365"/>
      <c r="E1176" s="366"/>
      <c r="F1176" s="366"/>
      <c r="G1176" s="367"/>
      <c r="H1176" s="364"/>
      <c r="I1176" s="367"/>
      <c r="J1176" s="367"/>
      <c r="K1176" s="368"/>
    </row>
    <row r="1177" spans="1:11" x14ac:dyDescent="0.25">
      <c r="A1177" s="364"/>
      <c r="B1177" s="364"/>
      <c r="C1177" s="367"/>
      <c r="D1177" s="365"/>
      <c r="E1177" s="366"/>
      <c r="F1177" s="366"/>
      <c r="G1177" s="367"/>
      <c r="H1177" s="364"/>
      <c r="I1177" s="367"/>
      <c r="J1177" s="367"/>
      <c r="K1177" s="368"/>
    </row>
    <row r="1178" spans="1:11" x14ac:dyDescent="0.25">
      <c r="A1178" s="364"/>
      <c r="B1178" s="364"/>
      <c r="C1178" s="367"/>
      <c r="D1178" s="365"/>
      <c r="E1178" s="366"/>
      <c r="F1178" s="366"/>
      <c r="G1178" s="367"/>
      <c r="H1178" s="364"/>
      <c r="I1178" s="367"/>
      <c r="J1178" s="367"/>
      <c r="K1178" s="368"/>
    </row>
    <row r="1179" spans="1:11" x14ac:dyDescent="0.25">
      <c r="A1179" s="364"/>
      <c r="B1179" s="364"/>
      <c r="C1179" s="367"/>
      <c r="D1179" s="365"/>
      <c r="E1179" s="366"/>
      <c r="F1179" s="366"/>
      <c r="G1179" s="367"/>
      <c r="H1179" s="364"/>
      <c r="I1179" s="367"/>
      <c r="J1179" s="367"/>
      <c r="K1179" s="368"/>
    </row>
    <row r="1180" spans="1:11" x14ac:dyDescent="0.25">
      <c r="A1180" s="364"/>
      <c r="B1180" s="364"/>
      <c r="C1180" s="367"/>
      <c r="D1180" s="365"/>
      <c r="E1180" s="366"/>
      <c r="F1180" s="366"/>
      <c r="G1180" s="367"/>
      <c r="H1180" s="364"/>
      <c r="I1180" s="367"/>
      <c r="J1180" s="367"/>
      <c r="K1180" s="368"/>
    </row>
    <row r="1181" spans="1:11" x14ac:dyDescent="0.25">
      <c r="A1181" s="364"/>
      <c r="B1181" s="364"/>
      <c r="C1181" s="367"/>
      <c r="D1181" s="365"/>
      <c r="E1181" s="366"/>
      <c r="F1181" s="366"/>
      <c r="G1181" s="367"/>
      <c r="H1181" s="364"/>
      <c r="I1181" s="367"/>
      <c r="J1181" s="367"/>
      <c r="K1181" s="368"/>
    </row>
    <row r="1182" spans="1:11" x14ac:dyDescent="0.25">
      <c r="A1182" s="364"/>
      <c r="B1182" s="364"/>
      <c r="C1182" s="367"/>
      <c r="D1182" s="365"/>
      <c r="E1182" s="366"/>
      <c r="F1182" s="366"/>
      <c r="G1182" s="367"/>
      <c r="H1182" s="364"/>
      <c r="I1182" s="367"/>
      <c r="J1182" s="367"/>
      <c r="K1182" s="368"/>
    </row>
    <row r="1183" spans="1:11" x14ac:dyDescent="0.25">
      <c r="A1183" s="364"/>
      <c r="B1183" s="364"/>
      <c r="C1183" s="367"/>
      <c r="D1183" s="365"/>
      <c r="E1183" s="366"/>
      <c r="F1183" s="366"/>
      <c r="G1183" s="367"/>
      <c r="H1183" s="364"/>
      <c r="I1183" s="367"/>
      <c r="J1183" s="367"/>
      <c r="K1183" s="368"/>
    </row>
    <row r="1184" spans="1:11" x14ac:dyDescent="0.25">
      <c r="A1184" s="364"/>
      <c r="B1184" s="364"/>
      <c r="C1184" s="367"/>
      <c r="D1184" s="365"/>
      <c r="E1184" s="366"/>
      <c r="F1184" s="366"/>
      <c r="G1184" s="367"/>
      <c r="H1184" s="364"/>
      <c r="I1184" s="367"/>
      <c r="J1184" s="367"/>
      <c r="K1184" s="368"/>
    </row>
    <row r="1185" spans="1:11" x14ac:dyDescent="0.25">
      <c r="A1185" s="364"/>
      <c r="B1185" s="364"/>
      <c r="C1185" s="367"/>
      <c r="D1185" s="365"/>
      <c r="E1185" s="366"/>
      <c r="F1185" s="366"/>
      <c r="G1185" s="367"/>
      <c r="H1185" s="364"/>
      <c r="I1185" s="367"/>
      <c r="J1185" s="367"/>
      <c r="K1185" s="368"/>
    </row>
    <row r="1186" spans="1:11" x14ac:dyDescent="0.25">
      <c r="A1186" s="364"/>
      <c r="B1186" s="364"/>
      <c r="C1186" s="367"/>
      <c r="D1186" s="365"/>
      <c r="E1186" s="366"/>
      <c r="F1186" s="366"/>
      <c r="G1186" s="367"/>
      <c r="H1186" s="364"/>
      <c r="I1186" s="367"/>
      <c r="J1186" s="367"/>
      <c r="K1186" s="368"/>
    </row>
    <row r="1187" spans="1:11" x14ac:dyDescent="0.25">
      <c r="A1187" s="364"/>
      <c r="B1187" s="364"/>
      <c r="C1187" s="367"/>
      <c r="D1187" s="365"/>
      <c r="E1187" s="366"/>
      <c r="F1187" s="366"/>
      <c r="G1187" s="367"/>
      <c r="H1187" s="364"/>
      <c r="I1187" s="367"/>
      <c r="J1187" s="367"/>
      <c r="K1187" s="368"/>
    </row>
    <row r="1188" spans="1:11" x14ac:dyDescent="0.25">
      <c r="A1188" s="364"/>
      <c r="B1188" s="364"/>
      <c r="C1188" s="367"/>
      <c r="D1188" s="365"/>
      <c r="E1188" s="366"/>
      <c r="F1188" s="366"/>
      <c r="G1188" s="367"/>
      <c r="H1188" s="364"/>
      <c r="I1188" s="367"/>
      <c r="J1188" s="367"/>
      <c r="K1188" s="368"/>
    </row>
    <row r="1189" spans="1:11" x14ac:dyDescent="0.25">
      <c r="A1189" s="364"/>
      <c r="B1189" s="364"/>
      <c r="C1189" s="367"/>
      <c r="D1189" s="365"/>
      <c r="E1189" s="366"/>
      <c r="F1189" s="366"/>
      <c r="G1189" s="367"/>
      <c r="H1189" s="364"/>
      <c r="I1189" s="367"/>
      <c r="J1189" s="367"/>
      <c r="K1189" s="368"/>
    </row>
    <row r="1190" spans="1:11" x14ac:dyDescent="0.25">
      <c r="A1190" s="364"/>
      <c r="B1190" s="364"/>
      <c r="C1190" s="367"/>
      <c r="D1190" s="365"/>
      <c r="E1190" s="366"/>
      <c r="F1190" s="366"/>
      <c r="G1190" s="367"/>
      <c r="H1190" s="364"/>
      <c r="I1190" s="367"/>
      <c r="J1190" s="367"/>
      <c r="K1190" s="368"/>
    </row>
    <row r="1191" spans="1:11" x14ac:dyDescent="0.25">
      <c r="A1191" s="364"/>
      <c r="B1191" s="364"/>
      <c r="C1191" s="367"/>
      <c r="D1191" s="365"/>
      <c r="E1191" s="366"/>
      <c r="F1191" s="366"/>
      <c r="G1191" s="367"/>
      <c r="H1191" s="364"/>
      <c r="I1191" s="367"/>
      <c r="J1191" s="367"/>
      <c r="K1191" s="368"/>
    </row>
    <row r="1192" spans="1:11" x14ac:dyDescent="0.25">
      <c r="A1192" s="364"/>
      <c r="B1192" s="364"/>
      <c r="C1192" s="367"/>
      <c r="D1192" s="365"/>
      <c r="E1192" s="366"/>
      <c r="F1192" s="366"/>
      <c r="G1192" s="367"/>
      <c r="H1192" s="364"/>
      <c r="I1192" s="367"/>
      <c r="J1192" s="367"/>
      <c r="K1192" s="368"/>
    </row>
    <row r="1193" spans="1:11" x14ac:dyDescent="0.25">
      <c r="A1193" s="364"/>
      <c r="B1193" s="364"/>
      <c r="C1193" s="367"/>
      <c r="D1193" s="365"/>
      <c r="E1193" s="366"/>
      <c r="F1193" s="366"/>
      <c r="G1193" s="367"/>
      <c r="H1193" s="364"/>
      <c r="I1193" s="367"/>
      <c r="J1193" s="367"/>
      <c r="K1193" s="368"/>
    </row>
    <row r="1194" spans="1:11" x14ac:dyDescent="0.25">
      <c r="A1194" s="364"/>
      <c r="B1194" s="364"/>
      <c r="C1194" s="367"/>
      <c r="D1194" s="365"/>
      <c r="E1194" s="366"/>
      <c r="F1194" s="366"/>
      <c r="G1194" s="367"/>
      <c r="H1194" s="364"/>
      <c r="I1194" s="367"/>
      <c r="J1194" s="367"/>
      <c r="K1194" s="368"/>
    </row>
    <row r="1195" spans="1:11" x14ac:dyDescent="0.25">
      <c r="A1195" s="364"/>
      <c r="B1195" s="364"/>
      <c r="C1195" s="367"/>
      <c r="D1195" s="365"/>
      <c r="E1195" s="366"/>
      <c r="F1195" s="366"/>
      <c r="G1195" s="367"/>
      <c r="H1195" s="364"/>
      <c r="I1195" s="367"/>
      <c r="J1195" s="367"/>
      <c r="K1195" s="368"/>
    </row>
    <row r="1196" spans="1:11" x14ac:dyDescent="0.25">
      <c r="A1196" s="364"/>
      <c r="B1196" s="364"/>
      <c r="C1196" s="367"/>
      <c r="D1196" s="365"/>
      <c r="E1196" s="366"/>
      <c r="F1196" s="366"/>
      <c r="G1196" s="367"/>
      <c r="H1196" s="364"/>
      <c r="I1196" s="367"/>
      <c r="J1196" s="367"/>
      <c r="K1196" s="368"/>
    </row>
    <row r="1197" spans="1:11" x14ac:dyDescent="0.25">
      <c r="A1197" s="364"/>
      <c r="B1197" s="364"/>
      <c r="C1197" s="367"/>
      <c r="D1197" s="365"/>
      <c r="E1197" s="366"/>
      <c r="F1197" s="366"/>
      <c r="G1197" s="367"/>
      <c r="H1197" s="364"/>
      <c r="I1197" s="367"/>
      <c r="J1197" s="367"/>
      <c r="K1197" s="368"/>
    </row>
    <row r="1198" spans="1:11" x14ac:dyDescent="0.25">
      <c r="A1198" s="364"/>
      <c r="B1198" s="364"/>
      <c r="C1198" s="367"/>
      <c r="D1198" s="365"/>
      <c r="E1198" s="366"/>
      <c r="F1198" s="366"/>
      <c r="G1198" s="367"/>
      <c r="H1198" s="364"/>
      <c r="I1198" s="367"/>
      <c r="J1198" s="367"/>
      <c r="K1198" s="368"/>
    </row>
    <row r="1199" spans="1:11" x14ac:dyDescent="0.25">
      <c r="A1199" s="364"/>
      <c r="B1199" s="364"/>
      <c r="C1199" s="367"/>
      <c r="D1199" s="365"/>
      <c r="E1199" s="366"/>
      <c r="F1199" s="366"/>
      <c r="G1199" s="367"/>
      <c r="H1199" s="364"/>
      <c r="I1199" s="367"/>
      <c r="J1199" s="367"/>
      <c r="K1199" s="368"/>
    </row>
    <row r="1200" spans="1:11" x14ac:dyDescent="0.25">
      <c r="A1200" s="364"/>
      <c r="B1200" s="364"/>
      <c r="C1200" s="367"/>
      <c r="D1200" s="365"/>
      <c r="E1200" s="366"/>
      <c r="F1200" s="366"/>
      <c r="G1200" s="367"/>
      <c r="H1200" s="364"/>
      <c r="I1200" s="367"/>
      <c r="J1200" s="367"/>
      <c r="K1200" s="368"/>
    </row>
    <row r="1201" spans="1:11" x14ac:dyDescent="0.25">
      <c r="A1201" s="364"/>
      <c r="B1201" s="364"/>
      <c r="C1201" s="367"/>
      <c r="D1201" s="365"/>
      <c r="E1201" s="366"/>
      <c r="F1201" s="366"/>
      <c r="G1201" s="367"/>
      <c r="H1201" s="364"/>
      <c r="I1201" s="367"/>
      <c r="J1201" s="367"/>
      <c r="K1201" s="368"/>
    </row>
    <row r="1202" spans="1:11" x14ac:dyDescent="0.25">
      <c r="A1202" s="364"/>
      <c r="B1202" s="364"/>
      <c r="C1202" s="367"/>
      <c r="D1202" s="365"/>
      <c r="E1202" s="366"/>
      <c r="F1202" s="366"/>
      <c r="G1202" s="367"/>
      <c r="H1202" s="364"/>
      <c r="I1202" s="367"/>
      <c r="J1202" s="367"/>
      <c r="K1202" s="368"/>
    </row>
    <row r="1203" spans="1:11" x14ac:dyDescent="0.25">
      <c r="A1203" s="364"/>
      <c r="B1203" s="364"/>
      <c r="C1203" s="367"/>
      <c r="D1203" s="365"/>
      <c r="E1203" s="366"/>
      <c r="F1203" s="366"/>
      <c r="G1203" s="367"/>
      <c r="H1203" s="364"/>
      <c r="I1203" s="367"/>
      <c r="J1203" s="367"/>
      <c r="K1203" s="368"/>
    </row>
    <row r="1204" spans="1:11" x14ac:dyDescent="0.25">
      <c r="A1204" s="364"/>
      <c r="B1204" s="364"/>
      <c r="C1204" s="367"/>
      <c r="D1204" s="365"/>
      <c r="E1204" s="366"/>
      <c r="F1204" s="366"/>
      <c r="G1204" s="367"/>
      <c r="H1204" s="364"/>
      <c r="I1204" s="367"/>
      <c r="J1204" s="367"/>
      <c r="K1204" s="368"/>
    </row>
    <row r="1205" spans="1:11" x14ac:dyDescent="0.25">
      <c r="A1205" s="364"/>
      <c r="B1205" s="364"/>
      <c r="C1205" s="367"/>
      <c r="D1205" s="365"/>
      <c r="E1205" s="366"/>
      <c r="F1205" s="366"/>
      <c r="G1205" s="367"/>
      <c r="H1205" s="364"/>
      <c r="I1205" s="367"/>
      <c r="J1205" s="367"/>
      <c r="K1205" s="368"/>
    </row>
    <row r="1206" spans="1:11" x14ac:dyDescent="0.25">
      <c r="A1206" s="364"/>
      <c r="B1206" s="364"/>
      <c r="C1206" s="367"/>
      <c r="D1206" s="365"/>
      <c r="E1206" s="366"/>
      <c r="F1206" s="366"/>
      <c r="G1206" s="367"/>
      <c r="H1206" s="364"/>
      <c r="I1206" s="367"/>
      <c r="J1206" s="367"/>
      <c r="K1206" s="368"/>
    </row>
    <row r="1207" spans="1:11" x14ac:dyDescent="0.25">
      <c r="A1207" s="364"/>
      <c r="B1207" s="364"/>
      <c r="C1207" s="367"/>
      <c r="D1207" s="365"/>
      <c r="E1207" s="366"/>
      <c r="F1207" s="366"/>
      <c r="G1207" s="367"/>
      <c r="H1207" s="364"/>
      <c r="I1207" s="367"/>
      <c r="J1207" s="367"/>
      <c r="K1207" s="368"/>
    </row>
    <row r="1208" spans="1:11" x14ac:dyDescent="0.25">
      <c r="A1208" s="364"/>
      <c r="B1208" s="364"/>
      <c r="C1208" s="367"/>
      <c r="D1208" s="365"/>
      <c r="E1208" s="366"/>
      <c r="F1208" s="366"/>
      <c r="G1208" s="367"/>
      <c r="H1208" s="364"/>
      <c r="I1208" s="367"/>
      <c r="J1208" s="367"/>
      <c r="K1208" s="368"/>
    </row>
    <row r="1209" spans="1:11" x14ac:dyDescent="0.25">
      <c r="A1209" s="364"/>
      <c r="B1209" s="364"/>
      <c r="C1209" s="367"/>
      <c r="D1209" s="365"/>
      <c r="E1209" s="366"/>
      <c r="F1209" s="366"/>
      <c r="G1209" s="367"/>
      <c r="H1209" s="364"/>
      <c r="I1209" s="367"/>
      <c r="J1209" s="367"/>
      <c r="K1209" s="368"/>
    </row>
    <row r="1210" spans="1:11" x14ac:dyDescent="0.25">
      <c r="A1210" s="364"/>
      <c r="B1210" s="364"/>
      <c r="C1210" s="367"/>
      <c r="D1210" s="365"/>
      <c r="E1210" s="366"/>
      <c r="F1210" s="366"/>
      <c r="G1210" s="367"/>
      <c r="H1210" s="364"/>
      <c r="I1210" s="367"/>
      <c r="J1210" s="367"/>
      <c r="K1210" s="368"/>
    </row>
    <row r="1211" spans="1:11" x14ac:dyDescent="0.25">
      <c r="A1211" s="364"/>
      <c r="B1211" s="364"/>
      <c r="C1211" s="367"/>
      <c r="D1211" s="365"/>
      <c r="E1211" s="366"/>
      <c r="F1211" s="366"/>
      <c r="G1211" s="367"/>
      <c r="H1211" s="364"/>
      <c r="I1211" s="367"/>
      <c r="J1211" s="367"/>
      <c r="K1211" s="368"/>
    </row>
    <row r="1212" spans="1:11" x14ac:dyDescent="0.25">
      <c r="A1212" s="364"/>
      <c r="B1212" s="364"/>
      <c r="C1212" s="367"/>
      <c r="D1212" s="365"/>
      <c r="E1212" s="366"/>
      <c r="F1212" s="366"/>
      <c r="G1212" s="367"/>
      <c r="H1212" s="364"/>
      <c r="I1212" s="367"/>
      <c r="J1212" s="367"/>
      <c r="K1212" s="368"/>
    </row>
    <row r="1213" spans="1:11" x14ac:dyDescent="0.25">
      <c r="A1213" s="364"/>
      <c r="B1213" s="364"/>
      <c r="C1213" s="367"/>
      <c r="D1213" s="365"/>
      <c r="E1213" s="366"/>
      <c r="F1213" s="366"/>
      <c r="G1213" s="367"/>
      <c r="H1213" s="364"/>
      <c r="I1213" s="367"/>
      <c r="J1213" s="367"/>
      <c r="K1213" s="368"/>
    </row>
    <row r="1214" spans="1:11" x14ac:dyDescent="0.25">
      <c r="A1214" s="364"/>
      <c r="B1214" s="364"/>
      <c r="C1214" s="367"/>
      <c r="D1214" s="365"/>
      <c r="E1214" s="366"/>
      <c r="F1214" s="366"/>
      <c r="G1214" s="367"/>
      <c r="H1214" s="364"/>
      <c r="I1214" s="367"/>
      <c r="J1214" s="367"/>
      <c r="K1214" s="368"/>
    </row>
    <row r="1215" spans="1:11" x14ac:dyDescent="0.25">
      <c r="A1215" s="364"/>
      <c r="B1215" s="364"/>
      <c r="C1215" s="367"/>
      <c r="D1215" s="365"/>
      <c r="E1215" s="366"/>
      <c r="F1215" s="366"/>
      <c r="G1215" s="367"/>
      <c r="H1215" s="364"/>
      <c r="I1215" s="367"/>
      <c r="J1215" s="367"/>
      <c r="K1215" s="368"/>
    </row>
    <row r="1216" spans="1:11" x14ac:dyDescent="0.25">
      <c r="A1216" s="364"/>
      <c r="B1216" s="364"/>
      <c r="C1216" s="367"/>
      <c r="D1216" s="365"/>
      <c r="E1216" s="366"/>
      <c r="F1216" s="366"/>
      <c r="G1216" s="367"/>
      <c r="H1216" s="364"/>
      <c r="I1216" s="367"/>
      <c r="J1216" s="367"/>
      <c r="K1216" s="368"/>
    </row>
    <row r="1217" spans="1:11" x14ac:dyDescent="0.25">
      <c r="A1217" s="364"/>
      <c r="B1217" s="364"/>
      <c r="C1217" s="367"/>
      <c r="D1217" s="365"/>
      <c r="E1217" s="366"/>
      <c r="F1217" s="366"/>
      <c r="G1217" s="367"/>
      <c r="H1217" s="364"/>
      <c r="I1217" s="367"/>
      <c r="J1217" s="367"/>
      <c r="K1217" s="368"/>
    </row>
    <row r="1218" spans="1:11" x14ac:dyDescent="0.25">
      <c r="A1218" s="364"/>
      <c r="B1218" s="364"/>
      <c r="C1218" s="367"/>
      <c r="D1218" s="365"/>
      <c r="E1218" s="366"/>
      <c r="F1218" s="366"/>
      <c r="G1218" s="367"/>
      <c r="H1218" s="364"/>
      <c r="I1218" s="367"/>
      <c r="J1218" s="367"/>
      <c r="K1218" s="368"/>
    </row>
    <row r="1219" spans="1:11" x14ac:dyDescent="0.25">
      <c r="A1219" s="364"/>
      <c r="B1219" s="364"/>
      <c r="C1219" s="367"/>
      <c r="D1219" s="365"/>
      <c r="E1219" s="366"/>
      <c r="F1219" s="366"/>
      <c r="G1219" s="367"/>
      <c r="H1219" s="364"/>
      <c r="I1219" s="367"/>
      <c r="J1219" s="367"/>
      <c r="K1219" s="368"/>
    </row>
    <row r="1220" spans="1:11" x14ac:dyDescent="0.25">
      <c r="A1220" s="364"/>
      <c r="B1220" s="364"/>
      <c r="C1220" s="367"/>
      <c r="D1220" s="365"/>
      <c r="E1220" s="366"/>
      <c r="F1220" s="366"/>
      <c r="G1220" s="367"/>
      <c r="H1220" s="364"/>
      <c r="I1220" s="367"/>
      <c r="J1220" s="367"/>
      <c r="K1220" s="368"/>
    </row>
    <row r="1221" spans="1:11" x14ac:dyDescent="0.25">
      <c r="A1221" s="364"/>
      <c r="B1221" s="364"/>
      <c r="C1221" s="367"/>
      <c r="D1221" s="365"/>
      <c r="E1221" s="366"/>
      <c r="F1221" s="366"/>
      <c r="G1221" s="367"/>
      <c r="H1221" s="364"/>
      <c r="I1221" s="367"/>
      <c r="J1221" s="367"/>
      <c r="K1221" s="368"/>
    </row>
    <row r="1222" spans="1:11" x14ac:dyDescent="0.25">
      <c r="A1222" s="364"/>
      <c r="B1222" s="364"/>
      <c r="C1222" s="367"/>
      <c r="D1222" s="365"/>
      <c r="E1222" s="366"/>
      <c r="F1222" s="366"/>
      <c r="G1222" s="367"/>
      <c r="H1222" s="364"/>
      <c r="I1222" s="367"/>
      <c r="J1222" s="367"/>
      <c r="K1222" s="368"/>
    </row>
    <row r="1223" spans="1:11" x14ac:dyDescent="0.25">
      <c r="A1223" s="364"/>
      <c r="B1223" s="364"/>
      <c r="C1223" s="367"/>
      <c r="D1223" s="365"/>
      <c r="E1223" s="366"/>
      <c r="F1223" s="366"/>
      <c r="G1223" s="367"/>
      <c r="H1223" s="364"/>
      <c r="I1223" s="367"/>
      <c r="J1223" s="367"/>
      <c r="K1223" s="368"/>
    </row>
    <row r="1224" spans="1:11" x14ac:dyDescent="0.25">
      <c r="A1224" s="364"/>
      <c r="B1224" s="364"/>
      <c r="C1224" s="367"/>
      <c r="D1224" s="365"/>
      <c r="E1224" s="366"/>
      <c r="F1224" s="366"/>
      <c r="G1224" s="367"/>
      <c r="H1224" s="364"/>
      <c r="I1224" s="367"/>
      <c r="J1224" s="367"/>
      <c r="K1224" s="368"/>
    </row>
    <row r="1225" spans="1:11" x14ac:dyDescent="0.25">
      <c r="A1225" s="364"/>
      <c r="B1225" s="364"/>
      <c r="C1225" s="367"/>
      <c r="D1225" s="365"/>
      <c r="E1225" s="366"/>
      <c r="F1225" s="366"/>
      <c r="G1225" s="367"/>
      <c r="H1225" s="364"/>
      <c r="I1225" s="367"/>
      <c r="J1225" s="367"/>
      <c r="K1225" s="368"/>
    </row>
    <row r="1226" spans="1:11" x14ac:dyDescent="0.25">
      <c r="A1226" s="364"/>
      <c r="B1226" s="364"/>
      <c r="C1226" s="367"/>
      <c r="D1226" s="365"/>
      <c r="E1226" s="366"/>
      <c r="F1226" s="366"/>
      <c r="G1226" s="367"/>
      <c r="H1226" s="364"/>
      <c r="I1226" s="367"/>
      <c r="J1226" s="367"/>
      <c r="K1226" s="368"/>
    </row>
    <row r="1227" spans="1:11" x14ac:dyDescent="0.25">
      <c r="A1227" s="364"/>
      <c r="B1227" s="364"/>
      <c r="C1227" s="367"/>
      <c r="D1227" s="365"/>
      <c r="E1227" s="366"/>
      <c r="F1227" s="366"/>
      <c r="G1227" s="367"/>
      <c r="H1227" s="364"/>
      <c r="I1227" s="367"/>
      <c r="J1227" s="367"/>
      <c r="K1227" s="368"/>
    </row>
    <row r="1228" spans="1:11" x14ac:dyDescent="0.25">
      <c r="A1228" s="364"/>
      <c r="B1228" s="364"/>
      <c r="C1228" s="367"/>
      <c r="D1228" s="365"/>
      <c r="E1228" s="366"/>
      <c r="F1228" s="366"/>
      <c r="G1228" s="367"/>
      <c r="H1228" s="364"/>
      <c r="I1228" s="367"/>
      <c r="J1228" s="367"/>
      <c r="K1228" s="368"/>
    </row>
    <row r="1229" spans="1:11" x14ac:dyDescent="0.25">
      <c r="A1229" s="364"/>
      <c r="B1229" s="364"/>
      <c r="C1229" s="367"/>
      <c r="D1229" s="365"/>
      <c r="E1229" s="366"/>
      <c r="F1229" s="366"/>
      <c r="G1229" s="367"/>
      <c r="H1229" s="364"/>
      <c r="I1229" s="367"/>
      <c r="J1229" s="367"/>
      <c r="K1229" s="368"/>
    </row>
    <row r="1230" spans="1:11" x14ac:dyDescent="0.25">
      <c r="A1230" s="364"/>
      <c r="B1230" s="364"/>
      <c r="C1230" s="367"/>
      <c r="D1230" s="365"/>
      <c r="E1230" s="366"/>
      <c r="F1230" s="366"/>
      <c r="G1230" s="367"/>
      <c r="H1230" s="364"/>
      <c r="I1230" s="367"/>
      <c r="J1230" s="367"/>
      <c r="K1230" s="368"/>
    </row>
    <row r="1231" spans="1:11" x14ac:dyDescent="0.25">
      <c r="A1231" s="364"/>
      <c r="B1231" s="364"/>
      <c r="C1231" s="367"/>
      <c r="D1231" s="365"/>
      <c r="E1231" s="366"/>
      <c r="F1231" s="366"/>
      <c r="G1231" s="367"/>
      <c r="H1231" s="364"/>
      <c r="I1231" s="367"/>
      <c r="J1231" s="367"/>
      <c r="K1231" s="368"/>
    </row>
    <row r="1232" spans="1:11" x14ac:dyDescent="0.25">
      <c r="A1232" s="364"/>
      <c r="B1232" s="364"/>
      <c r="C1232" s="367"/>
      <c r="D1232" s="365"/>
      <c r="E1232" s="366"/>
      <c r="F1232" s="366"/>
      <c r="G1232" s="367"/>
      <c r="H1232" s="364"/>
      <c r="I1232" s="367"/>
      <c r="J1232" s="367"/>
      <c r="K1232" s="368"/>
    </row>
    <row r="1233" spans="1:11" x14ac:dyDescent="0.25">
      <c r="A1233" s="364"/>
      <c r="B1233" s="364"/>
      <c r="C1233" s="367"/>
      <c r="D1233" s="365"/>
      <c r="E1233" s="366"/>
      <c r="F1233" s="366"/>
      <c r="G1233" s="367"/>
      <c r="H1233" s="364"/>
      <c r="I1233" s="367"/>
      <c r="J1233" s="367"/>
      <c r="K1233" s="368"/>
    </row>
    <row r="1234" spans="1:11" x14ac:dyDescent="0.25">
      <c r="A1234" s="364"/>
      <c r="B1234" s="364"/>
      <c r="C1234" s="367"/>
      <c r="D1234" s="365"/>
      <c r="E1234" s="366"/>
      <c r="F1234" s="366"/>
      <c r="G1234" s="367"/>
      <c r="H1234" s="364"/>
      <c r="I1234" s="367"/>
      <c r="J1234" s="367"/>
      <c r="K1234" s="368"/>
    </row>
    <row r="1235" spans="1:11" x14ac:dyDescent="0.25">
      <c r="A1235" s="364"/>
      <c r="B1235" s="364"/>
      <c r="C1235" s="367"/>
      <c r="D1235" s="365"/>
      <c r="E1235" s="366"/>
      <c r="F1235" s="366"/>
      <c r="G1235" s="367"/>
      <c r="H1235" s="364"/>
      <c r="I1235" s="367"/>
      <c r="J1235" s="367"/>
      <c r="K1235" s="368"/>
    </row>
    <row r="1236" spans="1:11" x14ac:dyDescent="0.25">
      <c r="A1236" s="364"/>
      <c r="B1236" s="364"/>
      <c r="C1236" s="367"/>
      <c r="D1236" s="365"/>
      <c r="E1236" s="366"/>
      <c r="F1236" s="366"/>
      <c r="G1236" s="367"/>
      <c r="H1236" s="364"/>
      <c r="I1236" s="367"/>
      <c r="J1236" s="367"/>
      <c r="K1236" s="368"/>
    </row>
    <row r="1237" spans="1:11" x14ac:dyDescent="0.25">
      <c r="A1237" s="364"/>
      <c r="B1237" s="364"/>
      <c r="C1237" s="367"/>
      <c r="D1237" s="365"/>
      <c r="E1237" s="366"/>
      <c r="F1237" s="366"/>
      <c r="G1237" s="367"/>
      <c r="H1237" s="364"/>
      <c r="I1237" s="367"/>
      <c r="J1237" s="367"/>
      <c r="K1237" s="368"/>
    </row>
    <row r="1238" spans="1:11" x14ac:dyDescent="0.25">
      <c r="A1238" s="364"/>
      <c r="B1238" s="364"/>
      <c r="C1238" s="367"/>
      <c r="D1238" s="365"/>
      <c r="E1238" s="366"/>
      <c r="F1238" s="366"/>
      <c r="G1238" s="367"/>
      <c r="H1238" s="364"/>
      <c r="I1238" s="367"/>
      <c r="J1238" s="367"/>
      <c r="K1238" s="368"/>
    </row>
    <row r="1239" spans="1:11" x14ac:dyDescent="0.25">
      <c r="A1239" s="364"/>
      <c r="B1239" s="364"/>
      <c r="C1239" s="367"/>
      <c r="D1239" s="365"/>
      <c r="E1239" s="366"/>
      <c r="F1239" s="366"/>
      <c r="G1239" s="367"/>
      <c r="H1239" s="364"/>
      <c r="I1239" s="367"/>
      <c r="J1239" s="367"/>
      <c r="K1239" s="368"/>
    </row>
    <row r="1240" spans="1:11" x14ac:dyDescent="0.25">
      <c r="A1240" s="364"/>
      <c r="B1240" s="364"/>
      <c r="C1240" s="367"/>
      <c r="D1240" s="365"/>
      <c r="E1240" s="366"/>
      <c r="F1240" s="366"/>
      <c r="G1240" s="367"/>
      <c r="H1240" s="364"/>
      <c r="I1240" s="367"/>
      <c r="J1240" s="367"/>
      <c r="K1240" s="368"/>
    </row>
    <row r="1241" spans="1:11" x14ac:dyDescent="0.25">
      <c r="A1241" s="364"/>
      <c r="B1241" s="364"/>
      <c r="C1241" s="367"/>
      <c r="D1241" s="365"/>
      <c r="E1241" s="366"/>
      <c r="F1241" s="366"/>
      <c r="G1241" s="367"/>
      <c r="H1241" s="364"/>
      <c r="I1241" s="367"/>
      <c r="J1241" s="367"/>
      <c r="K1241" s="368"/>
    </row>
    <row r="1242" spans="1:11" x14ac:dyDescent="0.25">
      <c r="A1242" s="364"/>
      <c r="B1242" s="364"/>
      <c r="C1242" s="367"/>
      <c r="D1242" s="365"/>
      <c r="E1242" s="366"/>
      <c r="F1242" s="366"/>
      <c r="G1242" s="367"/>
      <c r="H1242" s="364"/>
      <c r="I1242" s="367"/>
      <c r="J1242" s="367"/>
      <c r="K1242" s="368"/>
    </row>
    <row r="1243" spans="1:11" x14ac:dyDescent="0.25">
      <c r="A1243" s="364"/>
      <c r="B1243" s="364"/>
      <c r="C1243" s="367"/>
      <c r="D1243" s="365"/>
      <c r="E1243" s="366"/>
      <c r="F1243" s="366"/>
      <c r="G1243" s="367"/>
      <c r="H1243" s="364"/>
      <c r="I1243" s="367"/>
      <c r="J1243" s="367"/>
      <c r="K1243" s="368"/>
    </row>
    <row r="1244" spans="1:11" x14ac:dyDescent="0.25">
      <c r="A1244" s="364"/>
      <c r="B1244" s="364"/>
      <c r="C1244" s="367"/>
      <c r="D1244" s="365"/>
      <c r="E1244" s="366"/>
      <c r="F1244" s="366"/>
      <c r="G1244" s="367"/>
      <c r="H1244" s="364"/>
      <c r="I1244" s="367"/>
      <c r="J1244" s="367"/>
      <c r="K1244" s="368"/>
    </row>
    <row r="1245" spans="1:11" x14ac:dyDescent="0.25">
      <c r="A1245" s="364"/>
      <c r="B1245" s="364"/>
      <c r="C1245" s="367"/>
      <c r="D1245" s="365"/>
      <c r="E1245" s="366"/>
      <c r="F1245" s="366"/>
      <c r="G1245" s="367"/>
      <c r="H1245" s="364"/>
      <c r="I1245" s="367"/>
      <c r="J1245" s="367"/>
      <c r="K1245" s="368"/>
    </row>
    <row r="1246" spans="1:11" x14ac:dyDescent="0.25">
      <c r="A1246" s="364"/>
      <c r="B1246" s="364"/>
      <c r="C1246" s="367"/>
      <c r="D1246" s="365"/>
      <c r="E1246" s="366"/>
      <c r="F1246" s="366"/>
      <c r="G1246" s="367"/>
      <c r="H1246" s="364"/>
      <c r="I1246" s="367"/>
      <c r="J1246" s="367"/>
      <c r="K1246" s="368"/>
    </row>
    <row r="1247" spans="1:11" x14ac:dyDescent="0.25">
      <c r="A1247" s="364"/>
      <c r="B1247" s="364"/>
      <c r="C1247" s="367"/>
      <c r="D1247" s="365"/>
      <c r="E1247" s="366"/>
      <c r="F1247" s="366"/>
      <c r="G1247" s="367"/>
      <c r="H1247" s="364"/>
      <c r="I1247" s="367"/>
      <c r="J1247" s="367"/>
      <c r="K1247" s="368"/>
    </row>
    <row r="1248" spans="1:11" x14ac:dyDescent="0.25">
      <c r="A1248" s="364"/>
      <c r="B1248" s="364"/>
      <c r="C1248" s="367"/>
      <c r="D1248" s="365"/>
      <c r="E1248" s="366"/>
      <c r="F1248" s="366"/>
      <c r="G1248" s="367"/>
      <c r="H1248" s="364"/>
      <c r="I1248" s="367"/>
      <c r="J1248" s="367"/>
      <c r="K1248" s="368"/>
    </row>
    <row r="1249" spans="1:11" x14ac:dyDescent="0.25">
      <c r="A1249" s="364"/>
      <c r="B1249" s="364"/>
      <c r="C1249" s="367"/>
      <c r="D1249" s="365"/>
      <c r="E1249" s="366"/>
      <c r="F1249" s="366"/>
      <c r="G1249" s="367"/>
      <c r="H1249" s="364"/>
      <c r="I1249" s="367"/>
      <c r="J1249" s="367"/>
      <c r="K1249" s="368"/>
    </row>
    <row r="1250" spans="1:11" x14ac:dyDescent="0.25">
      <c r="A1250" s="364"/>
      <c r="B1250" s="364"/>
      <c r="C1250" s="367"/>
      <c r="D1250" s="365"/>
      <c r="E1250" s="366"/>
      <c r="F1250" s="366"/>
      <c r="G1250" s="367"/>
      <c r="H1250" s="364"/>
      <c r="I1250" s="367"/>
      <c r="J1250" s="367"/>
      <c r="K1250" s="368"/>
    </row>
    <row r="1251" spans="1:11" x14ac:dyDescent="0.25">
      <c r="A1251" s="364"/>
      <c r="B1251" s="364"/>
      <c r="C1251" s="367"/>
      <c r="D1251" s="365"/>
      <c r="E1251" s="366"/>
      <c r="F1251" s="366"/>
      <c r="G1251" s="367"/>
      <c r="H1251" s="364"/>
      <c r="I1251" s="367"/>
      <c r="J1251" s="367"/>
      <c r="K1251" s="368"/>
    </row>
    <row r="1252" spans="1:11" x14ac:dyDescent="0.25">
      <c r="A1252" s="364"/>
      <c r="B1252" s="364"/>
      <c r="C1252" s="367"/>
      <c r="D1252" s="365"/>
      <c r="E1252" s="366"/>
      <c r="F1252" s="366"/>
      <c r="G1252" s="367"/>
      <c r="H1252" s="364"/>
      <c r="I1252" s="367"/>
      <c r="J1252" s="367"/>
      <c r="K1252" s="368"/>
    </row>
    <row r="1253" spans="1:11" x14ac:dyDescent="0.25">
      <c r="A1253" s="364"/>
      <c r="B1253" s="364"/>
      <c r="C1253" s="367"/>
      <c r="D1253" s="365"/>
      <c r="E1253" s="366"/>
      <c r="F1253" s="366"/>
      <c r="G1253" s="367"/>
      <c r="H1253" s="364"/>
      <c r="I1253" s="367"/>
      <c r="J1253" s="367"/>
      <c r="K1253" s="368"/>
    </row>
    <row r="1254" spans="1:11" x14ac:dyDescent="0.25">
      <c r="A1254" s="364"/>
      <c r="B1254" s="364"/>
      <c r="C1254" s="367"/>
      <c r="D1254" s="365"/>
      <c r="E1254" s="366"/>
      <c r="F1254" s="366"/>
      <c r="G1254" s="367"/>
      <c r="H1254" s="364"/>
      <c r="I1254" s="367"/>
      <c r="J1254" s="367"/>
      <c r="K1254" s="368"/>
    </row>
    <row r="1255" spans="1:11" x14ac:dyDescent="0.25">
      <c r="A1255" s="364"/>
      <c r="B1255" s="364"/>
      <c r="C1255" s="367"/>
      <c r="D1255" s="365"/>
      <c r="E1255" s="366"/>
      <c r="F1255" s="366"/>
      <c r="G1255" s="367"/>
      <c r="H1255" s="364"/>
      <c r="I1255" s="367"/>
      <c r="J1255" s="367"/>
      <c r="K1255" s="368"/>
    </row>
    <row r="1256" spans="1:11" x14ac:dyDescent="0.25">
      <c r="A1256" s="364"/>
      <c r="B1256" s="364"/>
      <c r="C1256" s="367"/>
      <c r="D1256" s="365"/>
      <c r="E1256" s="366"/>
      <c r="F1256" s="366"/>
      <c r="G1256" s="367"/>
      <c r="H1256" s="364"/>
      <c r="I1256" s="367"/>
      <c r="J1256" s="367"/>
      <c r="K1256" s="368"/>
    </row>
    <row r="1257" spans="1:11" x14ac:dyDescent="0.25">
      <c r="A1257" s="364"/>
      <c r="B1257" s="364"/>
      <c r="C1257" s="367"/>
      <c r="D1257" s="365"/>
      <c r="E1257" s="366"/>
      <c r="F1257" s="366"/>
      <c r="G1257" s="367"/>
      <c r="H1257" s="364"/>
      <c r="I1257" s="367"/>
      <c r="J1257" s="367"/>
      <c r="K1257" s="368"/>
    </row>
    <row r="1258" spans="1:11" x14ac:dyDescent="0.25">
      <c r="A1258" s="364"/>
      <c r="B1258" s="364"/>
      <c r="C1258" s="367"/>
      <c r="D1258" s="365"/>
      <c r="E1258" s="366"/>
      <c r="F1258" s="366"/>
      <c r="G1258" s="367"/>
      <c r="H1258" s="364"/>
      <c r="I1258" s="367"/>
      <c r="J1258" s="367"/>
      <c r="K1258" s="368"/>
    </row>
    <row r="1259" spans="1:11" x14ac:dyDescent="0.25">
      <c r="A1259" s="364"/>
      <c r="B1259" s="364"/>
      <c r="C1259" s="367"/>
      <c r="D1259" s="365"/>
      <c r="E1259" s="366"/>
      <c r="F1259" s="366"/>
      <c r="G1259" s="367"/>
      <c r="H1259" s="364"/>
      <c r="I1259" s="367"/>
      <c r="J1259" s="367"/>
      <c r="K1259" s="368"/>
    </row>
    <row r="1260" spans="1:11" x14ac:dyDescent="0.25">
      <c r="A1260" s="364"/>
      <c r="B1260" s="364"/>
      <c r="C1260" s="367"/>
      <c r="D1260" s="365"/>
      <c r="E1260" s="366"/>
      <c r="F1260" s="366"/>
      <c r="G1260" s="367"/>
      <c r="H1260" s="364"/>
      <c r="I1260" s="367"/>
      <c r="J1260" s="367"/>
      <c r="K1260" s="368"/>
    </row>
    <row r="1261" spans="1:11" x14ac:dyDescent="0.25">
      <c r="A1261" s="364"/>
      <c r="B1261" s="364"/>
      <c r="C1261" s="367"/>
      <c r="D1261" s="365"/>
      <c r="E1261" s="366"/>
      <c r="F1261" s="366"/>
      <c r="G1261" s="367"/>
      <c r="H1261" s="364"/>
      <c r="I1261" s="367"/>
      <c r="J1261" s="367"/>
      <c r="K1261" s="368"/>
    </row>
    <row r="1262" spans="1:11" x14ac:dyDescent="0.25">
      <c r="A1262" s="364"/>
      <c r="B1262" s="364"/>
      <c r="C1262" s="367"/>
      <c r="D1262" s="365"/>
      <c r="E1262" s="366"/>
      <c r="F1262" s="366"/>
      <c r="G1262" s="367"/>
      <c r="H1262" s="364"/>
      <c r="I1262" s="367"/>
      <c r="J1262" s="367"/>
      <c r="K1262" s="368"/>
    </row>
    <row r="1263" spans="1:11" x14ac:dyDescent="0.25">
      <c r="A1263" s="364"/>
      <c r="B1263" s="364"/>
      <c r="C1263" s="367"/>
      <c r="D1263" s="365"/>
      <c r="E1263" s="366"/>
      <c r="F1263" s="366"/>
      <c r="G1263" s="367"/>
      <c r="H1263" s="364"/>
      <c r="I1263" s="367"/>
      <c r="J1263" s="367"/>
      <c r="K1263" s="368"/>
    </row>
    <row r="1264" spans="1:11" x14ac:dyDescent="0.25">
      <c r="A1264" s="364"/>
      <c r="B1264" s="364"/>
      <c r="C1264" s="367"/>
      <c r="D1264" s="365"/>
      <c r="E1264" s="366"/>
      <c r="F1264" s="366"/>
      <c r="G1264" s="367"/>
      <c r="H1264" s="364"/>
      <c r="I1264" s="367"/>
      <c r="J1264" s="367"/>
      <c r="K1264" s="368"/>
    </row>
    <row r="1265" spans="1:11" x14ac:dyDescent="0.25">
      <c r="A1265" s="364"/>
      <c r="B1265" s="364"/>
      <c r="C1265" s="367"/>
      <c r="D1265" s="365"/>
      <c r="E1265" s="366"/>
      <c r="F1265" s="366"/>
      <c r="G1265" s="367"/>
      <c r="H1265" s="364"/>
      <c r="I1265" s="367"/>
      <c r="J1265" s="367"/>
      <c r="K1265" s="368"/>
    </row>
    <row r="1266" spans="1:11" x14ac:dyDescent="0.25">
      <c r="A1266" s="364"/>
      <c r="B1266" s="364"/>
      <c r="C1266" s="367"/>
      <c r="D1266" s="365"/>
      <c r="E1266" s="366"/>
      <c r="F1266" s="366"/>
      <c r="G1266" s="367"/>
      <c r="H1266" s="364"/>
      <c r="I1266" s="367"/>
      <c r="J1266" s="367"/>
      <c r="K1266" s="368"/>
    </row>
    <row r="1267" spans="1:11" x14ac:dyDescent="0.25">
      <c r="A1267" s="364"/>
      <c r="B1267" s="364"/>
      <c r="C1267" s="367"/>
      <c r="D1267" s="365"/>
      <c r="E1267" s="366"/>
      <c r="F1267" s="366"/>
      <c r="G1267" s="367"/>
      <c r="H1267" s="364"/>
      <c r="I1267" s="367"/>
      <c r="J1267" s="367"/>
      <c r="K1267" s="368"/>
    </row>
    <row r="1268" spans="1:11" x14ac:dyDescent="0.25">
      <c r="A1268" s="364"/>
      <c r="B1268" s="364"/>
      <c r="C1268" s="367"/>
      <c r="D1268" s="365"/>
      <c r="E1268" s="366"/>
      <c r="F1268" s="366"/>
      <c r="G1268" s="367"/>
      <c r="H1268" s="364"/>
      <c r="I1268" s="367"/>
      <c r="J1268" s="367"/>
      <c r="K1268" s="368"/>
    </row>
    <row r="1269" spans="1:11" x14ac:dyDescent="0.25">
      <c r="A1269" s="364"/>
      <c r="B1269" s="364"/>
      <c r="C1269" s="367"/>
      <c r="D1269" s="365"/>
      <c r="E1269" s="366"/>
      <c r="F1269" s="366"/>
      <c r="G1269" s="367"/>
      <c r="H1269" s="364"/>
      <c r="I1269" s="367"/>
      <c r="J1269" s="367"/>
      <c r="K1269" s="368"/>
    </row>
    <row r="1270" spans="1:11" x14ac:dyDescent="0.25">
      <c r="A1270" s="364"/>
      <c r="B1270" s="364"/>
      <c r="C1270" s="367"/>
      <c r="D1270" s="365"/>
      <c r="E1270" s="366"/>
      <c r="F1270" s="366"/>
      <c r="G1270" s="367"/>
      <c r="H1270" s="364"/>
      <c r="I1270" s="367"/>
      <c r="J1270" s="367"/>
      <c r="K1270" s="368"/>
    </row>
    <row r="1271" spans="1:11" x14ac:dyDescent="0.25">
      <c r="A1271" s="364"/>
      <c r="B1271" s="364"/>
      <c r="C1271" s="367"/>
      <c r="D1271" s="365"/>
      <c r="E1271" s="366"/>
      <c r="F1271" s="366"/>
      <c r="G1271" s="367"/>
      <c r="H1271" s="364"/>
      <c r="I1271" s="367"/>
      <c r="J1271" s="367"/>
      <c r="K1271" s="368"/>
    </row>
    <row r="1272" spans="1:11" x14ac:dyDescent="0.25">
      <c r="A1272" s="364"/>
      <c r="B1272" s="364"/>
      <c r="C1272" s="367"/>
      <c r="D1272" s="365"/>
      <c r="E1272" s="366"/>
      <c r="F1272" s="366"/>
      <c r="G1272" s="367"/>
      <c r="H1272" s="364"/>
      <c r="I1272" s="367"/>
      <c r="J1272" s="367"/>
      <c r="K1272" s="368"/>
    </row>
    <row r="1273" spans="1:11" x14ac:dyDescent="0.25">
      <c r="A1273" s="364"/>
      <c r="B1273" s="364"/>
      <c r="C1273" s="367"/>
      <c r="D1273" s="365"/>
      <c r="E1273" s="366"/>
      <c r="F1273" s="366"/>
      <c r="G1273" s="367"/>
      <c r="H1273" s="364"/>
      <c r="I1273" s="367"/>
      <c r="J1273" s="367"/>
      <c r="K1273" s="368"/>
    </row>
  </sheetData>
  <hyperlinks>
    <hyperlink ref="K514" r:id="rId1" xr:uid="{00000000-0004-0000-0400-000000000000}"/>
    <hyperlink ref="K516" r:id="rId2" display="file:///home/claude/12N%2024W%2031%20-%20Index.pdf,%20PDF%20page%2024%20/%20printed%20report%20page%201" xr:uid="{00000000-0004-0000-0400-000001000000}"/>
    <hyperlink ref="K517" r:id="rId3" xr:uid="{00000000-0004-0000-0400-000002000000}"/>
    <hyperlink ref="K518" r:id="rId4" xr:uid="{00000000-0004-0000-0400-000003000000}"/>
    <hyperlink ref="K520" r:id="rId5" xr:uid="{00000000-0004-0000-0400-000004000000}"/>
    <hyperlink ref="K873" r:id="rId6" display="https://okcountyrecords.com/detail/roger+mills/2026-003315/35464678" xr:uid="{00000000-0004-0000-0400-000005000000}"/>
    <hyperlink ref="K920" r:id="rId7" display="https://okcountyrecords.com/detail/roger+mills/2026-003315/35464678" xr:uid="{00000000-0004-0000-0400-000006000000}"/>
    <hyperlink ref="K965" r:id="rId8" display="https://okcountyrecords.com/detail/roger+mills/2026-003315/35464678" xr:uid="{00000000-0004-0000-0400-000007000000}"/>
  </hyperlinks>
  <pageMargins left="0.25" right="0.25" top="0.5" bottom="0.5" header="0.5" footer="0.5"/>
  <pageSetup paperSize="5" scale="64" fitToHeight="0" orientation="landscape"/>
  <tableParts count="1">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Y208"/>
  <sheetViews>
    <sheetView zoomScaleNormal="120" workbookViewId="0">
      <pane xSplit="6" topLeftCell="G1" activePane="topRight" state="frozen"/>
      <selection pane="topRight" activeCell="K24" sqref="K2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1.5703125" style="139" bestFit="1" customWidth="1"/>
    <col min="12" max="12" width="12.5703125" style="139" bestFit="1" customWidth="1"/>
    <col min="13" max="14" width="11.5703125" style="139" bestFit="1" customWidth="1"/>
    <col min="15" max="15" width="14.140625" style="139" bestFit="1" customWidth="1"/>
    <col min="16" max="19" width="11.5703125" style="139" bestFit="1" customWidth="1"/>
    <col min="20" max="20" width="12.5703125" style="139" bestFit="1" customWidth="1"/>
    <col min="21" max="25" width="11.5703125" style="139" bestFit="1" customWidth="1"/>
    <col min="26" max="26" width="14.140625" style="139" bestFit="1" customWidth="1"/>
    <col min="27" max="27" width="24.140625" style="139" bestFit="1" customWidth="1"/>
    <col min="28" max="30" width="19.140625" style="139" bestFit="1" customWidth="1"/>
    <col min="31" max="33" width="11.5703125" style="139" bestFit="1" customWidth="1"/>
    <col min="34" max="34" width="20.42578125" style="139" bestFit="1" customWidth="1"/>
    <col min="35" max="35" width="11.42578125" style="139" bestFit="1" customWidth="1"/>
    <col min="36" max="36" width="20.42578125" style="139" bestFit="1" customWidth="1"/>
    <col min="37" max="37" width="11.5703125" style="139" bestFit="1" customWidth="1"/>
    <col min="38" max="38" width="14.5703125" style="139" bestFit="1" customWidth="1"/>
    <col min="39" max="39" width="9.140625" style="139" bestFit="1" customWidth="1"/>
    <col min="40" max="40" width="11.7109375" style="139" bestFit="1" customWidth="1"/>
    <col min="41" max="41" width="10.7109375" style="139" bestFit="1" customWidth="1"/>
    <col min="42" max="43" width="9.85546875" style="139" bestFit="1" customWidth="1"/>
    <col min="44" max="47" width="9.28515625" style="139" bestFit="1" customWidth="1"/>
    <col min="48" max="48" width="9.5703125" style="139" bestFit="1" customWidth="1"/>
    <col min="49" max="50" width="9" style="139" bestFit="1" customWidth="1"/>
    <col min="51" max="180" width="14.42578125" style="139" customWidth="1"/>
    <col min="181" max="181" width="3" style="43" customWidth="1"/>
    <col min="182" max="184" width="14.42578125" style="42" customWidth="1"/>
    <col min="185" max="16384" width="14.42578125" style="42"/>
  </cols>
  <sheetData>
    <row r="1" spans="1:181" ht="13.5" customHeight="1" thickBot="1" x14ac:dyDescent="0.3">
      <c r="E1" s="530" t="s">
        <v>221</v>
      </c>
      <c r="F1" s="495"/>
      <c r="G1" s="90"/>
      <c r="H1" s="304" t="s">
        <v>981</v>
      </c>
      <c r="I1" s="304" t="s">
        <v>969</v>
      </c>
      <c r="J1" s="304" t="s">
        <v>1623</v>
      </c>
      <c r="K1" s="170" t="s">
        <v>1623</v>
      </c>
      <c r="L1" s="170" t="s">
        <v>2430</v>
      </c>
      <c r="M1" s="170" t="s">
        <v>1623</v>
      </c>
      <c r="N1" s="170" t="s">
        <v>1623</v>
      </c>
      <c r="O1" s="170" t="s">
        <v>2506</v>
      </c>
      <c r="P1" s="170" t="s">
        <v>1623</v>
      </c>
      <c r="Q1" s="170" t="s">
        <v>1623</v>
      </c>
      <c r="R1" s="170" t="s">
        <v>2619</v>
      </c>
      <c r="S1" s="170" t="s">
        <v>1623</v>
      </c>
      <c r="T1" s="170" t="s">
        <v>2430</v>
      </c>
      <c r="U1" s="170" t="s">
        <v>1274</v>
      </c>
      <c r="V1" s="170" t="s">
        <v>1623</v>
      </c>
      <c r="W1" s="170" t="s">
        <v>1623</v>
      </c>
      <c r="X1" s="170" t="s">
        <v>1623</v>
      </c>
      <c r="Y1" s="170" t="s">
        <v>1274</v>
      </c>
      <c r="Z1" s="170" t="s">
        <v>2506</v>
      </c>
      <c r="AA1" s="170" t="s">
        <v>2827</v>
      </c>
      <c r="AB1" s="170" t="s">
        <v>3456</v>
      </c>
      <c r="AC1" s="170" t="s">
        <v>3456</v>
      </c>
      <c r="AD1" s="170" t="s">
        <v>3456</v>
      </c>
      <c r="AE1" s="170" t="s">
        <v>1274</v>
      </c>
      <c r="AF1" s="170" t="s">
        <v>1623</v>
      </c>
      <c r="AG1" s="170" t="s">
        <v>1623</v>
      </c>
      <c r="AH1" s="170" t="s">
        <v>82</v>
      </c>
      <c r="AI1" s="170" t="s">
        <v>1623</v>
      </c>
      <c r="AJ1" s="170" t="s">
        <v>82</v>
      </c>
      <c r="AK1" s="170" t="s">
        <v>1623</v>
      </c>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c r="BZ1" s="170"/>
      <c r="CA1" s="170"/>
      <c r="CB1" s="170"/>
      <c r="CC1" s="170"/>
      <c r="CD1" s="170"/>
      <c r="CE1" s="170"/>
      <c r="CF1" s="170"/>
      <c r="CG1" s="170"/>
      <c r="FT1" s="43"/>
      <c r="FU1" s="42"/>
      <c r="FV1" s="42"/>
      <c r="FW1" s="42"/>
      <c r="FX1" s="42"/>
      <c r="FY1" s="42"/>
    </row>
    <row r="2" spans="1:181" s="89" customFormat="1" ht="12.75" customHeight="1" thickTop="1" thickBot="1" x14ac:dyDescent="0.3">
      <c r="A2" s="543" t="s">
        <v>4143</v>
      </c>
      <c r="B2" s="551" t="s">
        <v>4144</v>
      </c>
      <c r="C2" s="542"/>
      <c r="D2" s="531" t="s">
        <v>4145</v>
      </c>
      <c r="E2" s="558" t="s">
        <v>4146</v>
      </c>
      <c r="F2" s="540"/>
      <c r="G2" s="90"/>
      <c r="H2" s="302" t="s">
        <v>1177</v>
      </c>
      <c r="I2" s="434" t="s">
        <v>2137</v>
      </c>
      <c r="J2" s="302" t="s">
        <v>2512</v>
      </c>
      <c r="K2" s="171" t="s">
        <v>2516</v>
      </c>
      <c r="L2" s="435" t="s">
        <v>2550</v>
      </c>
      <c r="M2" s="171" t="s">
        <v>2719</v>
      </c>
      <c r="N2" s="171" t="s">
        <v>2761</v>
      </c>
      <c r="O2" s="171" t="s">
        <v>2766</v>
      </c>
      <c r="P2" s="171" t="s">
        <v>2790</v>
      </c>
      <c r="Q2" s="171" t="s">
        <v>2793</v>
      </c>
      <c r="R2" s="171" t="s">
        <v>2819</v>
      </c>
      <c r="S2" s="435" t="s">
        <v>2898</v>
      </c>
      <c r="T2" s="171" t="s">
        <v>2924</v>
      </c>
      <c r="U2" s="171" t="s">
        <v>2939</v>
      </c>
      <c r="V2" s="171" t="s">
        <v>3026</v>
      </c>
      <c r="W2" s="435" t="s">
        <v>3034</v>
      </c>
      <c r="X2" s="171" t="s">
        <v>3154</v>
      </c>
      <c r="Y2" s="171" t="s">
        <v>3160</v>
      </c>
      <c r="Z2" s="435" t="s">
        <v>3317</v>
      </c>
      <c r="AA2" s="435" t="s">
        <v>3344</v>
      </c>
      <c r="AB2" s="435" t="s">
        <v>3455</v>
      </c>
      <c r="AC2" s="435" t="s">
        <v>3460</v>
      </c>
      <c r="AD2" s="435" t="s">
        <v>3464</v>
      </c>
      <c r="AE2" s="435" t="s">
        <v>3550</v>
      </c>
      <c r="AF2" s="435" t="s">
        <v>3614</v>
      </c>
      <c r="AG2" s="435" t="s">
        <v>3635</v>
      </c>
      <c r="AH2" s="171" t="s">
        <v>3700</v>
      </c>
      <c r="AI2" s="171"/>
      <c r="AJ2" s="435" t="s">
        <v>3757</v>
      </c>
      <c r="AK2" s="435" t="s">
        <v>3816</v>
      </c>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1"/>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row>
    <row r="3" spans="1:181" s="89" customFormat="1" ht="23.1" customHeight="1" thickTop="1" x14ac:dyDescent="0.25">
      <c r="A3" s="544"/>
      <c r="B3" s="541" t="s">
        <v>4147</v>
      </c>
      <c r="C3" s="542"/>
      <c r="D3" s="532"/>
      <c r="E3" s="539" t="s">
        <v>4148</v>
      </c>
      <c r="F3" s="540"/>
      <c r="G3" s="90"/>
      <c r="H3" s="40" t="s">
        <v>4149</v>
      </c>
      <c r="I3" s="40" t="s">
        <v>4150</v>
      </c>
      <c r="J3" s="40" t="s">
        <v>4151</v>
      </c>
      <c r="K3" s="40" t="s">
        <v>4152</v>
      </c>
      <c r="L3" s="40" t="s">
        <v>4153</v>
      </c>
      <c r="M3" s="40" t="s">
        <v>4154</v>
      </c>
      <c r="N3" s="40" t="s">
        <v>4155</v>
      </c>
      <c r="O3" s="40" t="s">
        <v>4156</v>
      </c>
      <c r="P3" s="40" t="s">
        <v>4157</v>
      </c>
      <c r="Q3" s="40" t="s">
        <v>4158</v>
      </c>
      <c r="R3" s="40" t="s">
        <v>4159</v>
      </c>
      <c r="S3" s="40" t="s">
        <v>4160</v>
      </c>
      <c r="T3" s="40" t="s">
        <v>4161</v>
      </c>
      <c r="U3" s="40" t="s">
        <v>4162</v>
      </c>
      <c r="V3" s="40" t="s">
        <v>4163</v>
      </c>
      <c r="W3" s="40" t="s">
        <v>4164</v>
      </c>
      <c r="X3" s="40" t="s">
        <v>4165</v>
      </c>
      <c r="Y3" s="40" t="s">
        <v>4166</v>
      </c>
      <c r="Z3" s="171" t="s">
        <v>4167</v>
      </c>
      <c r="AA3" s="171" t="s">
        <v>4168</v>
      </c>
      <c r="AB3" s="40" t="s">
        <v>4169</v>
      </c>
      <c r="AC3" s="40" t="s">
        <v>4170</v>
      </c>
      <c r="AD3" s="171" t="s">
        <v>4171</v>
      </c>
      <c r="AE3" s="39" t="s">
        <v>4172</v>
      </c>
      <c r="AF3" s="40" t="s">
        <v>4173</v>
      </c>
      <c r="AG3" s="40" t="s">
        <v>4174</v>
      </c>
      <c r="AH3" s="40" t="s">
        <v>4175</v>
      </c>
      <c r="AI3" s="40" t="s">
        <v>4176</v>
      </c>
      <c r="AJ3" s="40" t="s">
        <v>81</v>
      </c>
      <c r="AK3" s="40" t="s">
        <v>4177</v>
      </c>
      <c r="AL3" s="40"/>
      <c r="AM3" s="40"/>
      <c r="AN3" s="171"/>
      <c r="AO3" s="171"/>
      <c r="AP3" s="171"/>
      <c r="AQ3" s="39"/>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row>
    <row r="4" spans="1:181" s="89" customFormat="1" ht="12.75" customHeight="1" x14ac:dyDescent="0.25">
      <c r="A4" s="544"/>
      <c r="B4" s="557"/>
      <c r="C4" s="542"/>
      <c r="D4" s="533"/>
      <c r="E4" s="550" t="s">
        <v>4178</v>
      </c>
      <c r="F4" s="540"/>
      <c r="G4" s="90"/>
      <c r="H4" s="331">
        <v>11021</v>
      </c>
      <c r="I4" s="331">
        <v>32329</v>
      </c>
      <c r="J4" s="331">
        <v>34542</v>
      </c>
      <c r="K4" s="332">
        <v>34754</v>
      </c>
      <c r="L4" s="332">
        <v>35429</v>
      </c>
      <c r="M4" s="331">
        <v>36647</v>
      </c>
      <c r="N4" s="331">
        <v>36957</v>
      </c>
      <c r="O4" s="331">
        <v>36969</v>
      </c>
      <c r="P4" s="331">
        <v>36987</v>
      </c>
      <c r="Q4" s="331">
        <v>36991</v>
      </c>
      <c r="R4" s="331">
        <v>37034</v>
      </c>
      <c r="S4" s="331">
        <v>37592</v>
      </c>
      <c r="T4" s="331">
        <v>37897</v>
      </c>
      <c r="U4" s="331">
        <v>37994</v>
      </c>
      <c r="V4" s="331">
        <v>38281</v>
      </c>
      <c r="W4" s="331">
        <v>38365</v>
      </c>
      <c r="X4" s="331">
        <v>38658</v>
      </c>
      <c r="Y4" s="331">
        <v>38695</v>
      </c>
      <c r="Z4" s="332">
        <v>39197</v>
      </c>
      <c r="AA4" s="332">
        <v>39612</v>
      </c>
      <c r="AB4" s="331">
        <v>40592</v>
      </c>
      <c r="AC4" s="331">
        <v>40592</v>
      </c>
      <c r="AD4" s="332">
        <v>40592</v>
      </c>
      <c r="AE4" s="331">
        <v>41304</v>
      </c>
      <c r="AF4" s="331">
        <v>41774</v>
      </c>
      <c r="AG4" s="331">
        <v>41927</v>
      </c>
      <c r="AH4" s="331">
        <v>42593</v>
      </c>
      <c r="AI4" s="331">
        <v>42996</v>
      </c>
      <c r="AJ4" s="331">
        <v>43382</v>
      </c>
      <c r="AK4" s="331">
        <v>44377</v>
      </c>
      <c r="AL4" s="331"/>
      <c r="AM4" s="331"/>
      <c r="AN4" s="332"/>
      <c r="AO4" s="332"/>
      <c r="AP4" s="332"/>
      <c r="AQ4" s="331"/>
      <c r="AR4" s="332"/>
      <c r="AS4" s="332"/>
      <c r="AT4" s="332"/>
      <c r="AU4" s="332"/>
      <c r="AV4" s="332"/>
      <c r="AW4" s="332"/>
      <c r="AX4" s="332"/>
      <c r="AY4" s="332"/>
      <c r="AZ4" s="332"/>
      <c r="BA4" s="332"/>
      <c r="BB4" s="172"/>
      <c r="BC4" s="172"/>
      <c r="BD4" s="172"/>
      <c r="BE4" s="172"/>
      <c r="BF4" s="172"/>
      <c r="BG4" s="172"/>
      <c r="BH4" s="172"/>
      <c r="BI4" s="172"/>
      <c r="BJ4" s="172"/>
      <c r="BK4" s="172"/>
      <c r="BL4" s="172"/>
      <c r="BM4" s="172"/>
      <c r="BN4" s="172"/>
      <c r="BO4" s="172"/>
      <c r="BP4" s="172"/>
      <c r="BQ4" s="172"/>
      <c r="BR4" s="172"/>
      <c r="BS4" s="172"/>
      <c r="BT4" s="172"/>
      <c r="BU4" s="172"/>
      <c r="BV4" s="172"/>
      <c r="BW4" s="172"/>
      <c r="BX4" s="172"/>
      <c r="BY4" s="172"/>
      <c r="BZ4" s="172"/>
      <c r="CA4" s="172"/>
      <c r="CB4" s="172"/>
      <c r="CC4" s="172"/>
      <c r="CD4" s="172"/>
      <c r="CE4" s="172"/>
      <c r="CF4" s="172"/>
      <c r="CG4" s="172"/>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row>
    <row r="5" spans="1:181" s="85" customFormat="1" ht="27.75" customHeight="1" x14ac:dyDescent="0.25">
      <c r="A5" s="544"/>
      <c r="B5" s="552" t="s">
        <v>4179</v>
      </c>
      <c r="C5" s="553"/>
      <c r="D5" s="92">
        <v>80</v>
      </c>
      <c r="E5" s="546" t="s">
        <v>4180</v>
      </c>
      <c r="F5" s="547"/>
      <c r="G5" s="88"/>
      <c r="H5" s="304" t="s">
        <v>973</v>
      </c>
      <c r="I5" s="304" t="s">
        <v>973</v>
      </c>
      <c r="J5" s="304"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row>
    <row r="6" spans="1:181" s="84" customFormat="1" ht="14.25" customHeight="1" thickBot="1" x14ac:dyDescent="0.25">
      <c r="A6" s="545"/>
      <c r="B6" s="555" t="s">
        <v>4181</v>
      </c>
      <c r="C6" s="537">
        <v>80</v>
      </c>
      <c r="D6" s="554" t="s">
        <v>161</v>
      </c>
      <c r="E6" s="537">
        <f>SUBTOTAL(9,E9:E205)</f>
        <v>0</v>
      </c>
      <c r="F6" s="534" t="s">
        <v>4182</v>
      </c>
      <c r="G6" s="91"/>
      <c r="H6" s="91" t="str">
        <f>IF(H7=0,"","RECHECK")</f>
        <v/>
      </c>
      <c r="I6" s="91" t="str">
        <f>IF(I7=0,"","RECHECK")</f>
        <v/>
      </c>
      <c r="J6" s="91" t="str">
        <f>IF(J7=0,"","RECHECK")</f>
        <v/>
      </c>
      <c r="K6" s="142"/>
      <c r="L6" s="142" t="str">
        <f t="shared" ref="L6:AF6" si="0">IF(L7=0,"","RECHECK")</f>
        <v/>
      </c>
      <c r="M6" s="142" t="str">
        <f t="shared" si="0"/>
        <v/>
      </c>
      <c r="N6" s="142" t="str">
        <f t="shared" si="0"/>
        <v/>
      </c>
      <c r="O6" s="142" t="str">
        <f t="shared" si="0"/>
        <v/>
      </c>
      <c r="P6" s="142" t="str">
        <f t="shared" si="0"/>
        <v/>
      </c>
      <c r="Q6" s="142" t="str">
        <f t="shared" si="0"/>
        <v/>
      </c>
      <c r="R6" s="142" t="str">
        <f t="shared" si="0"/>
        <v/>
      </c>
      <c r="S6" s="142" t="str">
        <f t="shared" si="0"/>
        <v/>
      </c>
      <c r="T6" s="142" t="str">
        <f t="shared" si="0"/>
        <v/>
      </c>
      <c r="U6" s="142" t="str">
        <f t="shared" si="0"/>
        <v/>
      </c>
      <c r="V6" s="142" t="str">
        <f t="shared" si="0"/>
        <v/>
      </c>
      <c r="W6" s="142" t="str">
        <f t="shared" si="0"/>
        <v/>
      </c>
      <c r="X6" s="142" t="str">
        <f t="shared" si="0"/>
        <v/>
      </c>
      <c r="Y6" s="142" t="str">
        <f t="shared" si="0"/>
        <v/>
      </c>
      <c r="Z6" s="142" t="str">
        <f t="shared" si="0"/>
        <v/>
      </c>
      <c r="AA6" s="142" t="str">
        <f t="shared" si="0"/>
        <v/>
      </c>
      <c r="AB6" s="142" t="str">
        <f t="shared" si="0"/>
        <v/>
      </c>
      <c r="AC6" s="142" t="str">
        <f t="shared" si="0"/>
        <v/>
      </c>
      <c r="AD6" s="142" t="str">
        <f t="shared" si="0"/>
        <v/>
      </c>
      <c r="AE6" s="142" t="str">
        <f t="shared" si="0"/>
        <v/>
      </c>
      <c r="AF6" s="142" t="str">
        <f t="shared" si="0"/>
        <v/>
      </c>
      <c r="AG6" s="142"/>
      <c r="AH6" s="142"/>
      <c r="AI6" s="142"/>
      <c r="AJ6" s="142" t="str">
        <f>IF(AJ7=0,"","RECHECK")</f>
        <v/>
      </c>
      <c r="AK6" s="142" t="str">
        <f>IF(AK7=0,"","RECHECK")</f>
        <v/>
      </c>
      <c r="AL6" s="142" t="str">
        <f>IF(AL7=0,"","RECHECK")</f>
        <v/>
      </c>
      <c r="AM6" s="142" t="str">
        <f>IF(AM7=0,"","RECHECK")</f>
        <v/>
      </c>
      <c r="AN6" s="142"/>
      <c r="AO6" s="142"/>
      <c r="AP6" s="142" t="str">
        <f t="shared" ref="AP6:BU6" si="1">IF(AP7=0,"","RECHECK")</f>
        <v/>
      </c>
      <c r="AQ6" s="142" t="str">
        <f t="shared" si="1"/>
        <v/>
      </c>
      <c r="AR6" s="142" t="str">
        <f t="shared" si="1"/>
        <v/>
      </c>
      <c r="AS6" s="142" t="str">
        <f t="shared" si="1"/>
        <v/>
      </c>
      <c r="AT6" s="142" t="str">
        <f t="shared" si="1"/>
        <v/>
      </c>
      <c r="AU6" s="142" t="str">
        <f t="shared" si="1"/>
        <v/>
      </c>
      <c r="AV6" s="142" t="str">
        <f t="shared" si="1"/>
        <v/>
      </c>
      <c r="AW6" s="142" t="str">
        <f t="shared" si="1"/>
        <v/>
      </c>
      <c r="AX6" s="142" t="str">
        <f t="shared" si="1"/>
        <v/>
      </c>
      <c r="AY6" s="142" t="str">
        <f t="shared" si="1"/>
        <v/>
      </c>
      <c r="AZ6" s="142" t="str">
        <f t="shared" si="1"/>
        <v/>
      </c>
      <c r="BA6" s="142" t="str">
        <f t="shared" si="1"/>
        <v/>
      </c>
      <c r="BB6" s="142" t="str">
        <f t="shared" si="1"/>
        <v/>
      </c>
      <c r="BC6" s="142" t="str">
        <f t="shared" si="1"/>
        <v/>
      </c>
      <c r="BD6" s="142" t="str">
        <f t="shared" si="1"/>
        <v/>
      </c>
      <c r="BE6" s="142" t="str">
        <f t="shared" si="1"/>
        <v/>
      </c>
      <c r="BF6" s="142" t="str">
        <f t="shared" si="1"/>
        <v/>
      </c>
      <c r="BG6" s="142" t="str">
        <f t="shared" si="1"/>
        <v/>
      </c>
      <c r="BH6" s="142" t="str">
        <f t="shared" si="1"/>
        <v/>
      </c>
      <c r="BI6" s="142" t="str">
        <f t="shared" si="1"/>
        <v/>
      </c>
      <c r="BJ6" s="142" t="str">
        <f t="shared" si="1"/>
        <v/>
      </c>
      <c r="BK6" s="142" t="str">
        <f t="shared" si="1"/>
        <v/>
      </c>
      <c r="BL6" s="142" t="str">
        <f t="shared" si="1"/>
        <v/>
      </c>
      <c r="BM6" s="142" t="str">
        <f t="shared" si="1"/>
        <v/>
      </c>
      <c r="BN6" s="142" t="str">
        <f t="shared" si="1"/>
        <v/>
      </c>
      <c r="BO6" s="142" t="str">
        <f t="shared" si="1"/>
        <v/>
      </c>
      <c r="BP6" s="142" t="str">
        <f t="shared" si="1"/>
        <v/>
      </c>
      <c r="BQ6" s="142" t="str">
        <f t="shared" si="1"/>
        <v/>
      </c>
      <c r="BR6" s="142" t="str">
        <f t="shared" si="1"/>
        <v/>
      </c>
      <c r="BS6" s="142" t="str">
        <f t="shared" si="1"/>
        <v/>
      </c>
      <c r="BT6" s="142" t="str">
        <f t="shared" si="1"/>
        <v/>
      </c>
      <c r="BU6" s="142" t="str">
        <f t="shared" si="1"/>
        <v/>
      </c>
      <c r="BV6" s="142" t="str">
        <f t="shared" ref="BV6:DA6" si="2">IF(BV7=0,"","RECHECK")</f>
        <v/>
      </c>
      <c r="BW6" s="142" t="str">
        <f t="shared" si="2"/>
        <v/>
      </c>
      <c r="BX6" s="142" t="str">
        <f t="shared" si="2"/>
        <v/>
      </c>
      <c r="BY6" s="142" t="str">
        <f t="shared" si="2"/>
        <v/>
      </c>
      <c r="BZ6" s="142" t="str">
        <f t="shared" si="2"/>
        <v/>
      </c>
      <c r="CA6" s="142" t="str">
        <f t="shared" si="2"/>
        <v/>
      </c>
      <c r="CB6" s="142" t="str">
        <f t="shared" si="2"/>
        <v/>
      </c>
      <c r="CC6" s="142" t="str">
        <f t="shared" si="2"/>
        <v/>
      </c>
      <c r="CD6" s="142" t="str">
        <f t="shared" si="2"/>
        <v/>
      </c>
      <c r="CE6" s="142" t="str">
        <f t="shared" si="2"/>
        <v/>
      </c>
      <c r="CF6" s="142" t="str">
        <f t="shared" si="2"/>
        <v/>
      </c>
      <c r="CG6" s="142" t="str">
        <f t="shared" si="2"/>
        <v/>
      </c>
      <c r="CH6" s="142" t="str">
        <f t="shared" si="2"/>
        <v/>
      </c>
      <c r="CI6" s="142" t="str">
        <f t="shared" si="2"/>
        <v/>
      </c>
      <c r="CJ6" s="142" t="str">
        <f t="shared" si="2"/>
        <v/>
      </c>
      <c r="CK6" s="142" t="str">
        <f t="shared" si="2"/>
        <v/>
      </c>
      <c r="CL6" s="142" t="str">
        <f t="shared" si="2"/>
        <v/>
      </c>
      <c r="CM6" s="142" t="str">
        <f t="shared" si="2"/>
        <v/>
      </c>
      <c r="CN6" s="142" t="str">
        <f t="shared" si="2"/>
        <v/>
      </c>
      <c r="CO6" s="142" t="str">
        <f t="shared" si="2"/>
        <v/>
      </c>
      <c r="CP6" s="142" t="str">
        <f t="shared" si="2"/>
        <v/>
      </c>
      <c r="CQ6" s="142" t="str">
        <f t="shared" si="2"/>
        <v/>
      </c>
      <c r="CR6" s="142" t="str">
        <f t="shared" si="2"/>
        <v/>
      </c>
      <c r="CS6" s="142" t="str">
        <f t="shared" si="2"/>
        <v/>
      </c>
      <c r="CT6" s="142" t="str">
        <f t="shared" si="2"/>
        <v/>
      </c>
      <c r="CU6" s="142" t="str">
        <f t="shared" si="2"/>
        <v/>
      </c>
      <c r="CV6" s="142" t="str">
        <f t="shared" si="2"/>
        <v/>
      </c>
      <c r="CW6" s="142" t="str">
        <f t="shared" si="2"/>
        <v/>
      </c>
      <c r="CX6" s="142" t="str">
        <f t="shared" si="2"/>
        <v/>
      </c>
      <c r="CY6" s="142" t="str">
        <f t="shared" si="2"/>
        <v/>
      </c>
      <c r="CZ6" s="142" t="str">
        <f t="shared" si="2"/>
        <v/>
      </c>
      <c r="DA6" s="142" t="str">
        <f t="shared" si="2"/>
        <v/>
      </c>
      <c r="DB6" s="142" t="str">
        <f t="shared" ref="DB6:EG6" si="3">IF(DB7=0,"","RECHECK")</f>
        <v/>
      </c>
      <c r="DC6" s="142" t="str">
        <f t="shared" si="3"/>
        <v/>
      </c>
      <c r="DD6" s="142" t="str">
        <f t="shared" si="3"/>
        <v/>
      </c>
      <c r="DE6" s="142" t="str">
        <f t="shared" si="3"/>
        <v/>
      </c>
      <c r="DF6" s="142" t="str">
        <f t="shared" si="3"/>
        <v/>
      </c>
      <c r="DG6" s="142" t="str">
        <f t="shared" si="3"/>
        <v/>
      </c>
      <c r="DH6" s="142" t="str">
        <f t="shared" si="3"/>
        <v/>
      </c>
      <c r="DI6" s="142" t="str">
        <f t="shared" si="3"/>
        <v/>
      </c>
      <c r="DJ6" s="142" t="str">
        <f t="shared" si="3"/>
        <v/>
      </c>
      <c r="DK6" s="142" t="str">
        <f t="shared" si="3"/>
        <v/>
      </c>
      <c r="DL6" s="142" t="str">
        <f t="shared" si="3"/>
        <v/>
      </c>
      <c r="DM6" s="142" t="str">
        <f t="shared" si="3"/>
        <v/>
      </c>
      <c r="DN6" s="142" t="str">
        <f t="shared" si="3"/>
        <v/>
      </c>
      <c r="DO6" s="142" t="str">
        <f t="shared" si="3"/>
        <v/>
      </c>
      <c r="DP6" s="142" t="str">
        <f t="shared" si="3"/>
        <v/>
      </c>
      <c r="DQ6" s="142" t="str">
        <f t="shared" si="3"/>
        <v/>
      </c>
      <c r="DR6" s="142" t="str">
        <f t="shared" si="3"/>
        <v/>
      </c>
      <c r="DS6" s="142" t="str">
        <f t="shared" si="3"/>
        <v/>
      </c>
      <c r="DT6" s="142" t="str">
        <f t="shared" si="3"/>
        <v/>
      </c>
      <c r="DU6" s="142" t="str">
        <f t="shared" si="3"/>
        <v/>
      </c>
      <c r="DV6" s="142" t="str">
        <f t="shared" si="3"/>
        <v/>
      </c>
      <c r="DW6" s="142" t="str">
        <f t="shared" si="3"/>
        <v/>
      </c>
      <c r="DX6" s="142" t="str">
        <f t="shared" si="3"/>
        <v/>
      </c>
      <c r="DY6" s="142" t="str">
        <f t="shared" si="3"/>
        <v/>
      </c>
      <c r="DZ6" s="142" t="str">
        <f t="shared" si="3"/>
        <v/>
      </c>
      <c r="EA6" s="142" t="str">
        <f t="shared" si="3"/>
        <v/>
      </c>
      <c r="EB6" s="142" t="str">
        <f t="shared" si="3"/>
        <v/>
      </c>
      <c r="EC6" s="142" t="str">
        <f t="shared" si="3"/>
        <v/>
      </c>
      <c r="ED6" s="142" t="str">
        <f t="shared" si="3"/>
        <v/>
      </c>
      <c r="EE6" s="142" t="str">
        <f t="shared" si="3"/>
        <v/>
      </c>
      <c r="EF6" s="142" t="str">
        <f t="shared" si="3"/>
        <v/>
      </c>
      <c r="EG6" s="142" t="str">
        <f t="shared" si="3"/>
        <v/>
      </c>
      <c r="EH6" s="142" t="str">
        <f t="shared" ref="EH6:FM6" si="4">IF(EH7=0,"","RECHECK")</f>
        <v/>
      </c>
      <c r="EI6" s="142" t="str">
        <f t="shared" si="4"/>
        <v/>
      </c>
      <c r="EJ6" s="142" t="str">
        <f t="shared" si="4"/>
        <v/>
      </c>
      <c r="EK6" s="142" t="str">
        <f t="shared" si="4"/>
        <v/>
      </c>
      <c r="EL6" s="142" t="str">
        <f t="shared" si="4"/>
        <v/>
      </c>
      <c r="EM6" s="142" t="str">
        <f t="shared" si="4"/>
        <v/>
      </c>
      <c r="EN6" s="142" t="str">
        <f t="shared" si="4"/>
        <v/>
      </c>
      <c r="EO6" s="142" t="str">
        <f t="shared" si="4"/>
        <v/>
      </c>
      <c r="EP6" s="142" t="str">
        <f t="shared" si="4"/>
        <v/>
      </c>
      <c r="EQ6" s="142" t="str">
        <f t="shared" si="4"/>
        <v/>
      </c>
      <c r="ER6" s="142" t="str">
        <f t="shared" si="4"/>
        <v/>
      </c>
      <c r="ES6" s="142" t="str">
        <f t="shared" si="4"/>
        <v/>
      </c>
      <c r="ET6" s="142" t="str">
        <f t="shared" si="4"/>
        <v/>
      </c>
      <c r="EU6" s="142" t="str">
        <f t="shared" si="4"/>
        <v/>
      </c>
      <c r="EV6" s="142" t="str">
        <f t="shared" si="4"/>
        <v/>
      </c>
      <c r="EW6" s="142" t="str">
        <f t="shared" si="4"/>
        <v/>
      </c>
      <c r="EX6" s="142" t="str">
        <f t="shared" si="4"/>
        <v/>
      </c>
      <c r="EY6" s="142" t="str">
        <f t="shared" si="4"/>
        <v/>
      </c>
      <c r="EZ6" s="142" t="str">
        <f t="shared" si="4"/>
        <v/>
      </c>
      <c r="FA6" s="142" t="str">
        <f t="shared" si="4"/>
        <v/>
      </c>
      <c r="FB6" s="142" t="str">
        <f t="shared" si="4"/>
        <v/>
      </c>
      <c r="FC6" s="142" t="str">
        <f t="shared" si="4"/>
        <v/>
      </c>
      <c r="FD6" s="142" t="str">
        <f t="shared" si="4"/>
        <v/>
      </c>
      <c r="FE6" s="142" t="str">
        <f t="shared" si="4"/>
        <v/>
      </c>
      <c r="FF6" s="142" t="str">
        <f t="shared" si="4"/>
        <v/>
      </c>
      <c r="FG6" s="142" t="str">
        <f t="shared" si="4"/>
        <v/>
      </c>
      <c r="FH6" s="142" t="str">
        <f t="shared" si="4"/>
        <v/>
      </c>
      <c r="FI6" s="142" t="str">
        <f t="shared" si="4"/>
        <v/>
      </c>
      <c r="FJ6" s="142" t="str">
        <f t="shared" si="4"/>
        <v/>
      </c>
      <c r="FK6" s="142" t="str">
        <f t="shared" si="4"/>
        <v/>
      </c>
      <c r="FL6" s="142" t="str">
        <f t="shared" si="4"/>
        <v/>
      </c>
      <c r="FM6" s="142" t="str">
        <f t="shared" si="4"/>
        <v/>
      </c>
      <c r="FN6" s="142" t="str">
        <f t="shared" ref="FN6:FX6" si="5">IF(FN7=0,"","RECHECK")</f>
        <v/>
      </c>
      <c r="FO6" s="142" t="str">
        <f t="shared" si="5"/>
        <v/>
      </c>
      <c r="FP6" s="142" t="str">
        <f t="shared" si="5"/>
        <v/>
      </c>
      <c r="FQ6" s="142" t="str">
        <f t="shared" si="5"/>
        <v/>
      </c>
      <c r="FR6" s="142" t="str">
        <f t="shared" si="5"/>
        <v/>
      </c>
      <c r="FS6" s="142" t="str">
        <f t="shared" si="5"/>
        <v/>
      </c>
      <c r="FT6" s="142" t="str">
        <f t="shared" si="5"/>
        <v/>
      </c>
      <c r="FU6" s="142" t="str">
        <f t="shared" si="5"/>
        <v/>
      </c>
      <c r="FV6" s="142" t="str">
        <f t="shared" si="5"/>
        <v/>
      </c>
      <c r="FW6" s="142" t="str">
        <f t="shared" si="5"/>
        <v/>
      </c>
      <c r="FX6" s="142" t="str">
        <f t="shared" si="5"/>
        <v/>
      </c>
    </row>
    <row r="7" spans="1:181" s="82" customFormat="1" ht="14.25" customHeight="1" thickTop="1" thickBot="1" x14ac:dyDescent="0.25">
      <c r="A7" s="83"/>
      <c r="B7" s="542"/>
      <c r="C7" s="538"/>
      <c r="D7" s="538"/>
      <c r="E7" s="538"/>
      <c r="F7" s="535"/>
      <c r="G7" s="548">
        <f t="shared" ref="G7:AJ7" si="6">SUBTOTAL(9,G10:G206)</f>
        <v>0</v>
      </c>
      <c r="H7" s="528">
        <f t="shared" si="6"/>
        <v>0</v>
      </c>
      <c r="I7" s="528">
        <f t="shared" si="6"/>
        <v>0</v>
      </c>
      <c r="J7" s="528">
        <f t="shared" si="6"/>
        <v>0</v>
      </c>
      <c r="K7" s="528">
        <f t="shared" si="6"/>
        <v>0</v>
      </c>
      <c r="L7" s="528">
        <f t="shared" si="6"/>
        <v>0</v>
      </c>
      <c r="M7" s="528">
        <f t="shared" si="6"/>
        <v>0</v>
      </c>
      <c r="N7" s="528">
        <f t="shared" si="6"/>
        <v>0</v>
      </c>
      <c r="O7" s="528">
        <f t="shared" si="6"/>
        <v>0</v>
      </c>
      <c r="P7" s="528">
        <f t="shared" si="6"/>
        <v>0</v>
      </c>
      <c r="Q7" s="528">
        <f t="shared" si="6"/>
        <v>0</v>
      </c>
      <c r="R7" s="528">
        <f t="shared" si="6"/>
        <v>0</v>
      </c>
      <c r="S7" s="528">
        <f t="shared" si="6"/>
        <v>0</v>
      </c>
      <c r="T7" s="528">
        <f t="shared" si="6"/>
        <v>0</v>
      </c>
      <c r="U7" s="528">
        <f t="shared" si="6"/>
        <v>0</v>
      </c>
      <c r="V7" s="528">
        <f t="shared" si="6"/>
        <v>0</v>
      </c>
      <c r="W7" s="528">
        <f t="shared" si="6"/>
        <v>0</v>
      </c>
      <c r="X7" s="528">
        <f t="shared" si="6"/>
        <v>0</v>
      </c>
      <c r="Y7" s="528">
        <f t="shared" si="6"/>
        <v>0</v>
      </c>
      <c r="Z7" s="528">
        <f t="shared" si="6"/>
        <v>0</v>
      </c>
      <c r="AA7" s="528">
        <f t="shared" si="6"/>
        <v>0</v>
      </c>
      <c r="AB7" s="528">
        <f t="shared" si="6"/>
        <v>0</v>
      </c>
      <c r="AC7" s="528">
        <f t="shared" si="6"/>
        <v>0</v>
      </c>
      <c r="AD7" s="528">
        <f t="shared" si="6"/>
        <v>0</v>
      </c>
      <c r="AE7" s="528">
        <f t="shared" si="6"/>
        <v>0</v>
      </c>
      <c r="AF7" s="528">
        <f t="shared" si="6"/>
        <v>0</v>
      </c>
      <c r="AG7" s="528">
        <f t="shared" si="6"/>
        <v>0</v>
      </c>
      <c r="AH7" s="528">
        <f t="shared" si="6"/>
        <v>0</v>
      </c>
      <c r="AI7" s="528">
        <f t="shared" si="6"/>
        <v>0</v>
      </c>
      <c r="AJ7" s="528">
        <f t="shared" si="6"/>
        <v>0</v>
      </c>
      <c r="AK7" s="528">
        <v>0</v>
      </c>
      <c r="AL7" s="528">
        <f>SUBTOTAL(9,AL10:AL206)</f>
        <v>0</v>
      </c>
      <c r="AM7" s="528">
        <f>SUBTOTAL(9,AM10:AM206)</f>
        <v>0</v>
      </c>
      <c r="AN7" s="528">
        <f>SUBTOTAL(9,AN10:AN201)</f>
        <v>0</v>
      </c>
      <c r="AO7" s="528">
        <f>SUBTOTAL(9,AO10:AO195)</f>
        <v>0</v>
      </c>
      <c r="AP7" s="528">
        <f>SUBTOTAL(9,AP10:AP195)</f>
        <v>0</v>
      </c>
      <c r="AQ7" s="528">
        <f>SUBTOTAL(9,AQ10:AQ195)</f>
        <v>0</v>
      </c>
      <c r="AR7" s="528">
        <f>SUBTOTAL(9,AR10:AR195)</f>
        <v>0</v>
      </c>
      <c r="AS7" s="528">
        <f>SUBTOTAL(9,AS10:AS206)</f>
        <v>0</v>
      </c>
      <c r="AT7" s="528">
        <f>SUBTOTAL(9,AT10:AT206)</f>
        <v>0</v>
      </c>
      <c r="AU7" s="528">
        <f>SUBTOTAL(9,AU10:AU206)</f>
        <v>0</v>
      </c>
      <c r="AV7" s="528">
        <f>SUBTOTAL(9,AV10:AV202)</f>
        <v>0</v>
      </c>
      <c r="AW7" s="528">
        <f t="shared" ref="AW7:CB7" si="7">SUBTOTAL(9,AW10:AW206)</f>
        <v>0</v>
      </c>
      <c r="AX7" s="528">
        <f t="shared" si="7"/>
        <v>0</v>
      </c>
      <c r="AY7" s="528">
        <f t="shared" si="7"/>
        <v>0</v>
      </c>
      <c r="AZ7" s="528">
        <f t="shared" si="7"/>
        <v>0</v>
      </c>
      <c r="BA7" s="528">
        <f t="shared" si="7"/>
        <v>0</v>
      </c>
      <c r="BB7" s="528">
        <f t="shared" si="7"/>
        <v>0</v>
      </c>
      <c r="BC7" s="528">
        <f t="shared" si="7"/>
        <v>0</v>
      </c>
      <c r="BD7" s="528">
        <f t="shared" si="7"/>
        <v>0</v>
      </c>
      <c r="BE7" s="528">
        <f t="shared" si="7"/>
        <v>0</v>
      </c>
      <c r="BF7" s="528">
        <f t="shared" si="7"/>
        <v>0</v>
      </c>
      <c r="BG7" s="528">
        <f t="shared" si="7"/>
        <v>0</v>
      </c>
      <c r="BH7" s="528">
        <f t="shared" si="7"/>
        <v>0</v>
      </c>
      <c r="BI7" s="528">
        <f t="shared" si="7"/>
        <v>0</v>
      </c>
      <c r="BJ7" s="528">
        <f t="shared" si="7"/>
        <v>0</v>
      </c>
      <c r="BK7" s="528">
        <f t="shared" si="7"/>
        <v>0</v>
      </c>
      <c r="BL7" s="528">
        <f t="shared" si="7"/>
        <v>0</v>
      </c>
      <c r="BM7" s="528">
        <f t="shared" si="7"/>
        <v>0</v>
      </c>
      <c r="BN7" s="528">
        <f t="shared" si="7"/>
        <v>0</v>
      </c>
      <c r="BO7" s="528">
        <f t="shared" si="7"/>
        <v>0</v>
      </c>
      <c r="BP7" s="528">
        <f t="shared" si="7"/>
        <v>0</v>
      </c>
      <c r="BQ7" s="528">
        <f t="shared" si="7"/>
        <v>0</v>
      </c>
      <c r="BR7" s="528">
        <f t="shared" si="7"/>
        <v>0</v>
      </c>
      <c r="BS7" s="528">
        <f t="shared" si="7"/>
        <v>0</v>
      </c>
      <c r="BT7" s="528">
        <f t="shared" si="7"/>
        <v>0</v>
      </c>
      <c r="BU7" s="528">
        <f t="shared" si="7"/>
        <v>0</v>
      </c>
      <c r="BV7" s="528">
        <f t="shared" si="7"/>
        <v>0</v>
      </c>
      <c r="BW7" s="528">
        <f t="shared" si="7"/>
        <v>0</v>
      </c>
      <c r="BX7" s="528">
        <f t="shared" si="7"/>
        <v>0</v>
      </c>
      <c r="BY7" s="528">
        <f t="shared" si="7"/>
        <v>0</v>
      </c>
      <c r="BZ7" s="528">
        <f t="shared" si="7"/>
        <v>0</v>
      </c>
      <c r="CA7" s="528">
        <f t="shared" si="7"/>
        <v>0</v>
      </c>
      <c r="CB7" s="528">
        <f t="shared" si="7"/>
        <v>0</v>
      </c>
      <c r="CC7" s="528">
        <f t="shared" ref="CC7:DH7" si="8">SUBTOTAL(9,CC10:CC206)</f>
        <v>0</v>
      </c>
      <c r="CD7" s="528">
        <f t="shared" si="8"/>
        <v>0</v>
      </c>
      <c r="CE7" s="528">
        <f t="shared" si="8"/>
        <v>0</v>
      </c>
      <c r="CF7" s="528">
        <f t="shared" si="8"/>
        <v>0</v>
      </c>
      <c r="CG7" s="528">
        <f t="shared" si="8"/>
        <v>0</v>
      </c>
      <c r="CH7" s="528">
        <f t="shared" si="8"/>
        <v>0</v>
      </c>
      <c r="CI7" s="528">
        <f t="shared" si="8"/>
        <v>0</v>
      </c>
      <c r="CJ7" s="528">
        <f t="shared" si="8"/>
        <v>0</v>
      </c>
      <c r="CK7" s="528">
        <f t="shared" si="8"/>
        <v>0</v>
      </c>
      <c r="CL7" s="528">
        <f t="shared" si="8"/>
        <v>0</v>
      </c>
      <c r="CM7" s="528">
        <f t="shared" si="8"/>
        <v>0</v>
      </c>
      <c r="CN7" s="528">
        <f t="shared" si="8"/>
        <v>0</v>
      </c>
      <c r="CO7" s="528">
        <f t="shared" si="8"/>
        <v>0</v>
      </c>
      <c r="CP7" s="528">
        <f t="shared" si="8"/>
        <v>0</v>
      </c>
      <c r="CQ7" s="528">
        <f t="shared" si="8"/>
        <v>0</v>
      </c>
      <c r="CR7" s="528">
        <f t="shared" si="8"/>
        <v>0</v>
      </c>
      <c r="CS7" s="528">
        <f t="shared" si="8"/>
        <v>0</v>
      </c>
      <c r="CT7" s="528">
        <f t="shared" si="8"/>
        <v>0</v>
      </c>
      <c r="CU7" s="528">
        <f t="shared" si="8"/>
        <v>0</v>
      </c>
      <c r="CV7" s="528">
        <f t="shared" si="8"/>
        <v>0</v>
      </c>
      <c r="CW7" s="528">
        <f t="shared" si="8"/>
        <v>0</v>
      </c>
      <c r="CX7" s="528">
        <f t="shared" si="8"/>
        <v>0</v>
      </c>
      <c r="CY7" s="528">
        <f t="shared" si="8"/>
        <v>0</v>
      </c>
      <c r="CZ7" s="528">
        <f t="shared" si="8"/>
        <v>0</v>
      </c>
      <c r="DA7" s="528">
        <f t="shared" si="8"/>
        <v>0</v>
      </c>
      <c r="DB7" s="528">
        <f t="shared" si="8"/>
        <v>0</v>
      </c>
      <c r="DC7" s="528">
        <f t="shared" si="8"/>
        <v>0</v>
      </c>
      <c r="DD7" s="528">
        <f t="shared" si="8"/>
        <v>0</v>
      </c>
      <c r="DE7" s="528">
        <f t="shared" si="8"/>
        <v>0</v>
      </c>
      <c r="DF7" s="528">
        <f t="shared" si="8"/>
        <v>0</v>
      </c>
      <c r="DG7" s="528">
        <f t="shared" si="8"/>
        <v>0</v>
      </c>
      <c r="DH7" s="528">
        <f t="shared" si="8"/>
        <v>0</v>
      </c>
      <c r="DI7" s="528">
        <f t="shared" ref="DI7:EN7" si="9">SUBTOTAL(9,DI10:DI206)</f>
        <v>0</v>
      </c>
      <c r="DJ7" s="528">
        <f t="shared" si="9"/>
        <v>0</v>
      </c>
      <c r="DK7" s="528">
        <f t="shared" si="9"/>
        <v>0</v>
      </c>
      <c r="DL7" s="528">
        <f t="shared" si="9"/>
        <v>0</v>
      </c>
      <c r="DM7" s="528">
        <f t="shared" si="9"/>
        <v>0</v>
      </c>
      <c r="DN7" s="528">
        <f t="shared" si="9"/>
        <v>0</v>
      </c>
      <c r="DO7" s="528">
        <f t="shared" si="9"/>
        <v>0</v>
      </c>
      <c r="DP7" s="528">
        <f t="shared" si="9"/>
        <v>0</v>
      </c>
      <c r="DQ7" s="528">
        <f t="shared" si="9"/>
        <v>0</v>
      </c>
      <c r="DR7" s="528">
        <f t="shared" si="9"/>
        <v>0</v>
      </c>
      <c r="DS7" s="528">
        <f t="shared" si="9"/>
        <v>0</v>
      </c>
      <c r="DT7" s="528">
        <f t="shared" si="9"/>
        <v>0</v>
      </c>
      <c r="DU7" s="528">
        <f t="shared" si="9"/>
        <v>0</v>
      </c>
      <c r="DV7" s="528">
        <f t="shared" si="9"/>
        <v>0</v>
      </c>
      <c r="DW7" s="528">
        <f t="shared" si="9"/>
        <v>0</v>
      </c>
      <c r="DX7" s="528">
        <f t="shared" si="9"/>
        <v>0</v>
      </c>
      <c r="DY7" s="528">
        <f t="shared" si="9"/>
        <v>0</v>
      </c>
      <c r="DZ7" s="528">
        <f t="shared" si="9"/>
        <v>0</v>
      </c>
      <c r="EA7" s="528">
        <f t="shared" si="9"/>
        <v>0</v>
      </c>
      <c r="EB7" s="528">
        <f t="shared" si="9"/>
        <v>0</v>
      </c>
      <c r="EC7" s="528">
        <f t="shared" si="9"/>
        <v>0</v>
      </c>
      <c r="ED7" s="528">
        <f t="shared" si="9"/>
        <v>0</v>
      </c>
      <c r="EE7" s="528">
        <f t="shared" si="9"/>
        <v>0</v>
      </c>
      <c r="EF7" s="528">
        <f t="shared" si="9"/>
        <v>0</v>
      </c>
      <c r="EG7" s="528">
        <f t="shared" si="9"/>
        <v>0</v>
      </c>
      <c r="EH7" s="528">
        <f t="shared" si="9"/>
        <v>0</v>
      </c>
      <c r="EI7" s="528">
        <f t="shared" si="9"/>
        <v>0</v>
      </c>
      <c r="EJ7" s="528">
        <f t="shared" si="9"/>
        <v>0</v>
      </c>
      <c r="EK7" s="528">
        <f t="shared" si="9"/>
        <v>0</v>
      </c>
      <c r="EL7" s="528">
        <f t="shared" si="9"/>
        <v>0</v>
      </c>
      <c r="EM7" s="528">
        <f t="shared" si="9"/>
        <v>0</v>
      </c>
      <c r="EN7" s="528">
        <f t="shared" si="9"/>
        <v>0</v>
      </c>
      <c r="EO7" s="528">
        <f t="shared" ref="EO7:FX7" si="10">SUBTOTAL(9,EO10:EO206)</f>
        <v>0</v>
      </c>
      <c r="EP7" s="528">
        <f t="shared" si="10"/>
        <v>0</v>
      </c>
      <c r="EQ7" s="528">
        <f t="shared" si="10"/>
        <v>0</v>
      </c>
      <c r="ER7" s="528">
        <f t="shared" si="10"/>
        <v>0</v>
      </c>
      <c r="ES7" s="528">
        <f t="shared" si="10"/>
        <v>0</v>
      </c>
      <c r="ET7" s="528">
        <f t="shared" si="10"/>
        <v>0</v>
      </c>
      <c r="EU7" s="528">
        <f t="shared" si="10"/>
        <v>0</v>
      </c>
      <c r="EV7" s="528">
        <f t="shared" si="10"/>
        <v>0</v>
      </c>
      <c r="EW7" s="528">
        <f t="shared" si="10"/>
        <v>0</v>
      </c>
      <c r="EX7" s="528">
        <f t="shared" si="10"/>
        <v>0</v>
      </c>
      <c r="EY7" s="528">
        <f t="shared" si="10"/>
        <v>0</v>
      </c>
      <c r="EZ7" s="528">
        <f t="shared" si="10"/>
        <v>0</v>
      </c>
      <c r="FA7" s="528">
        <f t="shared" si="10"/>
        <v>0</v>
      </c>
      <c r="FB7" s="528">
        <f t="shared" si="10"/>
        <v>0</v>
      </c>
      <c r="FC7" s="528">
        <f t="shared" si="10"/>
        <v>0</v>
      </c>
      <c r="FD7" s="528">
        <f t="shared" si="10"/>
        <v>0</v>
      </c>
      <c r="FE7" s="528">
        <f t="shared" si="10"/>
        <v>0</v>
      </c>
      <c r="FF7" s="528">
        <f t="shared" si="10"/>
        <v>0</v>
      </c>
      <c r="FG7" s="528">
        <f t="shared" si="10"/>
        <v>0</v>
      </c>
      <c r="FH7" s="528">
        <f t="shared" si="10"/>
        <v>0</v>
      </c>
      <c r="FI7" s="528">
        <f t="shared" si="10"/>
        <v>0</v>
      </c>
      <c r="FJ7" s="528">
        <f t="shared" si="10"/>
        <v>0</v>
      </c>
      <c r="FK7" s="528">
        <f t="shared" si="10"/>
        <v>0</v>
      </c>
      <c r="FL7" s="528">
        <f t="shared" si="10"/>
        <v>0</v>
      </c>
      <c r="FM7" s="528">
        <f t="shared" si="10"/>
        <v>0</v>
      </c>
      <c r="FN7" s="528">
        <f t="shared" si="10"/>
        <v>0</v>
      </c>
      <c r="FO7" s="528">
        <f t="shared" si="10"/>
        <v>0</v>
      </c>
      <c r="FP7" s="528">
        <f t="shared" si="10"/>
        <v>0</v>
      </c>
      <c r="FQ7" s="528">
        <f t="shared" si="10"/>
        <v>0</v>
      </c>
      <c r="FR7" s="528">
        <f t="shared" si="10"/>
        <v>0</v>
      </c>
      <c r="FS7" s="528">
        <f t="shared" si="10"/>
        <v>0</v>
      </c>
      <c r="FT7" s="528">
        <f t="shared" si="10"/>
        <v>0</v>
      </c>
      <c r="FU7" s="528">
        <f t="shared" si="10"/>
        <v>0</v>
      </c>
      <c r="FV7" s="528">
        <f t="shared" si="10"/>
        <v>0</v>
      </c>
      <c r="FW7" s="528">
        <f t="shared" si="10"/>
        <v>0</v>
      </c>
      <c r="FX7" s="528">
        <f t="shared" si="10"/>
        <v>0</v>
      </c>
    </row>
    <row r="8" spans="1:18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row>
    <row r="9" spans="1:181" s="69" customFormat="1" ht="12.75" customHeight="1" thickTop="1" x14ac:dyDescent="0.2">
      <c r="A9" s="77"/>
      <c r="B9" s="76"/>
      <c r="C9" s="74"/>
      <c r="D9" s="75"/>
      <c r="E9" s="74"/>
      <c r="F9" s="73"/>
      <c r="G9" s="72"/>
      <c r="H9" s="328"/>
      <c r="I9" s="328"/>
      <c r="J9" s="328"/>
      <c r="K9" s="143"/>
      <c r="L9" s="143"/>
      <c r="M9" s="143"/>
      <c r="N9" s="143"/>
      <c r="O9" s="143"/>
      <c r="P9" s="143"/>
      <c r="Q9" s="143"/>
      <c r="R9" s="143"/>
      <c r="S9" s="143"/>
      <c r="T9" s="143"/>
      <c r="U9" s="143"/>
      <c r="V9" s="143"/>
      <c r="W9" s="143"/>
      <c r="X9" s="143"/>
      <c r="Y9" s="143"/>
      <c r="Z9" s="143"/>
      <c r="AA9" s="143"/>
      <c r="AB9" s="143"/>
      <c r="AC9" s="143"/>
      <c r="AD9" s="143"/>
      <c r="AE9" s="143"/>
      <c r="AF9" s="143"/>
      <c r="AG9" s="149"/>
      <c r="AH9" s="149"/>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row>
    <row r="10" spans="1:181" s="56" customFormat="1" x14ac:dyDescent="0.2">
      <c r="A10" s="67"/>
      <c r="B10" s="66"/>
      <c r="C10" s="419" t="str">
        <f t="shared" ref="C10:C41" si="11">IFERROR(IF($E10&gt;0,$E10/SUMIF($E$10:$E$75,"&gt;0")*$D$5,""),"")</f>
        <v/>
      </c>
      <c r="D10" s="147" t="s">
        <v>983</v>
      </c>
      <c r="E10" s="65">
        <f t="shared" ref="E10:E55" si="12">SUM(G10:HQ10)</f>
        <v>-1</v>
      </c>
      <c r="F10" s="64"/>
      <c r="G10" s="173"/>
      <c r="H10" s="173">
        <v>-1</v>
      </c>
      <c r="I10" s="173"/>
      <c r="J10" s="173"/>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6"/>
      <c r="AH10" s="176"/>
      <c r="AI10" s="175"/>
      <c r="AJ10" s="175"/>
      <c r="AK10" s="175"/>
      <c r="AL10" s="175"/>
      <c r="AM10" s="175"/>
      <c r="AN10" s="175"/>
      <c r="AO10" s="175"/>
      <c r="AP10" s="175"/>
      <c r="AQ10" s="175"/>
      <c r="AR10" s="175"/>
      <c r="AS10" s="175"/>
      <c r="AT10" s="175"/>
      <c r="AU10" s="175"/>
      <c r="AV10" s="175"/>
      <c r="AW10" s="175"/>
      <c r="AX10" s="175"/>
      <c r="AY10" s="175"/>
      <c r="AZ10" s="175"/>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c r="FP10" s="144"/>
      <c r="FQ10" s="144"/>
      <c r="FR10" s="144"/>
      <c r="FS10" s="144"/>
      <c r="FT10" s="144"/>
      <c r="FU10" s="144"/>
      <c r="FV10" s="144"/>
      <c r="FW10" s="144"/>
      <c r="FX10" s="144"/>
    </row>
    <row r="11" spans="1:181" s="56" customFormat="1" x14ac:dyDescent="0.2">
      <c r="A11" s="49"/>
      <c r="B11" s="66"/>
      <c r="C11" s="420">
        <f t="shared" si="11"/>
        <v>4.7058823529411766</v>
      </c>
      <c r="D11" s="147" t="s">
        <v>1179</v>
      </c>
      <c r="E11" s="101">
        <f t="shared" si="12"/>
        <v>1</v>
      </c>
      <c r="F11" s="64"/>
      <c r="G11" s="173"/>
      <c r="H11" s="173">
        <v>1</v>
      </c>
      <c r="I11" s="173"/>
      <c r="J11" s="173"/>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6"/>
      <c r="AH11" s="176"/>
      <c r="AI11" s="175"/>
      <c r="AJ11" s="175"/>
      <c r="AK11" s="176"/>
      <c r="AL11" s="175"/>
      <c r="AM11" s="175"/>
      <c r="AN11" s="175"/>
      <c r="AO11" s="175"/>
      <c r="AP11" s="175"/>
      <c r="AQ11" s="175"/>
      <c r="AR11" s="175"/>
      <c r="AS11" s="175"/>
      <c r="AT11" s="175"/>
      <c r="AU11" s="175"/>
      <c r="AV11" s="175"/>
      <c r="AW11" s="175"/>
      <c r="AX11" s="175"/>
      <c r="AY11" s="175"/>
      <c r="AZ11" s="175"/>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c r="FP11" s="144"/>
      <c r="FQ11" s="144"/>
      <c r="FR11" s="144"/>
      <c r="FS11" s="144"/>
      <c r="FT11" s="144"/>
      <c r="FU11" s="144"/>
      <c r="FV11" s="144"/>
      <c r="FW11" s="144"/>
      <c r="FX11" s="144"/>
    </row>
    <row r="12" spans="1:181" s="56" customFormat="1" ht="36" customHeight="1" x14ac:dyDescent="0.2">
      <c r="A12" s="49"/>
      <c r="B12" s="66"/>
      <c r="C12" s="420" t="str">
        <f t="shared" si="11"/>
        <v/>
      </c>
      <c r="D12" s="147" t="s">
        <v>1747</v>
      </c>
      <c r="E12" s="101">
        <f t="shared" si="12"/>
        <v>0</v>
      </c>
      <c r="F12" s="64"/>
      <c r="G12" s="173"/>
      <c r="H12" s="173"/>
      <c r="I12" s="173"/>
      <c r="J12" s="173"/>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6"/>
      <c r="AL12" s="175"/>
      <c r="AM12" s="175"/>
      <c r="AN12" s="175"/>
      <c r="AO12" s="175"/>
      <c r="AP12" s="175"/>
      <c r="AQ12" s="175"/>
      <c r="AR12" s="175"/>
      <c r="AS12" s="175"/>
      <c r="AT12" s="175"/>
      <c r="AU12" s="175"/>
      <c r="AV12" s="176"/>
      <c r="AW12" s="175"/>
      <c r="AX12" s="175"/>
      <c r="AY12" s="175"/>
      <c r="AZ12" s="175"/>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c r="FP12" s="144"/>
      <c r="FQ12" s="144"/>
      <c r="FR12" s="144"/>
      <c r="FS12" s="144"/>
      <c r="FT12" s="144"/>
      <c r="FU12" s="144"/>
      <c r="FV12" s="144"/>
      <c r="FW12" s="144"/>
      <c r="FX12" s="144"/>
    </row>
    <row r="13" spans="1:181" s="56" customFormat="1" x14ac:dyDescent="0.2">
      <c r="B13" s="96"/>
      <c r="C13" s="419" t="str">
        <f t="shared" si="11"/>
        <v/>
      </c>
      <c r="D13" s="147" t="s">
        <v>4187</v>
      </c>
      <c r="E13" s="65">
        <f t="shared" si="12"/>
        <v>-1</v>
      </c>
      <c r="F13" s="64"/>
      <c r="G13" s="173"/>
      <c r="H13" s="174"/>
      <c r="I13" s="174"/>
      <c r="J13" s="174">
        <v>-1</v>
      </c>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6"/>
      <c r="AO13" s="175"/>
      <c r="AP13" s="175"/>
      <c r="AQ13" s="175"/>
      <c r="AR13" s="175"/>
      <c r="AS13" s="175"/>
      <c r="AT13" s="175"/>
      <c r="AU13" s="175"/>
      <c r="AV13" s="175"/>
      <c r="AW13" s="175"/>
      <c r="AX13" s="175"/>
      <c r="AY13" s="175"/>
      <c r="AZ13" s="175"/>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c r="FP13" s="144"/>
      <c r="FQ13" s="144"/>
      <c r="FR13" s="144"/>
      <c r="FS13" s="144"/>
      <c r="FT13" s="144"/>
      <c r="FU13" s="144"/>
      <c r="FV13" s="144"/>
      <c r="FW13" s="144"/>
      <c r="FX13" s="144"/>
    </row>
    <row r="14" spans="1:181" s="56" customFormat="1" x14ac:dyDescent="0.2">
      <c r="A14" s="95"/>
      <c r="B14" s="95"/>
      <c r="C14" s="419">
        <f t="shared" si="11"/>
        <v>4.7058823529411766</v>
      </c>
      <c r="D14" s="38" t="s">
        <v>8639</v>
      </c>
      <c r="E14" s="65">
        <f t="shared" si="12"/>
        <v>1</v>
      </c>
      <c r="F14" s="64"/>
      <c r="G14" s="173"/>
      <c r="H14" s="173"/>
      <c r="I14" s="173"/>
      <c r="J14" s="173">
        <v>1</v>
      </c>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6"/>
      <c r="AO14" s="174"/>
      <c r="AP14" s="174"/>
      <c r="AQ14" s="174"/>
      <c r="AR14" s="174"/>
      <c r="AS14" s="175"/>
      <c r="AT14" s="175"/>
      <c r="AU14" s="175"/>
      <c r="AV14" s="175"/>
      <c r="AW14" s="175"/>
      <c r="AX14" s="175"/>
      <c r="AY14" s="175"/>
      <c r="AZ14" s="175"/>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c r="FP14" s="144"/>
      <c r="FQ14" s="144"/>
      <c r="FR14" s="144"/>
      <c r="FS14" s="144"/>
      <c r="FT14" s="144"/>
      <c r="FU14" s="144"/>
      <c r="FV14" s="144"/>
      <c r="FW14" s="144"/>
      <c r="FX14" s="144"/>
    </row>
    <row r="15" spans="1:181" s="56" customFormat="1" x14ac:dyDescent="0.2">
      <c r="A15" s="67"/>
      <c r="B15" s="66"/>
      <c r="C15" s="419" t="str">
        <f t="shared" si="11"/>
        <v/>
      </c>
      <c r="D15" s="38" t="s">
        <v>610</v>
      </c>
      <c r="E15" s="65">
        <f t="shared" si="12"/>
        <v>-1</v>
      </c>
      <c r="F15" s="64"/>
      <c r="G15" s="173"/>
      <c r="H15" s="174"/>
      <c r="I15" s="174"/>
      <c r="J15" s="431">
        <v>-1</v>
      </c>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4"/>
      <c r="AP15" s="174"/>
      <c r="AQ15" s="174"/>
      <c r="AR15" s="174"/>
      <c r="AS15" s="175"/>
      <c r="AT15" s="175"/>
      <c r="AU15" s="175"/>
      <c r="AV15" s="175"/>
      <c r="AW15" s="175"/>
      <c r="AX15" s="175"/>
      <c r="AY15" s="175"/>
      <c r="AZ15" s="175"/>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c r="FP15" s="144"/>
      <c r="FQ15" s="144"/>
      <c r="FR15" s="144"/>
      <c r="FS15" s="144"/>
      <c r="FT15" s="144"/>
      <c r="FU15" s="144"/>
      <c r="FV15" s="144"/>
      <c r="FW15" s="144"/>
      <c r="FX15" s="144"/>
    </row>
    <row r="16" spans="1:181" s="56" customFormat="1" x14ac:dyDescent="0.2">
      <c r="A16" s="67"/>
      <c r="B16" s="66"/>
      <c r="C16" s="420">
        <f t="shared" si="11"/>
        <v>4.7058823529411766</v>
      </c>
      <c r="D16" s="38" t="s">
        <v>2514</v>
      </c>
      <c r="E16" s="101">
        <f t="shared" si="12"/>
        <v>1</v>
      </c>
      <c r="F16" s="64"/>
      <c r="G16" s="173"/>
      <c r="H16" s="174"/>
      <c r="I16" s="174"/>
      <c r="J16" s="431">
        <v>1</v>
      </c>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50"/>
      <c r="AH16" s="150"/>
      <c r="AI16" s="175"/>
      <c r="AJ16" s="175"/>
      <c r="AK16" s="175"/>
      <c r="AL16" s="175"/>
      <c r="AM16" s="175"/>
      <c r="AN16" s="175"/>
      <c r="AO16" s="174"/>
      <c r="AP16" s="174"/>
      <c r="AQ16" s="174"/>
      <c r="AR16" s="174"/>
      <c r="AS16" s="175"/>
      <c r="AT16" s="175"/>
      <c r="AU16" s="175"/>
      <c r="AV16" s="175"/>
      <c r="AW16" s="175"/>
      <c r="AX16" s="175"/>
      <c r="AY16" s="175"/>
      <c r="AZ16" s="175"/>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c r="FP16" s="144"/>
      <c r="FQ16" s="144"/>
      <c r="FR16" s="144"/>
      <c r="FS16" s="144"/>
      <c r="FT16" s="144"/>
      <c r="FU16" s="144"/>
      <c r="FV16" s="144"/>
      <c r="FW16" s="144"/>
      <c r="FX16" s="144"/>
    </row>
    <row r="17" spans="1:180" s="56" customFormat="1" x14ac:dyDescent="0.2">
      <c r="A17" s="67"/>
      <c r="B17" s="68"/>
      <c r="C17" s="419" t="str">
        <f t="shared" si="11"/>
        <v/>
      </c>
      <c r="D17" s="38" t="s">
        <v>2518</v>
      </c>
      <c r="E17" s="65">
        <f t="shared" si="12"/>
        <v>-2</v>
      </c>
      <c r="F17" s="64"/>
      <c r="G17" s="173"/>
      <c r="H17" s="173"/>
      <c r="I17" s="173"/>
      <c r="J17" s="173"/>
      <c r="K17" s="432">
        <v>-1</v>
      </c>
      <c r="L17" s="175"/>
      <c r="M17" s="175"/>
      <c r="N17" s="175"/>
      <c r="O17" s="175"/>
      <c r="P17" s="175"/>
      <c r="Q17" s="175"/>
      <c r="R17" s="175"/>
      <c r="S17" s="175"/>
      <c r="T17" s="175"/>
      <c r="U17" s="175"/>
      <c r="V17" s="175"/>
      <c r="W17" s="175"/>
      <c r="X17" s="432">
        <v>-1</v>
      </c>
      <c r="Y17" s="175"/>
      <c r="Z17" s="175"/>
      <c r="AA17" s="175"/>
      <c r="AB17" s="175"/>
      <c r="AC17" s="175"/>
      <c r="AD17" s="175"/>
      <c r="AE17" s="175"/>
      <c r="AF17" s="175"/>
      <c r="AG17" s="175"/>
      <c r="AH17" s="175"/>
      <c r="AI17" s="175"/>
      <c r="AJ17" s="175"/>
      <c r="AK17" s="175"/>
      <c r="AL17" s="175"/>
      <c r="AM17" s="175"/>
      <c r="AN17" s="175"/>
      <c r="AO17" s="174"/>
      <c r="AP17" s="174"/>
      <c r="AQ17" s="174"/>
      <c r="AR17" s="174"/>
      <c r="AS17" s="175"/>
      <c r="AT17" s="175"/>
      <c r="AU17" s="175"/>
      <c r="AV17" s="175"/>
      <c r="AW17" s="175"/>
      <c r="AX17" s="175"/>
      <c r="AY17" s="175"/>
      <c r="AZ17" s="175"/>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c r="FP17" s="144"/>
      <c r="FQ17" s="144"/>
      <c r="FR17" s="144"/>
      <c r="FS17" s="144"/>
      <c r="FT17" s="144"/>
      <c r="FU17" s="144"/>
      <c r="FV17" s="144"/>
      <c r="FW17" s="144"/>
      <c r="FX17" s="144"/>
    </row>
    <row r="18" spans="1:180" s="56" customFormat="1" x14ac:dyDescent="0.2">
      <c r="A18" s="67"/>
      <c r="B18" s="66"/>
      <c r="C18" s="420">
        <f t="shared" si="11"/>
        <v>4.7058823529411766</v>
      </c>
      <c r="D18" s="38" t="s">
        <v>2519</v>
      </c>
      <c r="E18" s="101">
        <f t="shared" si="12"/>
        <v>1</v>
      </c>
      <c r="F18" s="64"/>
      <c r="G18" s="173"/>
      <c r="H18" s="173"/>
      <c r="I18" s="173"/>
      <c r="J18" s="173"/>
      <c r="K18" s="432">
        <v>1</v>
      </c>
      <c r="L18" s="175"/>
      <c r="M18" s="175"/>
      <c r="N18" s="175"/>
      <c r="O18" s="175"/>
      <c r="P18" s="176"/>
      <c r="Q18" s="176"/>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4"/>
      <c r="AP18" s="174"/>
      <c r="AQ18" s="174"/>
      <c r="AR18" s="174"/>
      <c r="AS18" s="175"/>
      <c r="AT18" s="175"/>
      <c r="AU18" s="175"/>
      <c r="AV18" s="176"/>
      <c r="AW18" s="175"/>
      <c r="AX18" s="175"/>
      <c r="AY18" s="175"/>
      <c r="AZ18" s="175"/>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c r="FP18" s="144"/>
      <c r="FQ18" s="144"/>
      <c r="FR18" s="144"/>
      <c r="FS18" s="144"/>
      <c r="FT18" s="144"/>
      <c r="FU18" s="144"/>
      <c r="FV18" s="144"/>
      <c r="FW18" s="144"/>
      <c r="FX18" s="144"/>
    </row>
    <row r="19" spans="1:180" s="56" customFormat="1" x14ac:dyDescent="0.2">
      <c r="A19" s="67"/>
      <c r="B19" s="66"/>
      <c r="C19" s="420" t="str">
        <f t="shared" si="11"/>
        <v/>
      </c>
      <c r="D19" s="38" t="s">
        <v>436</v>
      </c>
      <c r="E19" s="101">
        <f t="shared" si="12"/>
        <v>0</v>
      </c>
      <c r="F19" s="64"/>
      <c r="G19" s="173"/>
      <c r="H19" s="173"/>
      <c r="I19" s="173"/>
      <c r="J19" s="173"/>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4"/>
      <c r="AP19" s="174"/>
      <c r="AQ19" s="174"/>
      <c r="AR19" s="174"/>
      <c r="AS19" s="175"/>
      <c r="AT19" s="175"/>
      <c r="AU19" s="175"/>
      <c r="AV19" s="175"/>
      <c r="AW19" s="175"/>
      <c r="AX19" s="175"/>
      <c r="AY19" s="175"/>
      <c r="AZ19" s="175"/>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c r="FP19" s="144"/>
      <c r="FQ19" s="144"/>
      <c r="FR19" s="144"/>
      <c r="FS19" s="144"/>
      <c r="FT19" s="144"/>
      <c r="FU19" s="144"/>
      <c r="FV19" s="144"/>
      <c r="FW19" s="144"/>
      <c r="FX19" s="144"/>
    </row>
    <row r="20" spans="1:180" s="56" customFormat="1" x14ac:dyDescent="0.2">
      <c r="A20" s="67"/>
      <c r="B20" s="66"/>
      <c r="C20" s="420" t="str">
        <f t="shared" si="11"/>
        <v/>
      </c>
      <c r="D20" s="37" t="s">
        <v>4188</v>
      </c>
      <c r="E20" s="101">
        <f t="shared" si="12"/>
        <v>0</v>
      </c>
      <c r="F20" s="64"/>
      <c r="G20" s="173"/>
      <c r="H20" s="173"/>
      <c r="I20" s="173"/>
      <c r="J20" s="173"/>
      <c r="K20" s="175"/>
      <c r="L20" s="176"/>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c r="FP20" s="144"/>
      <c r="FQ20" s="144"/>
      <c r="FR20" s="144"/>
      <c r="FS20" s="144"/>
      <c r="FT20" s="144"/>
      <c r="FU20" s="144"/>
      <c r="FV20" s="144"/>
      <c r="FW20" s="144"/>
      <c r="FX20" s="144"/>
    </row>
    <row r="21" spans="1:180" s="56" customFormat="1" x14ac:dyDescent="0.2">
      <c r="A21" s="67"/>
      <c r="B21" s="68"/>
      <c r="C21" s="419" t="str">
        <f t="shared" si="11"/>
        <v/>
      </c>
      <c r="D21" s="148" t="s">
        <v>4189</v>
      </c>
      <c r="E21" s="65">
        <f t="shared" si="12"/>
        <v>0</v>
      </c>
      <c r="F21" s="64"/>
      <c r="G21" s="173"/>
      <c r="H21" s="173"/>
      <c r="I21" s="173"/>
      <c r="J21" s="173"/>
      <c r="K21" s="175"/>
      <c r="L21" s="175"/>
      <c r="M21" s="175"/>
      <c r="N21" s="175"/>
      <c r="O21" s="176"/>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c r="FP21" s="144"/>
      <c r="FQ21" s="144"/>
      <c r="FR21" s="144"/>
      <c r="FS21" s="144"/>
      <c r="FT21" s="144"/>
      <c r="FU21" s="144"/>
      <c r="FV21" s="144"/>
      <c r="FW21" s="144"/>
      <c r="FX21" s="144"/>
    </row>
    <row r="22" spans="1:180" s="56" customFormat="1" x14ac:dyDescent="0.2">
      <c r="A22" s="67"/>
      <c r="B22" s="68"/>
      <c r="C22" s="420" t="str">
        <f t="shared" si="11"/>
        <v/>
      </c>
      <c r="D22" s="148" t="s">
        <v>2580</v>
      </c>
      <c r="E22" s="101">
        <f t="shared" si="12"/>
        <v>-1</v>
      </c>
      <c r="F22" s="64"/>
      <c r="G22" s="173"/>
      <c r="H22" s="174"/>
      <c r="I22" s="174"/>
      <c r="J22" s="174"/>
      <c r="K22" s="175"/>
      <c r="L22" s="175"/>
      <c r="M22" s="432">
        <v>-1</v>
      </c>
      <c r="N22" s="175"/>
      <c r="O22" s="176"/>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c r="FP22" s="144"/>
      <c r="FQ22" s="144"/>
      <c r="FR22" s="144"/>
      <c r="FS22" s="144"/>
      <c r="FT22" s="144"/>
      <c r="FU22" s="144"/>
      <c r="FV22" s="144"/>
      <c r="FW22" s="144"/>
      <c r="FX22" s="144"/>
    </row>
    <row r="23" spans="1:180" s="56" customFormat="1" x14ac:dyDescent="0.2">
      <c r="A23" s="67"/>
      <c r="B23" s="66"/>
      <c r="C23" s="419">
        <f t="shared" si="11"/>
        <v>4.7058823529411766</v>
      </c>
      <c r="D23" s="147" t="s">
        <v>2721</v>
      </c>
      <c r="E23" s="65">
        <f t="shared" si="12"/>
        <v>1</v>
      </c>
      <c r="F23" s="64"/>
      <c r="G23" s="173"/>
      <c r="H23" s="173"/>
      <c r="I23" s="173"/>
      <c r="J23" s="173"/>
      <c r="K23" s="175"/>
      <c r="L23" s="175"/>
      <c r="M23" s="432">
        <v>1</v>
      </c>
      <c r="N23" s="175"/>
      <c r="O23" s="176"/>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c r="EN23" s="144"/>
      <c r="EO23" s="144"/>
      <c r="EP23" s="144"/>
      <c r="EQ23" s="144"/>
      <c r="ER23" s="144"/>
      <c r="ES23" s="144"/>
      <c r="ET23" s="144"/>
      <c r="EU23" s="144"/>
      <c r="EV23" s="144"/>
      <c r="EW23" s="144"/>
      <c r="EX23" s="144"/>
      <c r="EY23" s="144"/>
      <c r="EZ23" s="144"/>
      <c r="FA23" s="144"/>
      <c r="FB23" s="144"/>
      <c r="FC23" s="144"/>
      <c r="FD23" s="144"/>
      <c r="FE23" s="144"/>
      <c r="FF23" s="144"/>
      <c r="FG23" s="144"/>
      <c r="FH23" s="144"/>
      <c r="FI23" s="144"/>
      <c r="FJ23" s="144"/>
      <c r="FK23" s="144"/>
      <c r="FL23" s="144"/>
      <c r="FM23" s="144"/>
      <c r="FN23" s="144"/>
      <c r="FO23" s="144"/>
      <c r="FP23" s="144"/>
      <c r="FQ23" s="144"/>
      <c r="FR23" s="144"/>
      <c r="FS23" s="144"/>
      <c r="FT23" s="144"/>
      <c r="FU23" s="144"/>
      <c r="FV23" s="144"/>
      <c r="FW23" s="144"/>
      <c r="FX23" s="144"/>
    </row>
    <row r="24" spans="1:180" s="56" customFormat="1" x14ac:dyDescent="0.2">
      <c r="A24" s="67"/>
      <c r="B24" s="66"/>
      <c r="C24" s="420" t="str">
        <f t="shared" si="11"/>
        <v/>
      </c>
      <c r="D24" s="147" t="s">
        <v>533</v>
      </c>
      <c r="E24" s="101">
        <f t="shared" si="12"/>
        <v>-1</v>
      </c>
      <c r="F24" s="64"/>
      <c r="G24" s="173"/>
      <c r="H24" s="173"/>
      <c r="I24" s="173"/>
      <c r="J24" s="173"/>
      <c r="K24" s="175"/>
      <c r="L24" s="175"/>
      <c r="M24" s="175"/>
      <c r="N24" s="432">
        <v>-1</v>
      </c>
      <c r="O24" s="176"/>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c r="EN24" s="144"/>
      <c r="EO24" s="144"/>
      <c r="EP24" s="144"/>
      <c r="EQ24" s="144"/>
      <c r="ER24" s="144"/>
      <c r="ES24" s="144"/>
      <c r="ET24" s="144"/>
      <c r="EU24" s="144"/>
      <c r="EV24" s="144"/>
      <c r="EW24" s="144"/>
      <c r="EX24" s="144"/>
      <c r="EY24" s="144"/>
      <c r="EZ24" s="144"/>
      <c r="FA24" s="144"/>
      <c r="FB24" s="144"/>
      <c r="FC24" s="144"/>
      <c r="FD24" s="144"/>
      <c r="FE24" s="144"/>
      <c r="FF24" s="144"/>
      <c r="FG24" s="144"/>
      <c r="FH24" s="144"/>
      <c r="FI24" s="144"/>
      <c r="FJ24" s="144"/>
      <c r="FK24" s="144"/>
      <c r="FL24" s="144"/>
      <c r="FM24" s="144"/>
      <c r="FN24" s="144"/>
      <c r="FO24" s="144"/>
      <c r="FP24" s="144"/>
      <c r="FQ24" s="144"/>
      <c r="FR24" s="144"/>
      <c r="FS24" s="144"/>
      <c r="FT24" s="144"/>
      <c r="FU24" s="144"/>
      <c r="FV24" s="144"/>
      <c r="FW24" s="144"/>
      <c r="FX24" s="144"/>
    </row>
    <row r="25" spans="1:180" s="56" customFormat="1" x14ac:dyDescent="0.2">
      <c r="A25" s="67"/>
      <c r="B25" s="66"/>
      <c r="C25" s="420">
        <f t="shared" si="11"/>
        <v>14.117647058823531</v>
      </c>
      <c r="D25" s="148" t="s">
        <v>944</v>
      </c>
      <c r="E25" s="101">
        <f t="shared" si="12"/>
        <v>3</v>
      </c>
      <c r="F25" s="64"/>
      <c r="G25" s="173"/>
      <c r="H25" s="173"/>
      <c r="I25" s="173"/>
      <c r="J25" s="173"/>
      <c r="K25" s="175"/>
      <c r="L25" s="175"/>
      <c r="M25" s="175"/>
      <c r="N25" s="432">
        <v>1</v>
      </c>
      <c r="O25" s="176"/>
      <c r="P25" s="432">
        <v>1</v>
      </c>
      <c r="Q25" s="432">
        <v>1</v>
      </c>
      <c r="R25" s="175"/>
      <c r="S25" s="175"/>
      <c r="T25" s="176"/>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40"/>
      <c r="AR25" s="175"/>
      <c r="AS25" s="175"/>
      <c r="AT25" s="175"/>
      <c r="AU25" s="175"/>
      <c r="AV25" s="175"/>
      <c r="AW25" s="175"/>
      <c r="AX25" s="175"/>
      <c r="AY25" s="175"/>
      <c r="AZ25" s="175"/>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4"/>
      <c r="EM25" s="144"/>
      <c r="EN25" s="144"/>
      <c r="EO25" s="144"/>
      <c r="EP25" s="144"/>
      <c r="EQ25" s="144"/>
      <c r="ER25" s="144"/>
      <c r="ES25" s="144"/>
      <c r="ET25" s="144"/>
      <c r="EU25" s="144"/>
      <c r="EV25" s="144"/>
      <c r="EW25" s="144"/>
      <c r="EX25" s="144"/>
      <c r="EY25" s="144"/>
      <c r="EZ25" s="144"/>
      <c r="FA25" s="144"/>
      <c r="FB25" s="144"/>
      <c r="FC25" s="144"/>
      <c r="FD25" s="144"/>
      <c r="FE25" s="144"/>
      <c r="FF25" s="144"/>
      <c r="FG25" s="144"/>
      <c r="FH25" s="144"/>
      <c r="FI25" s="144"/>
      <c r="FJ25" s="144"/>
      <c r="FK25" s="144"/>
      <c r="FL25" s="144"/>
      <c r="FM25" s="144"/>
      <c r="FN25" s="144"/>
      <c r="FO25" s="144"/>
      <c r="FP25" s="144"/>
      <c r="FQ25" s="144"/>
      <c r="FR25" s="144"/>
      <c r="FS25" s="144"/>
      <c r="FT25" s="144"/>
      <c r="FU25" s="144"/>
      <c r="FV25" s="144"/>
      <c r="FW25" s="144"/>
      <c r="FX25" s="144"/>
    </row>
    <row r="26" spans="1:180" s="56" customFormat="1" x14ac:dyDescent="0.2">
      <c r="A26" s="67"/>
      <c r="B26" s="66"/>
      <c r="C26" s="419" t="str">
        <f t="shared" si="11"/>
        <v/>
      </c>
      <c r="D26" s="147" t="s">
        <v>2768</v>
      </c>
      <c r="E26" s="65">
        <f t="shared" si="12"/>
        <v>-1</v>
      </c>
      <c r="F26" s="64"/>
      <c r="G26" s="173"/>
      <c r="H26" s="173"/>
      <c r="I26" s="173"/>
      <c r="J26" s="173"/>
      <c r="K26" s="175"/>
      <c r="L26" s="176"/>
      <c r="M26" s="175"/>
      <c r="N26" s="175"/>
      <c r="O26" s="432">
        <v>-1</v>
      </c>
      <c r="P26" s="175"/>
      <c r="Q26" s="175"/>
      <c r="R26" s="176"/>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39"/>
      <c r="AR26" s="175"/>
      <c r="AS26" s="175"/>
      <c r="AT26" s="175"/>
      <c r="AU26" s="175"/>
      <c r="AV26" s="175"/>
      <c r="AW26" s="175"/>
      <c r="AX26" s="175"/>
      <c r="AY26" s="175"/>
      <c r="AZ26" s="175"/>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M26" s="144"/>
      <c r="CN26" s="144"/>
      <c r="CO26" s="144"/>
      <c r="CP26" s="144"/>
      <c r="CQ26" s="144"/>
      <c r="CR26" s="144"/>
      <c r="CS26" s="144"/>
      <c r="CT26" s="144"/>
      <c r="CU26" s="144"/>
      <c r="CV26" s="144"/>
      <c r="CW26" s="144"/>
      <c r="CX26" s="144"/>
      <c r="CY26" s="144"/>
      <c r="CZ26" s="144"/>
      <c r="DA26" s="144"/>
      <c r="DB26" s="144"/>
      <c r="DC26" s="144"/>
      <c r="DD26" s="144"/>
      <c r="DE26" s="144"/>
      <c r="DF26" s="144"/>
      <c r="DG26" s="144"/>
      <c r="DH26" s="144"/>
      <c r="DI26" s="144"/>
      <c r="DJ26" s="144"/>
      <c r="DK26" s="144"/>
      <c r="DL26" s="144"/>
      <c r="DM26" s="144"/>
      <c r="DN26" s="144"/>
      <c r="DO26" s="144"/>
      <c r="DP26" s="144"/>
      <c r="DQ26" s="144"/>
      <c r="DR26" s="144"/>
      <c r="DS26" s="144"/>
      <c r="DT26" s="144"/>
      <c r="DU26" s="144"/>
      <c r="DV26" s="144"/>
      <c r="DW26" s="144"/>
      <c r="DX26" s="144"/>
      <c r="DY26" s="144"/>
      <c r="DZ26" s="144"/>
      <c r="EA26" s="144"/>
      <c r="EB26" s="144"/>
      <c r="EC26" s="144"/>
      <c r="ED26" s="144"/>
      <c r="EE26" s="144"/>
      <c r="EF26" s="144"/>
      <c r="EG26" s="144"/>
      <c r="EH26" s="144"/>
      <c r="EI26" s="144"/>
      <c r="EJ26" s="144"/>
      <c r="EK26" s="144"/>
      <c r="EL26" s="144"/>
      <c r="EM26" s="144"/>
      <c r="EN26" s="144"/>
      <c r="EO26" s="144"/>
      <c r="EP26" s="144"/>
      <c r="EQ26" s="144"/>
      <c r="ER26" s="144"/>
      <c r="ES26" s="144"/>
      <c r="ET26" s="144"/>
      <c r="EU26" s="144"/>
      <c r="EV26" s="144"/>
      <c r="EW26" s="144"/>
      <c r="EX26" s="144"/>
      <c r="EY26" s="144"/>
      <c r="EZ26" s="144"/>
      <c r="FA26" s="144"/>
      <c r="FB26" s="144"/>
      <c r="FC26" s="144"/>
      <c r="FD26" s="144"/>
      <c r="FE26" s="144"/>
      <c r="FF26" s="144"/>
      <c r="FG26" s="144"/>
      <c r="FH26" s="144"/>
      <c r="FI26" s="144"/>
      <c r="FJ26" s="144"/>
      <c r="FK26" s="144"/>
      <c r="FL26" s="144"/>
      <c r="FM26" s="144"/>
      <c r="FN26" s="144"/>
      <c r="FO26" s="144"/>
      <c r="FP26" s="144"/>
      <c r="FQ26" s="144"/>
      <c r="FR26" s="144"/>
      <c r="FS26" s="144"/>
      <c r="FT26" s="144"/>
      <c r="FU26" s="144"/>
      <c r="FV26" s="144"/>
      <c r="FW26" s="144"/>
      <c r="FX26" s="144"/>
    </row>
    <row r="27" spans="1:180" s="56" customFormat="1" x14ac:dyDescent="0.2">
      <c r="A27" s="67"/>
      <c r="B27" s="66"/>
      <c r="C27" s="419">
        <f t="shared" si="11"/>
        <v>4.7058823529411766</v>
      </c>
      <c r="D27" s="147" t="s">
        <v>2769</v>
      </c>
      <c r="E27" s="65">
        <f t="shared" si="12"/>
        <v>1</v>
      </c>
      <c r="F27" s="64"/>
      <c r="G27" s="173"/>
      <c r="H27" s="173"/>
      <c r="I27" s="173"/>
      <c r="J27" s="173"/>
      <c r="K27" s="175"/>
      <c r="L27" s="176"/>
      <c r="M27" s="176"/>
      <c r="N27" s="175"/>
      <c r="O27" s="432">
        <v>1</v>
      </c>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39"/>
      <c r="AR27" s="175"/>
      <c r="AS27" s="175"/>
      <c r="AT27" s="175"/>
      <c r="AU27" s="175"/>
      <c r="AV27" s="175"/>
      <c r="AW27" s="175"/>
      <c r="AX27" s="175"/>
      <c r="AY27" s="175"/>
      <c r="AZ27" s="175"/>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M27" s="144"/>
      <c r="CN27" s="144"/>
      <c r="CO27" s="144"/>
      <c r="CP27" s="144"/>
      <c r="CQ27" s="144"/>
      <c r="CR27" s="144"/>
      <c r="CS27" s="144"/>
      <c r="CT27" s="144"/>
      <c r="CU27" s="144"/>
      <c r="CV27" s="144"/>
      <c r="CW27" s="144"/>
      <c r="CX27" s="144"/>
      <c r="CY27" s="144"/>
      <c r="CZ27" s="144"/>
      <c r="DA27" s="144"/>
      <c r="DB27" s="144"/>
      <c r="DC27" s="144"/>
      <c r="DD27" s="144"/>
      <c r="DE27" s="144"/>
      <c r="DF27" s="144"/>
      <c r="DG27" s="144"/>
      <c r="DH27" s="144"/>
      <c r="DI27" s="144"/>
      <c r="DJ27" s="144"/>
      <c r="DK27" s="144"/>
      <c r="DL27" s="144"/>
      <c r="DM27" s="144"/>
      <c r="DN27" s="144"/>
      <c r="DO27" s="144"/>
      <c r="DP27" s="144"/>
      <c r="DQ27" s="144"/>
      <c r="DR27" s="144"/>
      <c r="DS27" s="144"/>
      <c r="DT27" s="144"/>
      <c r="DU27" s="144"/>
      <c r="DV27" s="144"/>
      <c r="DW27" s="144"/>
      <c r="DX27" s="144"/>
      <c r="DY27" s="144"/>
      <c r="DZ27" s="144"/>
      <c r="EA27" s="144"/>
      <c r="EB27" s="144"/>
      <c r="EC27" s="144"/>
      <c r="ED27" s="144"/>
      <c r="EE27" s="144"/>
      <c r="EF27" s="144"/>
      <c r="EG27" s="144"/>
      <c r="EH27" s="144"/>
      <c r="EI27" s="144"/>
      <c r="EJ27" s="144"/>
      <c r="EK27" s="144"/>
      <c r="EL27" s="144"/>
      <c r="EM27" s="144"/>
      <c r="EN27" s="144"/>
      <c r="EO27" s="144"/>
      <c r="EP27" s="144"/>
      <c r="EQ27" s="144"/>
      <c r="ER27" s="144"/>
      <c r="ES27" s="144"/>
      <c r="ET27" s="144"/>
      <c r="EU27" s="144"/>
      <c r="EV27" s="144"/>
      <c r="EW27" s="144"/>
      <c r="EX27" s="144"/>
      <c r="EY27" s="144"/>
      <c r="EZ27" s="144"/>
      <c r="FA27" s="144"/>
      <c r="FB27" s="144"/>
      <c r="FC27" s="144"/>
      <c r="FD27" s="144"/>
      <c r="FE27" s="144"/>
      <c r="FF27" s="144"/>
      <c r="FG27" s="144"/>
      <c r="FH27" s="144"/>
      <c r="FI27" s="144"/>
      <c r="FJ27" s="144"/>
      <c r="FK27" s="144"/>
      <c r="FL27" s="144"/>
      <c r="FM27" s="144"/>
      <c r="FN27" s="144"/>
      <c r="FO27" s="144"/>
      <c r="FP27" s="144"/>
      <c r="FQ27" s="144"/>
      <c r="FR27" s="144"/>
      <c r="FS27" s="144"/>
      <c r="FT27" s="144"/>
      <c r="FU27" s="144"/>
      <c r="FV27" s="144"/>
      <c r="FW27" s="144"/>
      <c r="FX27" s="144"/>
    </row>
    <row r="28" spans="1:180" s="56" customFormat="1" x14ac:dyDescent="0.2">
      <c r="A28" s="67"/>
      <c r="B28" s="66"/>
      <c r="C28" s="420" t="str">
        <f t="shared" si="11"/>
        <v/>
      </c>
      <c r="D28" s="148" t="s">
        <v>2792</v>
      </c>
      <c r="E28" s="101">
        <f t="shared" si="12"/>
        <v>-1</v>
      </c>
      <c r="F28" s="64"/>
      <c r="G28" s="173"/>
      <c r="H28" s="173"/>
      <c r="I28" s="173"/>
      <c r="J28" s="173"/>
      <c r="K28" s="175"/>
      <c r="L28" s="175"/>
      <c r="M28" s="176"/>
      <c r="N28" s="176"/>
      <c r="O28" s="175"/>
      <c r="P28" s="432">
        <v>-1</v>
      </c>
      <c r="Q28" s="175"/>
      <c r="R28" s="175"/>
      <c r="S28" s="175"/>
      <c r="T28" s="175"/>
      <c r="U28" s="176"/>
      <c r="V28" s="175"/>
      <c r="W28" s="175"/>
      <c r="X28" s="175"/>
      <c r="Y28" s="175"/>
      <c r="Z28" s="175"/>
      <c r="AA28" s="175"/>
      <c r="AB28" s="175"/>
      <c r="AC28" s="175"/>
      <c r="AD28" s="175"/>
      <c r="AE28" s="175"/>
      <c r="AF28" s="175"/>
      <c r="AG28" s="175"/>
      <c r="AH28" s="175"/>
      <c r="AI28" s="175"/>
      <c r="AJ28" s="175"/>
      <c r="AK28" s="175"/>
      <c r="AL28" s="175"/>
      <c r="AM28" s="175"/>
      <c r="AN28" s="175"/>
      <c r="AO28" s="175"/>
      <c r="AP28" s="175"/>
      <c r="AQ28" s="39"/>
      <c r="AR28" s="175"/>
      <c r="AS28" s="175"/>
      <c r="AT28" s="175"/>
      <c r="AU28" s="175"/>
      <c r="AV28" s="175"/>
      <c r="AW28" s="175"/>
      <c r="AX28" s="175"/>
      <c r="AY28" s="175"/>
      <c r="AZ28" s="175"/>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c r="EN28" s="144"/>
      <c r="EO28" s="144"/>
      <c r="EP28" s="144"/>
      <c r="EQ28" s="144"/>
      <c r="ER28" s="144"/>
      <c r="ES28" s="144"/>
      <c r="ET28" s="144"/>
      <c r="EU28" s="144"/>
      <c r="EV28" s="144"/>
      <c r="EW28" s="144"/>
      <c r="EX28" s="144"/>
      <c r="EY28" s="144"/>
      <c r="EZ28" s="144"/>
      <c r="FA28" s="144"/>
      <c r="FB28" s="144"/>
      <c r="FC28" s="144"/>
      <c r="FD28" s="144"/>
      <c r="FE28" s="144"/>
      <c r="FF28" s="144"/>
      <c r="FG28" s="144"/>
      <c r="FH28" s="144"/>
      <c r="FI28" s="144"/>
      <c r="FJ28" s="144"/>
      <c r="FK28" s="144"/>
      <c r="FL28" s="144"/>
      <c r="FM28" s="144"/>
      <c r="FN28" s="144"/>
      <c r="FO28" s="144"/>
      <c r="FP28" s="144"/>
      <c r="FQ28" s="144"/>
      <c r="FR28" s="144"/>
      <c r="FS28" s="144"/>
      <c r="FT28" s="144"/>
      <c r="FU28" s="144"/>
      <c r="FV28" s="144"/>
      <c r="FW28" s="144"/>
      <c r="FX28" s="144"/>
    </row>
    <row r="29" spans="1:180" s="56" customFormat="1" x14ac:dyDescent="0.2">
      <c r="A29" s="67"/>
      <c r="B29" s="66"/>
      <c r="C29" s="420" t="str">
        <f t="shared" si="11"/>
        <v/>
      </c>
      <c r="D29" s="148" t="s">
        <v>2795</v>
      </c>
      <c r="E29" s="101">
        <f t="shared" si="12"/>
        <v>-1</v>
      </c>
      <c r="F29" s="64"/>
      <c r="G29" s="173"/>
      <c r="H29" s="173"/>
      <c r="I29" s="173"/>
      <c r="J29" s="173"/>
      <c r="K29" s="175"/>
      <c r="L29" s="175"/>
      <c r="M29" s="176"/>
      <c r="N29" s="176"/>
      <c r="O29" s="175"/>
      <c r="P29" s="175"/>
      <c r="Q29" s="432">
        <v>-1</v>
      </c>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39"/>
      <c r="AR29" s="175"/>
      <c r="AS29" s="175"/>
      <c r="AT29" s="175"/>
      <c r="AU29" s="175"/>
      <c r="AV29" s="175"/>
      <c r="AW29" s="175"/>
      <c r="AX29" s="175"/>
      <c r="AY29" s="175"/>
      <c r="AZ29" s="175"/>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4"/>
      <c r="CX29" s="144"/>
      <c r="CY29" s="144"/>
      <c r="CZ29" s="144"/>
      <c r="DA29" s="144"/>
      <c r="DB29" s="144"/>
      <c r="DC29" s="144"/>
      <c r="DD29" s="144"/>
      <c r="DE29" s="144"/>
      <c r="DF29" s="144"/>
      <c r="DG29" s="144"/>
      <c r="DH29" s="144"/>
      <c r="DI29" s="144"/>
      <c r="DJ29" s="144"/>
      <c r="DK29" s="144"/>
      <c r="DL29" s="144"/>
      <c r="DM29" s="144"/>
      <c r="DN29" s="144"/>
      <c r="DO29" s="144"/>
      <c r="DP29" s="144"/>
      <c r="DQ29" s="144"/>
      <c r="DR29" s="144"/>
      <c r="DS29" s="144"/>
      <c r="DT29" s="144"/>
      <c r="DU29" s="144"/>
      <c r="DV29" s="144"/>
      <c r="DW29" s="144"/>
      <c r="DX29" s="144"/>
      <c r="DY29" s="144"/>
      <c r="DZ29" s="144"/>
      <c r="EA29" s="144"/>
      <c r="EB29" s="144"/>
      <c r="EC29" s="144"/>
      <c r="ED29" s="144"/>
      <c r="EE29" s="144"/>
      <c r="EF29" s="144"/>
      <c r="EG29" s="144"/>
      <c r="EH29" s="144"/>
      <c r="EI29" s="144"/>
      <c r="EJ29" s="144"/>
      <c r="EK29" s="144"/>
      <c r="EL29" s="144"/>
      <c r="EM29" s="144"/>
      <c r="EN29" s="144"/>
      <c r="EO29" s="144"/>
      <c r="EP29" s="144"/>
      <c r="EQ29" s="144"/>
      <c r="ER29" s="144"/>
      <c r="ES29" s="144"/>
      <c r="ET29" s="144"/>
      <c r="EU29" s="144"/>
      <c r="EV29" s="144"/>
      <c r="EW29" s="144"/>
      <c r="EX29" s="144"/>
      <c r="EY29" s="144"/>
      <c r="EZ29" s="144"/>
      <c r="FA29" s="144"/>
      <c r="FB29" s="144"/>
      <c r="FC29" s="144"/>
      <c r="FD29" s="144"/>
      <c r="FE29" s="144"/>
      <c r="FF29" s="144"/>
      <c r="FG29" s="144"/>
      <c r="FH29" s="144"/>
      <c r="FI29" s="144"/>
      <c r="FJ29" s="144"/>
      <c r="FK29" s="144"/>
      <c r="FL29" s="144"/>
      <c r="FM29" s="144"/>
      <c r="FN29" s="144"/>
      <c r="FO29" s="144"/>
      <c r="FP29" s="144"/>
      <c r="FQ29" s="144"/>
      <c r="FR29" s="144"/>
      <c r="FS29" s="144"/>
      <c r="FT29" s="144"/>
      <c r="FU29" s="144"/>
      <c r="FV29" s="144"/>
      <c r="FW29" s="144"/>
      <c r="FX29" s="144"/>
    </row>
    <row r="30" spans="1:180" s="56" customFormat="1" x14ac:dyDescent="0.2">
      <c r="A30" s="67"/>
      <c r="B30" s="66"/>
      <c r="C30" s="420" t="str">
        <f t="shared" si="11"/>
        <v/>
      </c>
      <c r="D30" s="148" t="s">
        <v>4190</v>
      </c>
      <c r="E30" s="101">
        <f t="shared" si="12"/>
        <v>-1</v>
      </c>
      <c r="F30" s="64"/>
      <c r="G30" s="173"/>
      <c r="H30" s="173"/>
      <c r="I30" s="173"/>
      <c r="J30" s="173"/>
      <c r="K30" s="175"/>
      <c r="L30" s="175"/>
      <c r="M30" s="176"/>
      <c r="N30" s="176"/>
      <c r="O30" s="175"/>
      <c r="P30" s="175"/>
      <c r="Q30" s="175"/>
      <c r="R30" s="432">
        <v>-1</v>
      </c>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1"/>
      <c r="AR30" s="175"/>
      <c r="AS30" s="175"/>
      <c r="AT30" s="175"/>
      <c r="AU30" s="175"/>
      <c r="AV30" s="175"/>
      <c r="AW30" s="175"/>
      <c r="AX30" s="175"/>
      <c r="AY30" s="175"/>
      <c r="AZ30" s="175"/>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c r="EN30" s="144"/>
      <c r="EO30" s="144"/>
      <c r="EP30" s="144"/>
      <c r="EQ30" s="144"/>
      <c r="ER30" s="144"/>
      <c r="ES30" s="144"/>
      <c r="ET30" s="144"/>
      <c r="EU30" s="144"/>
      <c r="EV30" s="144"/>
      <c r="EW30" s="144"/>
      <c r="EX30" s="144"/>
      <c r="EY30" s="144"/>
      <c r="EZ30" s="144"/>
      <c r="FA30" s="144"/>
      <c r="FB30" s="144"/>
      <c r="FC30" s="144"/>
      <c r="FD30" s="144"/>
      <c r="FE30" s="144"/>
      <c r="FF30" s="144"/>
      <c r="FG30" s="144"/>
      <c r="FH30" s="144"/>
      <c r="FI30" s="144"/>
      <c r="FJ30" s="144"/>
      <c r="FK30" s="144"/>
      <c r="FL30" s="144"/>
      <c r="FM30" s="144"/>
      <c r="FN30" s="144"/>
      <c r="FO30" s="144"/>
      <c r="FP30" s="144"/>
      <c r="FQ30" s="144"/>
      <c r="FR30" s="144"/>
      <c r="FS30" s="144"/>
      <c r="FT30" s="144"/>
      <c r="FU30" s="144"/>
      <c r="FV30" s="144"/>
      <c r="FW30" s="144"/>
      <c r="FX30" s="144"/>
    </row>
    <row r="31" spans="1:180" s="56" customFormat="1" ht="24" customHeight="1" x14ac:dyDescent="0.2">
      <c r="A31" s="177"/>
      <c r="B31" s="68"/>
      <c r="C31" s="419">
        <f t="shared" si="11"/>
        <v>14.117647058823531</v>
      </c>
      <c r="D31" s="147" t="s">
        <v>1110</v>
      </c>
      <c r="E31" s="65">
        <f t="shared" si="12"/>
        <v>3</v>
      </c>
      <c r="F31" s="64"/>
      <c r="G31" s="173"/>
      <c r="H31" s="173"/>
      <c r="I31" s="173"/>
      <c r="J31" s="173"/>
      <c r="K31" s="175"/>
      <c r="L31" s="175"/>
      <c r="M31" s="175"/>
      <c r="N31" s="175"/>
      <c r="O31" s="175"/>
      <c r="P31" s="176"/>
      <c r="Q31" s="175"/>
      <c r="R31" s="432">
        <v>1</v>
      </c>
      <c r="S31" s="175"/>
      <c r="T31" s="175"/>
      <c r="U31" s="432">
        <v>1</v>
      </c>
      <c r="V31" s="175"/>
      <c r="W31" s="175"/>
      <c r="X31" s="176"/>
      <c r="Y31" s="432">
        <v>1</v>
      </c>
      <c r="Z31" s="175"/>
      <c r="AA31" s="175"/>
      <c r="AB31" s="175"/>
      <c r="AC31" s="175"/>
      <c r="AD31" s="175"/>
      <c r="AE31" s="175"/>
      <c r="AF31" s="175"/>
      <c r="AG31" s="175"/>
      <c r="AH31" s="175"/>
      <c r="AI31" s="175"/>
      <c r="AJ31" s="175"/>
      <c r="AK31" s="175"/>
      <c r="AL31" s="175"/>
      <c r="AM31" s="175"/>
      <c r="AN31" s="175"/>
      <c r="AO31" s="175"/>
      <c r="AP31" s="175"/>
      <c r="AQ31" s="171"/>
      <c r="AR31" s="175"/>
      <c r="AS31" s="175"/>
      <c r="AT31" s="175"/>
      <c r="AU31" s="175"/>
      <c r="AV31" s="175"/>
      <c r="AW31" s="175"/>
      <c r="AX31" s="175"/>
      <c r="AY31" s="175"/>
      <c r="AZ31" s="175"/>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M31" s="144"/>
      <c r="CN31" s="144"/>
      <c r="CO31" s="144"/>
      <c r="CP31" s="144"/>
      <c r="CQ31" s="144"/>
      <c r="CR31" s="144"/>
      <c r="CS31" s="144"/>
      <c r="CT31" s="144"/>
      <c r="CU31" s="144"/>
      <c r="CV31" s="144"/>
      <c r="CW31" s="144"/>
      <c r="CX31" s="144"/>
      <c r="CY31" s="144"/>
      <c r="CZ31" s="144"/>
      <c r="DA31" s="144"/>
      <c r="DB31" s="144"/>
      <c r="DC31" s="144"/>
      <c r="DD31" s="144"/>
      <c r="DE31" s="144"/>
      <c r="DF31" s="144"/>
      <c r="DG31" s="144"/>
      <c r="DH31" s="144"/>
      <c r="DI31" s="144"/>
      <c r="DJ31" s="144"/>
      <c r="DK31" s="144"/>
      <c r="DL31" s="144"/>
      <c r="DM31" s="144"/>
      <c r="DN31" s="144"/>
      <c r="DO31" s="144"/>
      <c r="DP31" s="144"/>
      <c r="DQ31" s="144"/>
      <c r="DR31" s="144"/>
      <c r="DS31" s="144"/>
      <c r="DT31" s="144"/>
      <c r="DU31" s="144"/>
      <c r="DV31" s="144"/>
      <c r="DW31" s="144"/>
      <c r="DX31" s="144"/>
      <c r="DY31" s="144"/>
      <c r="DZ31" s="144"/>
      <c r="EA31" s="144"/>
      <c r="EB31" s="144"/>
      <c r="EC31" s="144"/>
      <c r="ED31" s="144"/>
      <c r="EE31" s="144"/>
      <c r="EF31" s="144"/>
      <c r="EG31" s="144"/>
      <c r="EH31" s="144"/>
      <c r="EI31" s="144"/>
      <c r="EJ31" s="144"/>
      <c r="EK31" s="144"/>
      <c r="EL31" s="144"/>
      <c r="EM31" s="144"/>
      <c r="EN31" s="144"/>
      <c r="EO31" s="144"/>
      <c r="EP31" s="144"/>
      <c r="EQ31" s="144"/>
      <c r="ER31" s="144"/>
      <c r="ES31" s="144"/>
      <c r="ET31" s="144"/>
      <c r="EU31" s="144"/>
      <c r="EV31" s="144"/>
      <c r="EW31" s="144"/>
      <c r="EX31" s="144"/>
      <c r="EY31" s="144"/>
      <c r="EZ31" s="144"/>
      <c r="FA31" s="144"/>
      <c r="FB31" s="144"/>
      <c r="FC31" s="144"/>
      <c r="FD31" s="144"/>
      <c r="FE31" s="144"/>
      <c r="FF31" s="144"/>
      <c r="FG31" s="144"/>
      <c r="FH31" s="144"/>
      <c r="FI31" s="144"/>
      <c r="FJ31" s="144"/>
      <c r="FK31" s="144"/>
      <c r="FL31" s="144"/>
      <c r="FM31" s="144"/>
      <c r="FN31" s="144"/>
      <c r="FO31" s="144"/>
      <c r="FP31" s="144"/>
      <c r="FQ31" s="144"/>
      <c r="FR31" s="144"/>
      <c r="FS31" s="144"/>
      <c r="FT31" s="144"/>
      <c r="FU31" s="144"/>
      <c r="FV31" s="144"/>
      <c r="FW31" s="144"/>
      <c r="FX31" s="144"/>
    </row>
    <row r="32" spans="1:180" s="56" customFormat="1" ht="24" customHeight="1" x14ac:dyDescent="0.2">
      <c r="A32" s="177"/>
      <c r="B32" s="68"/>
      <c r="C32" s="420" t="str">
        <f t="shared" si="11"/>
        <v/>
      </c>
      <c r="D32" s="147" t="s">
        <v>4191</v>
      </c>
      <c r="E32" s="101">
        <f t="shared" si="12"/>
        <v>0</v>
      </c>
      <c r="F32" s="64"/>
      <c r="G32" s="173"/>
      <c r="H32" s="173"/>
      <c r="I32" s="173"/>
      <c r="J32" s="173"/>
      <c r="K32" s="175"/>
      <c r="L32" s="175"/>
      <c r="M32" s="175"/>
      <c r="N32" s="175"/>
      <c r="O32" s="175"/>
      <c r="P32" s="175"/>
      <c r="Q32" s="176"/>
      <c r="R32" s="175"/>
      <c r="S32" s="175"/>
      <c r="T32" s="175"/>
      <c r="U32" s="175"/>
      <c r="V32" s="175"/>
      <c r="W32" s="175"/>
      <c r="X32" s="175"/>
      <c r="Y32" s="176"/>
      <c r="Z32" s="175"/>
      <c r="AA32" s="175"/>
      <c r="AB32" s="175"/>
      <c r="AC32" s="175"/>
      <c r="AD32" s="175"/>
      <c r="AE32" s="175"/>
      <c r="AF32" s="175"/>
      <c r="AG32" s="175"/>
      <c r="AH32" s="175"/>
      <c r="AI32" s="175"/>
      <c r="AJ32" s="175"/>
      <c r="AK32" s="175"/>
      <c r="AL32" s="175"/>
      <c r="AM32" s="175"/>
      <c r="AN32" s="175"/>
      <c r="AO32" s="175"/>
      <c r="AP32" s="175"/>
      <c r="AQ32" s="171"/>
      <c r="AR32" s="175"/>
      <c r="AS32" s="175"/>
      <c r="AT32" s="175"/>
      <c r="AU32" s="175"/>
      <c r="AV32" s="175"/>
      <c r="AW32" s="175"/>
      <c r="AX32" s="175"/>
      <c r="AY32" s="175"/>
      <c r="AZ32" s="175"/>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M32" s="144"/>
      <c r="CN32" s="144"/>
      <c r="CO32" s="144"/>
      <c r="CP32" s="144"/>
      <c r="CQ32" s="144"/>
      <c r="CR32" s="144"/>
      <c r="CS32" s="144"/>
      <c r="CT32" s="144"/>
      <c r="CU32" s="144"/>
      <c r="CV32" s="144"/>
      <c r="CW32" s="144"/>
      <c r="CX32" s="144"/>
      <c r="CY32" s="144"/>
      <c r="CZ32" s="144"/>
      <c r="DA32" s="144"/>
      <c r="DB32" s="144"/>
      <c r="DC32" s="144"/>
      <c r="DD32" s="144"/>
      <c r="DE32" s="144"/>
      <c r="DF32" s="144"/>
      <c r="DG32" s="144"/>
      <c r="DH32" s="144"/>
      <c r="DI32" s="144"/>
      <c r="DJ32" s="144"/>
      <c r="DK32" s="144"/>
      <c r="DL32" s="144"/>
      <c r="DM32" s="144"/>
      <c r="DN32" s="144"/>
      <c r="DO32" s="144"/>
      <c r="DP32" s="144"/>
      <c r="DQ32" s="144"/>
      <c r="DR32" s="144"/>
      <c r="DS32" s="144"/>
      <c r="DT32" s="144"/>
      <c r="DU32" s="144"/>
      <c r="DV32" s="144"/>
      <c r="DW32" s="144"/>
      <c r="DX32" s="144"/>
      <c r="DY32" s="144"/>
      <c r="DZ32" s="144"/>
      <c r="EA32" s="144"/>
      <c r="EB32" s="144"/>
      <c r="EC32" s="144"/>
      <c r="ED32" s="144"/>
      <c r="EE32" s="144"/>
      <c r="EF32" s="144"/>
      <c r="EG32" s="144"/>
      <c r="EH32" s="144"/>
      <c r="EI32" s="144"/>
      <c r="EJ32" s="144"/>
      <c r="EK32" s="144"/>
      <c r="EL32" s="144"/>
      <c r="EM32" s="144"/>
      <c r="EN32" s="144"/>
      <c r="EO32" s="144"/>
      <c r="EP32" s="144"/>
      <c r="EQ32" s="144"/>
      <c r="ER32" s="144"/>
      <c r="ES32" s="144"/>
      <c r="ET32" s="144"/>
      <c r="EU32" s="144"/>
      <c r="EV32" s="144"/>
      <c r="EW32" s="144"/>
      <c r="EX32" s="144"/>
      <c r="EY32" s="144"/>
      <c r="EZ32" s="144"/>
      <c r="FA32" s="144"/>
      <c r="FB32" s="144"/>
      <c r="FC32" s="144"/>
      <c r="FD32" s="144"/>
      <c r="FE32" s="144"/>
      <c r="FF32" s="144"/>
      <c r="FG32" s="144"/>
      <c r="FH32" s="144"/>
      <c r="FI32" s="144"/>
      <c r="FJ32" s="144"/>
      <c r="FK32" s="144"/>
      <c r="FL32" s="144"/>
      <c r="FM32" s="144"/>
      <c r="FN32" s="144"/>
      <c r="FO32" s="144"/>
      <c r="FP32" s="144"/>
      <c r="FQ32" s="144"/>
      <c r="FR32" s="144"/>
      <c r="FS32" s="144"/>
      <c r="FT32" s="144"/>
      <c r="FU32" s="144"/>
      <c r="FV32" s="144"/>
      <c r="FW32" s="144"/>
      <c r="FX32" s="144"/>
    </row>
    <row r="33" spans="1:180" s="56" customFormat="1" x14ac:dyDescent="0.2">
      <c r="A33" s="177"/>
      <c r="B33" s="68"/>
      <c r="C33" s="420" t="str">
        <f t="shared" si="11"/>
        <v/>
      </c>
      <c r="D33" s="147" t="s">
        <v>4192</v>
      </c>
      <c r="E33" s="101">
        <f t="shared" si="12"/>
        <v>0</v>
      </c>
      <c r="F33" s="64"/>
      <c r="G33" s="173"/>
      <c r="H33" s="173"/>
      <c r="I33" s="173"/>
      <c r="J33" s="173"/>
      <c r="K33" s="175"/>
      <c r="L33" s="175"/>
      <c r="M33" s="175"/>
      <c r="N33" s="175"/>
      <c r="O33" s="175"/>
      <c r="P33" s="175"/>
      <c r="Q33" s="175"/>
      <c r="R33" s="176"/>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row>
    <row r="34" spans="1:180" s="56" customFormat="1" x14ac:dyDescent="0.2">
      <c r="A34" s="177"/>
      <c r="B34" s="68"/>
      <c r="C34" s="419" t="str">
        <f t="shared" si="11"/>
        <v/>
      </c>
      <c r="D34" s="147" t="s">
        <v>2272</v>
      </c>
      <c r="E34" s="65">
        <f t="shared" si="12"/>
        <v>-1</v>
      </c>
      <c r="F34" s="64"/>
      <c r="G34" s="173"/>
      <c r="H34" s="173"/>
      <c r="I34" s="173"/>
      <c r="J34" s="173"/>
      <c r="K34" s="175"/>
      <c r="L34" s="175"/>
      <c r="M34" s="175"/>
      <c r="N34" s="175"/>
      <c r="O34" s="175"/>
      <c r="P34" s="175"/>
      <c r="Q34" s="175"/>
      <c r="R34" s="175"/>
      <c r="S34" s="175"/>
      <c r="T34" s="432">
        <v>-1</v>
      </c>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44"/>
      <c r="BB34" s="144"/>
      <c r="BC34" s="144"/>
      <c r="BD34" s="144"/>
      <c r="BE34" s="144"/>
      <c r="BF34" s="144"/>
      <c r="BG34" s="144"/>
      <c r="BH34" s="144"/>
      <c r="BI34" s="144"/>
      <c r="BJ34" s="144"/>
      <c r="BK34" s="144"/>
      <c r="BL34" s="144"/>
      <c r="BM34" s="144"/>
      <c r="BN34" s="144"/>
      <c r="BO34" s="144"/>
      <c r="BP34" s="144"/>
      <c r="BQ34" s="144"/>
      <c r="BR34" s="144"/>
      <c r="BS34" s="144"/>
      <c r="BT34" s="144"/>
      <c r="BU34" s="144"/>
      <c r="BV34" s="144"/>
      <c r="BW34" s="144"/>
      <c r="BX34" s="144"/>
      <c r="BY34" s="144"/>
      <c r="BZ34" s="144"/>
      <c r="CA34" s="144"/>
      <c r="CB34" s="144"/>
      <c r="CC34" s="144"/>
      <c r="CD34" s="144"/>
      <c r="CE34" s="144"/>
      <c r="CF34" s="144"/>
      <c r="CG34" s="144"/>
      <c r="CH34" s="144"/>
      <c r="CI34" s="144"/>
      <c r="CJ34" s="144"/>
      <c r="CK34" s="144"/>
      <c r="CL34" s="144"/>
      <c r="CM34" s="144"/>
      <c r="CN34" s="144"/>
      <c r="CO34" s="144"/>
      <c r="CP34" s="144"/>
      <c r="CQ34" s="144"/>
      <c r="CR34" s="144"/>
      <c r="CS34" s="144"/>
      <c r="CT34" s="144"/>
      <c r="CU34" s="144"/>
      <c r="CV34" s="144"/>
      <c r="CW34" s="144"/>
      <c r="CX34" s="144"/>
      <c r="CY34" s="144"/>
      <c r="CZ34" s="144"/>
      <c r="DA34" s="144"/>
      <c r="DB34" s="144"/>
      <c r="DC34" s="144"/>
      <c r="DD34" s="144"/>
      <c r="DE34" s="144"/>
      <c r="DF34" s="144"/>
      <c r="DG34" s="144"/>
      <c r="DH34" s="144"/>
      <c r="DI34" s="144"/>
      <c r="DJ34" s="144"/>
      <c r="DK34" s="144"/>
      <c r="DL34" s="144"/>
      <c r="DM34" s="144"/>
      <c r="DN34" s="144"/>
      <c r="DO34" s="144"/>
      <c r="DP34" s="144"/>
      <c r="DQ34" s="144"/>
      <c r="DR34" s="144"/>
      <c r="DS34" s="144"/>
      <c r="DT34" s="144"/>
      <c r="DU34" s="144"/>
      <c r="DV34" s="144"/>
      <c r="DW34" s="144"/>
      <c r="DX34" s="144"/>
      <c r="DY34" s="144"/>
      <c r="DZ34" s="144"/>
      <c r="EA34" s="144"/>
      <c r="EB34" s="144"/>
      <c r="EC34" s="144"/>
      <c r="ED34" s="144"/>
      <c r="EE34" s="144"/>
      <c r="EF34" s="144"/>
      <c r="EG34" s="144"/>
      <c r="EH34" s="144"/>
      <c r="EI34" s="144"/>
      <c r="EJ34" s="144"/>
      <c r="EK34" s="144"/>
      <c r="EL34" s="144"/>
      <c r="EM34" s="144"/>
      <c r="EN34" s="144"/>
      <c r="EO34" s="144"/>
      <c r="EP34" s="144"/>
      <c r="EQ34" s="144"/>
      <c r="ER34" s="144"/>
      <c r="ES34" s="144"/>
      <c r="ET34" s="144"/>
      <c r="EU34" s="144"/>
      <c r="EV34" s="144"/>
      <c r="EW34" s="144"/>
      <c r="EX34" s="144"/>
      <c r="EY34" s="144"/>
      <c r="EZ34" s="144"/>
      <c r="FA34" s="144"/>
      <c r="FB34" s="144"/>
      <c r="FC34" s="144"/>
      <c r="FD34" s="144"/>
      <c r="FE34" s="144"/>
      <c r="FF34" s="144"/>
      <c r="FG34" s="144"/>
      <c r="FH34" s="144"/>
      <c r="FI34" s="144"/>
      <c r="FJ34" s="144"/>
      <c r="FK34" s="144"/>
      <c r="FL34" s="144"/>
      <c r="FM34" s="144"/>
      <c r="FN34" s="144"/>
      <c r="FO34" s="144"/>
      <c r="FP34" s="144"/>
      <c r="FQ34" s="144"/>
      <c r="FR34" s="144"/>
      <c r="FS34" s="144"/>
      <c r="FT34" s="144"/>
      <c r="FU34" s="144"/>
      <c r="FV34" s="144"/>
      <c r="FW34" s="144"/>
      <c r="FX34" s="144"/>
    </row>
    <row r="35" spans="1:180" s="56" customFormat="1" x14ac:dyDescent="0.2">
      <c r="A35" s="177"/>
      <c r="B35" s="68"/>
      <c r="C35" s="419">
        <f t="shared" si="11"/>
        <v>4.7058823529411766</v>
      </c>
      <c r="D35" s="38" t="s">
        <v>2926</v>
      </c>
      <c r="E35" s="65">
        <f t="shared" si="12"/>
        <v>1</v>
      </c>
      <c r="F35" s="64"/>
      <c r="G35" s="173"/>
      <c r="H35" s="173"/>
      <c r="I35" s="173"/>
      <c r="J35" s="173"/>
      <c r="K35" s="175"/>
      <c r="L35" s="175"/>
      <c r="M35" s="175"/>
      <c r="N35" s="175"/>
      <c r="O35" s="175"/>
      <c r="P35" s="175"/>
      <c r="Q35" s="175"/>
      <c r="R35" s="175"/>
      <c r="S35" s="175"/>
      <c r="T35" s="433">
        <v>1</v>
      </c>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row>
    <row r="36" spans="1:180" s="56" customFormat="1" x14ac:dyDescent="0.2">
      <c r="A36" s="177"/>
      <c r="B36" s="68"/>
      <c r="C36" s="419" t="str">
        <f t="shared" si="11"/>
        <v/>
      </c>
      <c r="D36" s="147" t="s">
        <v>4193</v>
      </c>
      <c r="E36" s="65">
        <f t="shared" si="12"/>
        <v>-1</v>
      </c>
      <c r="F36" s="64"/>
      <c r="G36" s="173"/>
      <c r="H36" s="173"/>
      <c r="I36" s="173"/>
      <c r="J36" s="173"/>
      <c r="K36" s="175"/>
      <c r="L36" s="175"/>
      <c r="M36" s="175"/>
      <c r="N36" s="175"/>
      <c r="O36" s="175"/>
      <c r="P36" s="175"/>
      <c r="Q36" s="175"/>
      <c r="R36" s="175"/>
      <c r="S36" s="175"/>
      <c r="T36" s="176"/>
      <c r="U36" s="432">
        <v>-1</v>
      </c>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c r="FM36" s="144"/>
      <c r="FN36" s="144"/>
      <c r="FO36" s="144"/>
      <c r="FP36" s="144"/>
      <c r="FQ36" s="144"/>
      <c r="FR36" s="144"/>
      <c r="FS36" s="144"/>
      <c r="FT36" s="144"/>
      <c r="FU36" s="144"/>
      <c r="FV36" s="144"/>
      <c r="FW36" s="144"/>
      <c r="FX36" s="144"/>
    </row>
    <row r="37" spans="1:180" s="56" customFormat="1" x14ac:dyDescent="0.2">
      <c r="A37" s="177"/>
      <c r="B37" s="68"/>
      <c r="C37" s="419" t="str">
        <f t="shared" si="11"/>
        <v/>
      </c>
      <c r="D37" s="38" t="s">
        <v>3028</v>
      </c>
      <c r="E37" s="65">
        <f t="shared" si="12"/>
        <v>-1</v>
      </c>
      <c r="F37" s="64"/>
      <c r="G37" s="173"/>
      <c r="H37" s="173"/>
      <c r="I37" s="173"/>
      <c r="J37" s="173"/>
      <c r="K37" s="175"/>
      <c r="L37" s="175"/>
      <c r="M37" s="175"/>
      <c r="N37" s="175"/>
      <c r="O37" s="175"/>
      <c r="P37" s="175"/>
      <c r="Q37" s="175"/>
      <c r="R37" s="175"/>
      <c r="S37" s="175"/>
      <c r="T37" s="175"/>
      <c r="U37" s="175"/>
      <c r="V37" s="432">
        <v>-1</v>
      </c>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20">
        <f t="shared" si="11"/>
        <v>4.7058823529411766</v>
      </c>
      <c r="D38" s="147" t="s">
        <v>3029</v>
      </c>
      <c r="E38" s="101">
        <f t="shared" si="12"/>
        <v>1</v>
      </c>
      <c r="F38" s="64"/>
      <c r="G38" s="173"/>
      <c r="H38" s="173"/>
      <c r="I38" s="173"/>
      <c r="J38" s="173"/>
      <c r="K38" s="175"/>
      <c r="L38" s="175"/>
      <c r="M38" s="175"/>
      <c r="N38" s="175"/>
      <c r="O38" s="175"/>
      <c r="P38" s="175"/>
      <c r="Q38" s="175"/>
      <c r="R38" s="175"/>
      <c r="S38" s="175"/>
      <c r="T38" s="175"/>
      <c r="U38" s="175"/>
      <c r="V38" s="433">
        <v>1</v>
      </c>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c r="FP38" s="144"/>
      <c r="FQ38" s="144"/>
      <c r="FR38" s="144"/>
      <c r="FS38" s="144"/>
      <c r="FT38" s="144"/>
      <c r="FU38" s="144"/>
      <c r="FV38" s="144"/>
      <c r="FW38" s="144"/>
      <c r="FX38" s="144"/>
    </row>
    <row r="39" spans="1:180" s="56" customFormat="1" x14ac:dyDescent="0.2">
      <c r="A39" s="177"/>
      <c r="B39" s="68"/>
      <c r="C39" s="420" t="str">
        <f t="shared" si="11"/>
        <v/>
      </c>
      <c r="D39" s="147" t="s">
        <v>4194</v>
      </c>
      <c r="E39" s="101">
        <f t="shared" si="12"/>
        <v>0</v>
      </c>
      <c r="F39" s="64"/>
      <c r="G39" s="173"/>
      <c r="H39" s="173"/>
      <c r="I39" s="173"/>
      <c r="J39" s="173"/>
      <c r="K39" s="175"/>
      <c r="L39" s="175"/>
      <c r="M39" s="175"/>
      <c r="N39" s="175"/>
      <c r="O39" s="175"/>
      <c r="P39" s="175"/>
      <c r="Q39" s="175"/>
      <c r="R39" s="175"/>
      <c r="S39" s="175"/>
      <c r="T39" s="175"/>
      <c r="U39" s="175"/>
      <c r="V39" s="176"/>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c r="FP39" s="144"/>
      <c r="FQ39" s="144"/>
      <c r="FR39" s="144"/>
      <c r="FS39" s="144"/>
      <c r="FT39" s="144"/>
      <c r="FU39" s="144"/>
      <c r="FV39" s="144"/>
      <c r="FW39" s="144"/>
      <c r="FX39" s="144"/>
    </row>
    <row r="40" spans="1:180" s="56" customFormat="1" x14ac:dyDescent="0.2">
      <c r="A40" s="177"/>
      <c r="B40" s="68"/>
      <c r="C40" s="420" t="str">
        <f t="shared" si="11"/>
        <v/>
      </c>
      <c r="D40" s="37" t="s">
        <v>4195</v>
      </c>
      <c r="E40" s="101">
        <f t="shared" si="12"/>
        <v>0</v>
      </c>
      <c r="F40" s="64"/>
      <c r="G40" s="173"/>
      <c r="H40" s="173"/>
      <c r="I40" s="173"/>
      <c r="J40" s="173"/>
      <c r="K40" s="175"/>
      <c r="L40" s="175"/>
      <c r="M40" s="175"/>
      <c r="N40" s="175"/>
      <c r="O40" s="175"/>
      <c r="P40" s="175"/>
      <c r="Q40" s="175"/>
      <c r="R40" s="175"/>
      <c r="S40" s="175"/>
      <c r="T40" s="175"/>
      <c r="U40" s="175"/>
      <c r="V40" s="175"/>
      <c r="W40" s="176"/>
      <c r="X40" s="176"/>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c r="FP40" s="144"/>
      <c r="FQ40" s="144"/>
      <c r="FR40" s="144"/>
      <c r="FS40" s="144"/>
      <c r="FT40" s="144"/>
      <c r="FU40" s="144"/>
      <c r="FV40" s="144"/>
      <c r="FW40" s="144"/>
      <c r="FX40" s="144"/>
    </row>
    <row r="41" spans="1:180" s="56" customFormat="1" x14ac:dyDescent="0.2">
      <c r="A41" s="177"/>
      <c r="B41" s="68"/>
      <c r="C41" s="419">
        <f t="shared" si="11"/>
        <v>4.7058823529411766</v>
      </c>
      <c r="D41" s="38" t="s">
        <v>3037</v>
      </c>
      <c r="E41" s="65">
        <f t="shared" si="12"/>
        <v>1</v>
      </c>
      <c r="F41" s="64"/>
      <c r="G41" s="173"/>
      <c r="H41" s="173"/>
      <c r="I41" s="173"/>
      <c r="J41" s="173"/>
      <c r="K41" s="175"/>
      <c r="L41" s="175"/>
      <c r="M41" s="175"/>
      <c r="N41" s="175"/>
      <c r="O41" s="175"/>
      <c r="P41" s="175"/>
      <c r="Q41" s="175"/>
      <c r="R41" s="175"/>
      <c r="S41" s="175"/>
      <c r="T41" s="175"/>
      <c r="U41" s="175"/>
      <c r="V41" s="175"/>
      <c r="W41" s="176"/>
      <c r="X41" s="433">
        <v>1</v>
      </c>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c r="FU41" s="144"/>
      <c r="FV41" s="144"/>
      <c r="FW41" s="144"/>
      <c r="FX41" s="144"/>
    </row>
    <row r="42" spans="1:180" s="56" customFormat="1" x14ac:dyDescent="0.2">
      <c r="A42" s="177"/>
      <c r="B42" s="68"/>
      <c r="C42" s="419" t="str">
        <f t="shared" ref="C42:C75" si="13">IFERROR(IF($E42&gt;0,$E42/SUMIF($E$10:$E$75,"&gt;0")*$D$5,""),"")</f>
        <v/>
      </c>
      <c r="D42" s="38" t="s">
        <v>4196</v>
      </c>
      <c r="E42" s="65">
        <f t="shared" si="12"/>
        <v>-1</v>
      </c>
      <c r="F42" s="64"/>
      <c r="G42" s="173"/>
      <c r="H42" s="173"/>
      <c r="I42" s="173"/>
      <c r="J42" s="173"/>
      <c r="K42" s="175"/>
      <c r="L42" s="175"/>
      <c r="M42" s="175"/>
      <c r="N42" s="175"/>
      <c r="O42" s="175"/>
      <c r="P42" s="175"/>
      <c r="Q42" s="175"/>
      <c r="R42" s="175"/>
      <c r="S42" s="175"/>
      <c r="T42" s="175"/>
      <c r="U42" s="175"/>
      <c r="V42" s="175"/>
      <c r="W42" s="176"/>
      <c r="X42" s="176"/>
      <c r="Y42" s="432">
        <v>-1</v>
      </c>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144"/>
      <c r="FN42" s="144"/>
      <c r="FO42" s="144"/>
      <c r="FP42" s="144"/>
      <c r="FQ42" s="144"/>
      <c r="FR42" s="144"/>
      <c r="FS42" s="144"/>
      <c r="FT42" s="144"/>
      <c r="FU42" s="144"/>
      <c r="FV42" s="144"/>
      <c r="FW42" s="144"/>
      <c r="FX42" s="144"/>
    </row>
    <row r="43" spans="1:180" s="56" customFormat="1" ht="24" customHeight="1" x14ac:dyDescent="0.2">
      <c r="A43" s="177"/>
      <c r="B43" s="68"/>
      <c r="C43" s="419" t="str">
        <f t="shared" si="13"/>
        <v/>
      </c>
      <c r="D43" s="147" t="s">
        <v>4197</v>
      </c>
      <c r="E43" s="65">
        <f t="shared" si="12"/>
        <v>0</v>
      </c>
      <c r="F43" s="64"/>
      <c r="G43" s="173"/>
      <c r="H43" s="173"/>
      <c r="I43" s="173"/>
      <c r="J43" s="173"/>
      <c r="K43" s="175"/>
      <c r="L43" s="175"/>
      <c r="M43" s="175"/>
      <c r="N43" s="175"/>
      <c r="O43" s="175"/>
      <c r="P43" s="175"/>
      <c r="Q43" s="175"/>
      <c r="R43" s="175"/>
      <c r="S43" s="175"/>
      <c r="T43" s="175"/>
      <c r="U43" s="175"/>
      <c r="V43" s="175"/>
      <c r="W43" s="175"/>
      <c r="X43" s="175"/>
      <c r="Y43" s="176"/>
      <c r="Z43" s="176"/>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c r="FX43" s="144"/>
    </row>
    <row r="44" spans="1:180" s="56" customFormat="1" x14ac:dyDescent="0.2">
      <c r="A44" s="177"/>
      <c r="B44" s="68"/>
      <c r="C44" s="419" t="str">
        <f t="shared" si="13"/>
        <v/>
      </c>
      <c r="D44" s="38" t="s">
        <v>4198</v>
      </c>
      <c r="E44" s="65">
        <f t="shared" si="12"/>
        <v>0</v>
      </c>
      <c r="F44" s="64"/>
      <c r="G44" s="173"/>
      <c r="H44" s="173"/>
      <c r="I44" s="173"/>
      <c r="J44" s="173"/>
      <c r="K44" s="175"/>
      <c r="L44" s="175"/>
      <c r="M44" s="175"/>
      <c r="N44" s="175"/>
      <c r="O44" s="175"/>
      <c r="P44" s="175"/>
      <c r="Q44" s="175"/>
      <c r="R44" s="175"/>
      <c r="S44" s="175"/>
      <c r="T44" s="175"/>
      <c r="U44" s="175"/>
      <c r="V44" s="175"/>
      <c r="W44" s="175"/>
      <c r="X44" s="176"/>
      <c r="Y44" s="175"/>
      <c r="Z44" s="176"/>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44"/>
      <c r="BB44" s="144"/>
      <c r="BC44" s="144"/>
      <c r="BD44" s="144"/>
      <c r="BE44" s="144"/>
      <c r="BF44" s="144"/>
      <c r="BG44" s="144"/>
      <c r="BH44" s="144"/>
      <c r="BI44" s="144"/>
      <c r="BJ44" s="144"/>
      <c r="BK44" s="144"/>
      <c r="BL44" s="144"/>
      <c r="BM44" s="144"/>
      <c r="BN44" s="144"/>
      <c r="BO44" s="144"/>
      <c r="BP44" s="144"/>
      <c r="BQ44" s="144"/>
      <c r="BR44" s="144"/>
      <c r="BS44" s="144"/>
      <c r="BT44" s="144"/>
      <c r="BU44" s="144"/>
      <c r="BV44" s="144"/>
      <c r="BW44" s="144"/>
      <c r="BX44" s="144"/>
      <c r="BY44" s="144"/>
      <c r="BZ44" s="144"/>
      <c r="CA44" s="144"/>
      <c r="CB44" s="144"/>
      <c r="CC44" s="144"/>
      <c r="CD44" s="144"/>
      <c r="CE44" s="144"/>
      <c r="CF44" s="144"/>
      <c r="CG44" s="144"/>
      <c r="CH44" s="144"/>
      <c r="CI44" s="144"/>
      <c r="CJ44" s="144"/>
      <c r="CK44" s="144"/>
      <c r="CL44" s="144"/>
      <c r="CM44" s="144"/>
      <c r="CN44" s="144"/>
      <c r="CO44" s="144"/>
      <c r="CP44" s="144"/>
      <c r="CQ44" s="144"/>
      <c r="CR44" s="144"/>
      <c r="CS44" s="144"/>
      <c r="CT44" s="144"/>
      <c r="CU44" s="144"/>
      <c r="CV44" s="144"/>
      <c r="CW44" s="144"/>
      <c r="CX44" s="144"/>
      <c r="CY44" s="144"/>
      <c r="CZ44" s="144"/>
      <c r="DA44" s="144"/>
      <c r="DB44" s="144"/>
      <c r="DC44" s="144"/>
      <c r="DD44" s="144"/>
      <c r="DE44" s="144"/>
      <c r="DF44" s="144"/>
      <c r="DG44" s="144"/>
      <c r="DH44" s="144"/>
      <c r="DI44" s="144"/>
      <c r="DJ44" s="144"/>
      <c r="DK44" s="144"/>
      <c r="DL44" s="144"/>
      <c r="DM44" s="144"/>
      <c r="DN44" s="144"/>
      <c r="DO44" s="144"/>
      <c r="DP44" s="144"/>
      <c r="DQ44" s="144"/>
      <c r="DR44" s="144"/>
      <c r="DS44" s="144"/>
      <c r="DT44" s="144"/>
      <c r="DU44" s="144"/>
      <c r="DV44" s="144"/>
      <c r="DW44" s="144"/>
      <c r="DX44" s="144"/>
      <c r="DY44" s="144"/>
      <c r="DZ44" s="144"/>
      <c r="EA44" s="144"/>
      <c r="EB44" s="144"/>
      <c r="EC44" s="144"/>
      <c r="ED44" s="144"/>
      <c r="EE44" s="144"/>
      <c r="EF44" s="144"/>
      <c r="EG44" s="144"/>
      <c r="EH44" s="144"/>
      <c r="EI44" s="144"/>
      <c r="EJ44" s="144"/>
      <c r="EK44" s="144"/>
      <c r="EL44" s="144"/>
      <c r="EM44" s="144"/>
      <c r="EN44" s="144"/>
      <c r="EO44" s="144"/>
      <c r="EP44" s="144"/>
      <c r="EQ44" s="144"/>
      <c r="ER44" s="144"/>
      <c r="ES44" s="144"/>
      <c r="ET44" s="144"/>
      <c r="EU44" s="144"/>
      <c r="EV44" s="144"/>
      <c r="EW44" s="144"/>
      <c r="EX44" s="144"/>
      <c r="EY44" s="144"/>
      <c r="EZ44" s="144"/>
      <c r="FA44" s="144"/>
      <c r="FB44" s="144"/>
      <c r="FC44" s="144"/>
      <c r="FD44" s="144"/>
      <c r="FE44" s="144"/>
      <c r="FF44" s="144"/>
      <c r="FG44" s="144"/>
      <c r="FH44" s="144"/>
      <c r="FI44" s="144"/>
      <c r="FJ44" s="144"/>
      <c r="FK44" s="144"/>
      <c r="FL44" s="144"/>
      <c r="FM44" s="144"/>
      <c r="FN44" s="144"/>
      <c r="FO44" s="144"/>
      <c r="FP44" s="144"/>
      <c r="FQ44" s="144"/>
      <c r="FR44" s="144"/>
      <c r="FS44" s="144"/>
      <c r="FT44" s="144"/>
      <c r="FU44" s="144"/>
      <c r="FV44" s="144"/>
      <c r="FW44" s="144"/>
      <c r="FX44" s="144"/>
    </row>
    <row r="45" spans="1:180" s="56" customFormat="1" x14ac:dyDescent="0.2">
      <c r="A45" s="177"/>
      <c r="B45" s="68"/>
      <c r="C45" s="420" t="str">
        <f t="shared" si="13"/>
        <v/>
      </c>
      <c r="D45" s="147" t="s">
        <v>8640</v>
      </c>
      <c r="E45" s="101">
        <f t="shared" si="12"/>
        <v>0</v>
      </c>
      <c r="F45" s="64"/>
      <c r="G45" s="173"/>
      <c r="H45" s="173"/>
      <c r="I45" s="173"/>
      <c r="J45" s="173"/>
      <c r="K45" s="175"/>
      <c r="L45" s="175"/>
      <c r="M45" s="175"/>
      <c r="N45" s="175"/>
      <c r="O45" s="175"/>
      <c r="P45" s="175"/>
      <c r="Q45" s="175"/>
      <c r="R45" s="175"/>
      <c r="S45" s="175"/>
      <c r="T45" s="175"/>
      <c r="U45" s="175"/>
      <c r="V45" s="175"/>
      <c r="W45" s="175"/>
      <c r="X45" s="175"/>
      <c r="Y45" s="175"/>
      <c r="Z45" s="175"/>
      <c r="AA45" s="176"/>
      <c r="AB45" s="176"/>
      <c r="AC45" s="176"/>
      <c r="AD45" s="176"/>
      <c r="AE45" s="176"/>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c r="FU45" s="144"/>
      <c r="FV45" s="144"/>
      <c r="FW45" s="144"/>
      <c r="FX45" s="144"/>
    </row>
    <row r="46" spans="1:180" s="56" customFormat="1" x14ac:dyDescent="0.2">
      <c r="A46" s="177"/>
      <c r="B46" s="68"/>
      <c r="C46" s="420" t="str">
        <f t="shared" si="13"/>
        <v/>
      </c>
      <c r="D46" s="147" t="s">
        <v>4199</v>
      </c>
      <c r="E46" s="101">
        <f t="shared" si="12"/>
        <v>0</v>
      </c>
      <c r="F46" s="64"/>
      <c r="G46" s="173"/>
      <c r="H46" s="173"/>
      <c r="I46" s="173"/>
      <c r="J46" s="173"/>
      <c r="K46" s="175"/>
      <c r="L46" s="175"/>
      <c r="M46" s="175"/>
      <c r="N46" s="175"/>
      <c r="O46" s="175"/>
      <c r="P46" s="175"/>
      <c r="Q46" s="175"/>
      <c r="R46" s="175"/>
      <c r="S46" s="175"/>
      <c r="T46" s="175"/>
      <c r="U46" s="175"/>
      <c r="V46" s="175"/>
      <c r="W46" s="175"/>
      <c r="X46" s="175"/>
      <c r="Y46" s="175"/>
      <c r="Z46" s="175"/>
      <c r="AA46" s="176"/>
      <c r="AB46" s="176"/>
      <c r="AC46" s="176"/>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44"/>
      <c r="BB46" s="144"/>
      <c r="BC46" s="144"/>
      <c r="BD46" s="144"/>
      <c r="BE46" s="144"/>
      <c r="BF46" s="144"/>
      <c r="BG46" s="144"/>
      <c r="BH46" s="144"/>
      <c r="BI46" s="144"/>
      <c r="BJ46" s="144"/>
      <c r="BK46" s="144"/>
      <c r="BL46" s="144"/>
      <c r="BM46" s="144"/>
      <c r="BN46" s="144"/>
      <c r="BO46" s="144"/>
      <c r="BP46" s="144"/>
      <c r="BQ46" s="144"/>
      <c r="BR46" s="144"/>
      <c r="BS46" s="144"/>
      <c r="BT46" s="144"/>
      <c r="BU46" s="144"/>
      <c r="BV46" s="144"/>
      <c r="BW46" s="144"/>
      <c r="BX46" s="144"/>
      <c r="BY46" s="144"/>
      <c r="BZ46" s="144"/>
      <c r="CA46" s="144"/>
      <c r="CB46" s="144"/>
      <c r="CC46" s="144"/>
      <c r="CD46" s="144"/>
      <c r="CE46" s="144"/>
      <c r="CF46" s="144"/>
      <c r="CG46" s="144"/>
      <c r="CH46" s="144"/>
      <c r="CI46" s="144"/>
      <c r="CJ46" s="144"/>
      <c r="CK46" s="144"/>
      <c r="CL46" s="144"/>
      <c r="CM46" s="144"/>
      <c r="CN46" s="144"/>
      <c r="CO46" s="144"/>
      <c r="CP46" s="144"/>
      <c r="CQ46" s="144"/>
      <c r="CR46" s="144"/>
      <c r="CS46" s="144"/>
      <c r="CT46" s="144"/>
      <c r="CU46" s="144"/>
      <c r="CV46" s="144"/>
      <c r="CW46" s="144"/>
      <c r="CX46" s="144"/>
      <c r="CY46" s="144"/>
      <c r="CZ46" s="144"/>
      <c r="DA46" s="144"/>
      <c r="DB46" s="144"/>
      <c r="DC46" s="144"/>
      <c r="DD46" s="144"/>
      <c r="DE46" s="144"/>
      <c r="DF46" s="144"/>
      <c r="DG46" s="144"/>
      <c r="DH46" s="144"/>
      <c r="DI46" s="144"/>
      <c r="DJ46" s="144"/>
      <c r="DK46" s="144"/>
      <c r="DL46" s="144"/>
      <c r="DM46" s="144"/>
      <c r="DN46" s="144"/>
      <c r="DO46" s="144"/>
      <c r="DP46" s="144"/>
      <c r="DQ46" s="144"/>
      <c r="DR46" s="144"/>
      <c r="DS46" s="144"/>
      <c r="DT46" s="144"/>
      <c r="DU46" s="144"/>
      <c r="DV46" s="144"/>
      <c r="DW46" s="144"/>
      <c r="DX46" s="144"/>
      <c r="DY46" s="144"/>
      <c r="DZ46" s="144"/>
      <c r="EA46" s="144"/>
      <c r="EB46" s="144"/>
      <c r="EC46" s="144"/>
      <c r="ED46" s="144"/>
      <c r="EE46" s="144"/>
      <c r="EF46" s="144"/>
      <c r="EG46" s="144"/>
      <c r="EH46" s="144"/>
      <c r="EI46" s="144"/>
      <c r="EJ46" s="144"/>
      <c r="EK46" s="144"/>
      <c r="EL46" s="144"/>
      <c r="EM46" s="144"/>
      <c r="EN46" s="144"/>
      <c r="EO46" s="144"/>
      <c r="EP46" s="144"/>
      <c r="EQ46" s="144"/>
      <c r="ER46" s="144"/>
      <c r="ES46" s="144"/>
      <c r="ET46" s="144"/>
      <c r="EU46" s="144"/>
      <c r="EV46" s="144"/>
      <c r="EW46" s="144"/>
      <c r="EX46" s="144"/>
      <c r="EY46" s="144"/>
      <c r="EZ46" s="144"/>
      <c r="FA46" s="144"/>
      <c r="FB46" s="144"/>
      <c r="FC46" s="144"/>
      <c r="FD46" s="144"/>
      <c r="FE46" s="144"/>
      <c r="FF46" s="144"/>
      <c r="FG46" s="144"/>
      <c r="FH46" s="144"/>
      <c r="FI46" s="144"/>
      <c r="FJ46" s="144"/>
      <c r="FK46" s="144"/>
      <c r="FL46" s="144"/>
      <c r="FM46" s="144"/>
      <c r="FN46" s="144"/>
      <c r="FO46" s="144"/>
      <c r="FP46" s="144"/>
      <c r="FQ46" s="144"/>
      <c r="FR46" s="144"/>
      <c r="FS46" s="144"/>
      <c r="FT46" s="144"/>
      <c r="FU46" s="144"/>
      <c r="FV46" s="144"/>
      <c r="FW46" s="144"/>
      <c r="FX46" s="144"/>
    </row>
    <row r="47" spans="1:180" s="56" customFormat="1" ht="12.95" customHeight="1" x14ac:dyDescent="0.2">
      <c r="A47" s="177"/>
      <c r="B47" s="68"/>
      <c r="C47" s="419" t="str">
        <f t="shared" si="13"/>
        <v/>
      </c>
      <c r="D47" s="147" t="s">
        <v>8641</v>
      </c>
      <c r="E47" s="65">
        <f t="shared" si="12"/>
        <v>0</v>
      </c>
      <c r="F47" s="64"/>
      <c r="G47" s="173"/>
      <c r="H47" s="173"/>
      <c r="I47" s="173"/>
      <c r="J47" s="173"/>
      <c r="K47" s="175"/>
      <c r="L47" s="175"/>
      <c r="M47" s="175"/>
      <c r="N47" s="175"/>
      <c r="O47" s="175"/>
      <c r="P47" s="175"/>
      <c r="Q47" s="175"/>
      <c r="R47" s="175"/>
      <c r="S47" s="175"/>
      <c r="T47" s="175"/>
      <c r="U47" s="175"/>
      <c r="V47" s="175"/>
      <c r="W47" s="175"/>
      <c r="X47" s="175"/>
      <c r="Y47" s="175"/>
      <c r="Z47" s="175"/>
      <c r="AA47" s="176"/>
      <c r="AB47" s="175"/>
      <c r="AC47" s="176"/>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44"/>
      <c r="BB47" s="144"/>
      <c r="BC47" s="144"/>
      <c r="BD47" s="144"/>
      <c r="BE47" s="144"/>
      <c r="BF47" s="144"/>
      <c r="BG47" s="144"/>
      <c r="BH47" s="144"/>
      <c r="BI47" s="144"/>
      <c r="BJ47" s="144"/>
      <c r="BK47" s="144"/>
      <c r="BL47" s="144"/>
      <c r="BM47" s="144"/>
      <c r="BN47" s="144"/>
      <c r="BO47" s="144"/>
      <c r="BP47" s="144"/>
      <c r="BQ47" s="144"/>
      <c r="BR47" s="144"/>
      <c r="BS47" s="144"/>
      <c r="BT47" s="144"/>
      <c r="BU47" s="144"/>
      <c r="BV47" s="144"/>
      <c r="BW47" s="144"/>
      <c r="BX47" s="144"/>
      <c r="BY47" s="144"/>
      <c r="BZ47" s="144"/>
      <c r="CA47" s="144"/>
      <c r="CB47" s="144"/>
      <c r="CC47" s="144"/>
      <c r="CD47" s="144"/>
      <c r="CE47" s="144"/>
      <c r="CF47" s="144"/>
      <c r="CG47" s="144"/>
      <c r="CH47" s="144"/>
      <c r="CI47" s="144"/>
      <c r="CJ47" s="144"/>
      <c r="CK47" s="144"/>
      <c r="CL47" s="144"/>
      <c r="CM47" s="144"/>
      <c r="CN47" s="144"/>
      <c r="CO47" s="144"/>
      <c r="CP47" s="144"/>
      <c r="CQ47" s="144"/>
      <c r="CR47" s="144"/>
      <c r="CS47" s="144"/>
      <c r="CT47" s="144"/>
      <c r="CU47" s="144"/>
      <c r="CV47" s="144"/>
      <c r="CW47" s="144"/>
      <c r="CX47" s="144"/>
      <c r="CY47" s="144"/>
      <c r="CZ47" s="144"/>
      <c r="DA47" s="144"/>
      <c r="DB47" s="144"/>
      <c r="DC47" s="144"/>
      <c r="DD47" s="144"/>
      <c r="DE47" s="144"/>
      <c r="DF47" s="144"/>
      <c r="DG47" s="144"/>
      <c r="DH47" s="144"/>
      <c r="DI47" s="144"/>
      <c r="DJ47" s="144"/>
      <c r="DK47" s="144"/>
      <c r="DL47" s="144"/>
      <c r="DM47" s="144"/>
      <c r="DN47" s="144"/>
      <c r="DO47" s="144"/>
      <c r="DP47" s="144"/>
      <c r="DQ47" s="144"/>
      <c r="DR47" s="144"/>
      <c r="DS47" s="144"/>
      <c r="DT47" s="144"/>
      <c r="DU47" s="144"/>
      <c r="DV47" s="144"/>
      <c r="DW47" s="144"/>
      <c r="DX47" s="144"/>
      <c r="DY47" s="144"/>
      <c r="DZ47" s="144"/>
      <c r="EA47" s="144"/>
      <c r="EB47" s="144"/>
      <c r="EC47" s="144"/>
      <c r="ED47" s="144"/>
      <c r="EE47" s="144"/>
      <c r="EF47" s="144"/>
      <c r="EG47" s="144"/>
      <c r="EH47" s="144"/>
      <c r="EI47" s="144"/>
      <c r="EJ47" s="144"/>
      <c r="EK47" s="144"/>
      <c r="EL47" s="144"/>
      <c r="EM47" s="144"/>
      <c r="EN47" s="144"/>
      <c r="EO47" s="144"/>
      <c r="EP47" s="144"/>
      <c r="EQ47" s="144"/>
      <c r="ER47" s="144"/>
      <c r="ES47" s="144"/>
      <c r="ET47" s="144"/>
      <c r="EU47" s="144"/>
      <c r="EV47" s="144"/>
      <c r="EW47" s="144"/>
      <c r="EX47" s="144"/>
      <c r="EY47" s="144"/>
      <c r="EZ47" s="144"/>
      <c r="FA47" s="144"/>
      <c r="FB47" s="144"/>
      <c r="FC47" s="144"/>
      <c r="FD47" s="144"/>
      <c r="FE47" s="144"/>
      <c r="FF47" s="144"/>
      <c r="FG47" s="144"/>
      <c r="FH47" s="144"/>
      <c r="FI47" s="144"/>
      <c r="FJ47" s="144"/>
      <c r="FK47" s="144"/>
      <c r="FL47" s="144"/>
      <c r="FM47" s="144"/>
      <c r="FN47" s="144"/>
      <c r="FO47" s="144"/>
      <c r="FP47" s="144"/>
      <c r="FQ47" s="144"/>
      <c r="FR47" s="144"/>
      <c r="FS47" s="144"/>
      <c r="FT47" s="144"/>
      <c r="FU47" s="144"/>
      <c r="FV47" s="144"/>
      <c r="FW47" s="144"/>
      <c r="FX47" s="144"/>
    </row>
    <row r="48" spans="1:180" s="56" customFormat="1" ht="14.1" customHeight="1" x14ac:dyDescent="0.2">
      <c r="A48" s="177"/>
      <c r="B48" s="68"/>
      <c r="C48" s="419" t="str">
        <f t="shared" si="13"/>
        <v/>
      </c>
      <c r="D48" s="147" t="s">
        <v>4200</v>
      </c>
      <c r="E48" s="65">
        <f t="shared" si="12"/>
        <v>0</v>
      </c>
      <c r="F48" s="64"/>
      <c r="G48" s="173"/>
      <c r="H48" s="173"/>
      <c r="I48" s="173"/>
      <c r="J48" s="173"/>
      <c r="K48" s="175"/>
      <c r="L48" s="175"/>
      <c r="M48" s="175"/>
      <c r="N48" s="175"/>
      <c r="O48" s="175"/>
      <c r="P48" s="175"/>
      <c r="Q48" s="175"/>
      <c r="R48" s="175"/>
      <c r="S48" s="175"/>
      <c r="T48" s="175"/>
      <c r="U48" s="175"/>
      <c r="V48" s="175"/>
      <c r="W48" s="175"/>
      <c r="X48" s="175"/>
      <c r="Y48" s="175"/>
      <c r="Z48" s="175"/>
      <c r="AA48" s="176"/>
      <c r="AB48" s="176"/>
      <c r="AC48" s="176"/>
      <c r="AD48" s="176"/>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44"/>
      <c r="BB48" s="144"/>
      <c r="BC48" s="144"/>
      <c r="BD48" s="144"/>
      <c r="BE48" s="144"/>
      <c r="BF48" s="144"/>
      <c r="BG48" s="144"/>
      <c r="BH48" s="144"/>
      <c r="BI48" s="144"/>
      <c r="BJ48" s="144"/>
      <c r="BK48" s="144"/>
      <c r="BL48" s="144"/>
      <c r="BM48" s="144"/>
      <c r="BN48" s="144"/>
      <c r="BO48" s="144"/>
      <c r="BP48" s="144"/>
      <c r="BQ48" s="144"/>
      <c r="BR48" s="144"/>
      <c r="BS48" s="144"/>
      <c r="BT48" s="144"/>
      <c r="BU48" s="144"/>
      <c r="BV48" s="144"/>
      <c r="BW48" s="144"/>
      <c r="BX48" s="144"/>
      <c r="BY48" s="144"/>
      <c r="BZ48" s="144"/>
      <c r="CA48" s="144"/>
      <c r="CB48" s="144"/>
      <c r="CC48" s="144"/>
      <c r="CD48" s="144"/>
      <c r="CE48" s="144"/>
      <c r="CF48" s="144"/>
      <c r="CG48" s="144"/>
      <c r="CH48" s="144"/>
      <c r="CI48" s="144"/>
      <c r="CJ48" s="144"/>
      <c r="CK48" s="144"/>
      <c r="CL48" s="144"/>
      <c r="CM48" s="144"/>
      <c r="CN48" s="144"/>
      <c r="CO48" s="144"/>
      <c r="CP48" s="144"/>
      <c r="CQ48" s="144"/>
      <c r="CR48" s="144"/>
      <c r="CS48" s="144"/>
      <c r="CT48" s="144"/>
      <c r="CU48" s="144"/>
      <c r="CV48" s="144"/>
      <c r="CW48" s="144"/>
      <c r="CX48" s="144"/>
      <c r="CY48" s="144"/>
      <c r="CZ48" s="144"/>
      <c r="DA48" s="144"/>
      <c r="DB48" s="144"/>
      <c r="DC48" s="144"/>
      <c r="DD48" s="144"/>
      <c r="DE48" s="144"/>
      <c r="DF48" s="144"/>
      <c r="DG48" s="144"/>
      <c r="DH48" s="144"/>
      <c r="DI48" s="144"/>
      <c r="DJ48" s="144"/>
      <c r="DK48" s="144"/>
      <c r="DL48" s="144"/>
      <c r="DM48" s="144"/>
      <c r="DN48" s="144"/>
      <c r="DO48" s="144"/>
      <c r="DP48" s="144"/>
      <c r="DQ48" s="144"/>
      <c r="DR48" s="144"/>
      <c r="DS48" s="144"/>
      <c r="DT48" s="144"/>
      <c r="DU48" s="144"/>
      <c r="DV48" s="144"/>
      <c r="DW48" s="144"/>
      <c r="DX48" s="144"/>
      <c r="DY48" s="144"/>
      <c r="DZ48" s="144"/>
      <c r="EA48" s="144"/>
      <c r="EB48" s="144"/>
      <c r="EC48" s="144"/>
      <c r="ED48" s="144"/>
      <c r="EE48" s="144"/>
      <c r="EF48" s="144"/>
      <c r="EG48" s="144"/>
      <c r="EH48" s="144"/>
      <c r="EI48" s="144"/>
      <c r="EJ48" s="144"/>
      <c r="EK48" s="144"/>
      <c r="EL48" s="144"/>
      <c r="EM48" s="144"/>
      <c r="EN48" s="144"/>
      <c r="EO48" s="144"/>
      <c r="EP48" s="144"/>
      <c r="EQ48" s="144"/>
      <c r="ER48" s="144"/>
      <c r="ES48" s="144"/>
      <c r="ET48" s="144"/>
      <c r="EU48" s="144"/>
      <c r="EV48" s="144"/>
      <c r="EW48" s="144"/>
      <c r="EX48" s="144"/>
      <c r="EY48" s="144"/>
      <c r="EZ48" s="144"/>
      <c r="FA48" s="144"/>
      <c r="FB48" s="144"/>
      <c r="FC48" s="144"/>
      <c r="FD48" s="144"/>
      <c r="FE48" s="144"/>
      <c r="FF48" s="144"/>
      <c r="FG48" s="144"/>
      <c r="FH48" s="144"/>
      <c r="FI48" s="144"/>
      <c r="FJ48" s="144"/>
      <c r="FK48" s="144"/>
      <c r="FL48" s="144"/>
      <c r="FM48" s="144"/>
      <c r="FN48" s="144"/>
      <c r="FO48" s="144"/>
      <c r="FP48" s="144"/>
      <c r="FQ48" s="144"/>
      <c r="FR48" s="144"/>
      <c r="FS48" s="144"/>
      <c r="FT48" s="144"/>
      <c r="FU48" s="144"/>
      <c r="FV48" s="144"/>
      <c r="FW48" s="144"/>
      <c r="FX48" s="144"/>
    </row>
    <row r="49" spans="1:180" s="56" customFormat="1" ht="17.45" customHeight="1" x14ac:dyDescent="0.2">
      <c r="A49" s="177"/>
      <c r="B49" s="68"/>
      <c r="C49" s="419" t="str">
        <f t="shared" si="13"/>
        <v/>
      </c>
      <c r="D49" s="153" t="s">
        <v>8642</v>
      </c>
      <c r="E49" s="65">
        <f t="shared" si="12"/>
        <v>0</v>
      </c>
      <c r="F49" s="64"/>
      <c r="G49" s="173"/>
      <c r="H49" s="173"/>
      <c r="I49" s="173"/>
      <c r="J49" s="173"/>
      <c r="K49" s="175"/>
      <c r="L49" s="175"/>
      <c r="M49" s="175"/>
      <c r="N49" s="175"/>
      <c r="O49" s="175"/>
      <c r="P49" s="175"/>
      <c r="Q49" s="175"/>
      <c r="R49" s="175"/>
      <c r="S49" s="175"/>
      <c r="T49" s="175"/>
      <c r="U49" s="175"/>
      <c r="V49" s="175"/>
      <c r="W49" s="175"/>
      <c r="X49" s="175"/>
      <c r="Y49" s="175"/>
      <c r="Z49" s="175"/>
      <c r="AA49" s="176"/>
      <c r="AB49" s="175"/>
      <c r="AC49" s="175"/>
      <c r="AD49" s="175"/>
      <c r="AE49" s="176"/>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44"/>
      <c r="BB49" s="144"/>
      <c r="BC49" s="144"/>
      <c r="BD49" s="144"/>
      <c r="BE49" s="144"/>
      <c r="BF49" s="144"/>
      <c r="BG49" s="144"/>
      <c r="BH49" s="144"/>
      <c r="BI49" s="144"/>
      <c r="BJ49" s="144"/>
      <c r="BK49" s="144"/>
      <c r="BL49" s="144"/>
      <c r="BM49" s="144"/>
      <c r="BN49" s="144"/>
      <c r="BO49" s="144"/>
      <c r="BP49" s="144"/>
      <c r="BQ49" s="144"/>
      <c r="BR49" s="144"/>
      <c r="BS49" s="144"/>
      <c r="BT49" s="144"/>
      <c r="BU49" s="144"/>
      <c r="BV49" s="144"/>
      <c r="BW49" s="144"/>
      <c r="BX49" s="144"/>
      <c r="BY49" s="144"/>
      <c r="BZ49" s="144"/>
      <c r="CA49" s="144"/>
      <c r="CB49" s="144"/>
      <c r="CC49" s="144"/>
      <c r="CD49" s="144"/>
      <c r="CE49" s="144"/>
      <c r="CF49" s="144"/>
      <c r="CG49" s="144"/>
      <c r="CH49" s="144"/>
      <c r="CI49" s="144"/>
      <c r="CJ49" s="144"/>
      <c r="CK49" s="144"/>
      <c r="CL49" s="144"/>
      <c r="CM49" s="144"/>
      <c r="CN49" s="144"/>
      <c r="CO49" s="144"/>
      <c r="CP49" s="144"/>
      <c r="CQ49" s="144"/>
      <c r="CR49" s="144"/>
      <c r="CS49" s="144"/>
      <c r="CT49" s="144"/>
      <c r="CU49" s="144"/>
      <c r="CV49" s="144"/>
      <c r="CW49" s="144"/>
      <c r="CX49" s="144"/>
      <c r="CY49" s="144"/>
      <c r="CZ49" s="144"/>
      <c r="DA49" s="144"/>
      <c r="DB49" s="144"/>
      <c r="DC49" s="144"/>
      <c r="DD49" s="144"/>
      <c r="DE49" s="144"/>
      <c r="DF49" s="144"/>
      <c r="DG49" s="144"/>
      <c r="DH49" s="144"/>
      <c r="DI49" s="144"/>
      <c r="DJ49" s="144"/>
      <c r="DK49" s="144"/>
      <c r="DL49" s="144"/>
      <c r="DM49" s="144"/>
      <c r="DN49" s="144"/>
      <c r="DO49" s="144"/>
      <c r="DP49" s="144"/>
      <c r="DQ49" s="144"/>
      <c r="DR49" s="144"/>
      <c r="DS49" s="144"/>
      <c r="DT49" s="144"/>
      <c r="DU49" s="144"/>
      <c r="DV49" s="144"/>
      <c r="DW49" s="144"/>
      <c r="DX49" s="144"/>
      <c r="DY49" s="144"/>
      <c r="DZ49" s="144"/>
      <c r="EA49" s="144"/>
      <c r="EB49" s="144"/>
      <c r="EC49" s="144"/>
      <c r="ED49" s="144"/>
      <c r="EE49" s="144"/>
      <c r="EF49" s="144"/>
      <c r="EG49" s="144"/>
      <c r="EH49" s="144"/>
      <c r="EI49" s="144"/>
      <c r="EJ49" s="144"/>
      <c r="EK49" s="144"/>
      <c r="EL49" s="144"/>
      <c r="EM49" s="144"/>
      <c r="EN49" s="144"/>
      <c r="EO49" s="144"/>
      <c r="EP49" s="144"/>
      <c r="EQ49" s="144"/>
      <c r="ER49" s="144"/>
      <c r="ES49" s="144"/>
      <c r="ET49" s="144"/>
      <c r="EU49" s="144"/>
      <c r="EV49" s="144"/>
      <c r="EW49" s="144"/>
      <c r="EX49" s="144"/>
      <c r="EY49" s="144"/>
      <c r="EZ49" s="144"/>
      <c r="FA49" s="144"/>
      <c r="FB49" s="144"/>
      <c r="FC49" s="144"/>
      <c r="FD49" s="144"/>
      <c r="FE49" s="144"/>
      <c r="FF49" s="144"/>
      <c r="FG49" s="144"/>
      <c r="FH49" s="144"/>
      <c r="FI49" s="144"/>
      <c r="FJ49" s="144"/>
      <c r="FK49" s="144"/>
      <c r="FL49" s="144"/>
      <c r="FM49" s="144"/>
      <c r="FN49" s="144"/>
      <c r="FO49" s="144"/>
      <c r="FP49" s="144"/>
      <c r="FQ49" s="144"/>
      <c r="FR49" s="144"/>
      <c r="FS49" s="144"/>
      <c r="FT49" s="144"/>
      <c r="FU49" s="144"/>
      <c r="FV49" s="144"/>
      <c r="FW49" s="144"/>
      <c r="FX49" s="144"/>
    </row>
    <row r="50" spans="1:180" s="56" customFormat="1" x14ac:dyDescent="0.2">
      <c r="A50" s="177"/>
      <c r="B50" s="68"/>
      <c r="C50" s="420" t="str">
        <f t="shared" si="13"/>
        <v/>
      </c>
      <c r="D50" s="148" t="s">
        <v>4201</v>
      </c>
      <c r="E50" s="101">
        <f t="shared" si="12"/>
        <v>0</v>
      </c>
      <c r="F50" s="64"/>
      <c r="G50" s="173"/>
      <c r="H50" s="173"/>
      <c r="I50" s="173"/>
      <c r="J50" s="173"/>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44"/>
      <c r="BB50" s="144"/>
      <c r="BC50" s="144"/>
      <c r="BD50" s="144"/>
      <c r="BE50" s="144"/>
      <c r="BF50" s="144"/>
      <c r="BG50" s="144"/>
      <c r="BH50" s="144"/>
      <c r="BI50" s="144"/>
      <c r="BJ50" s="144"/>
      <c r="BK50" s="144"/>
      <c r="BL50" s="144"/>
      <c r="BM50" s="144"/>
      <c r="BN50" s="144"/>
      <c r="BO50" s="144"/>
      <c r="BP50" s="144"/>
      <c r="BQ50" s="144"/>
      <c r="BR50" s="144"/>
      <c r="BS50" s="144"/>
      <c r="BT50" s="144"/>
      <c r="BU50" s="144"/>
      <c r="BV50" s="144"/>
      <c r="BW50" s="144"/>
      <c r="BX50" s="144"/>
      <c r="BY50" s="144"/>
      <c r="BZ50" s="144"/>
      <c r="CA50" s="144"/>
      <c r="CB50" s="144"/>
      <c r="CC50" s="144"/>
      <c r="CD50" s="144"/>
      <c r="CE50" s="144"/>
      <c r="CF50" s="144"/>
      <c r="CG50" s="144"/>
      <c r="CH50" s="144"/>
      <c r="CI50" s="144"/>
      <c r="CJ50" s="144"/>
      <c r="CK50" s="144"/>
      <c r="CL50" s="144"/>
      <c r="CM50" s="144"/>
      <c r="CN50" s="144"/>
      <c r="CO50" s="144"/>
      <c r="CP50" s="144"/>
      <c r="CQ50" s="144"/>
      <c r="CR50" s="144"/>
      <c r="CS50" s="144"/>
      <c r="CT50" s="144"/>
      <c r="CU50" s="144"/>
      <c r="CV50" s="144"/>
      <c r="CW50" s="144"/>
      <c r="CX50" s="144"/>
      <c r="CY50" s="144"/>
      <c r="CZ50" s="144"/>
      <c r="DA50" s="144"/>
      <c r="DB50" s="144"/>
      <c r="DC50" s="144"/>
      <c r="DD50" s="144"/>
      <c r="DE50" s="144"/>
      <c r="DF50" s="144"/>
      <c r="DG50" s="144"/>
      <c r="DH50" s="144"/>
      <c r="DI50" s="144"/>
      <c r="DJ50" s="144"/>
      <c r="DK50" s="144"/>
      <c r="DL50" s="144"/>
      <c r="DM50" s="144"/>
      <c r="DN50" s="144"/>
      <c r="DO50" s="144"/>
      <c r="DP50" s="144"/>
      <c r="DQ50" s="144"/>
      <c r="DR50" s="144"/>
      <c r="DS50" s="144"/>
      <c r="DT50" s="144"/>
      <c r="DU50" s="144"/>
      <c r="DV50" s="144"/>
      <c r="DW50" s="144"/>
      <c r="DX50" s="144"/>
      <c r="DY50" s="144"/>
      <c r="DZ50" s="144"/>
      <c r="EA50" s="144"/>
      <c r="EB50" s="144"/>
      <c r="EC50" s="144"/>
      <c r="ED50" s="144"/>
      <c r="EE50" s="144"/>
      <c r="EF50" s="144"/>
      <c r="EG50" s="144"/>
      <c r="EH50" s="144"/>
      <c r="EI50" s="144"/>
      <c r="EJ50" s="144"/>
      <c r="EK50" s="144"/>
      <c r="EL50" s="144"/>
      <c r="EM50" s="144"/>
      <c r="EN50" s="144"/>
      <c r="EO50" s="144"/>
      <c r="EP50" s="144"/>
      <c r="EQ50" s="144"/>
      <c r="ER50" s="144"/>
      <c r="ES50" s="144"/>
      <c r="ET50" s="144"/>
      <c r="EU50" s="144"/>
      <c r="EV50" s="144"/>
      <c r="EW50" s="144"/>
      <c r="EX50" s="144"/>
      <c r="EY50" s="144"/>
      <c r="EZ50" s="144"/>
      <c r="FA50" s="144"/>
      <c r="FB50" s="144"/>
      <c r="FC50" s="144"/>
      <c r="FD50" s="144"/>
      <c r="FE50" s="144"/>
      <c r="FF50" s="144"/>
      <c r="FG50" s="144"/>
      <c r="FH50" s="144"/>
      <c r="FI50" s="144"/>
      <c r="FJ50" s="144"/>
      <c r="FK50" s="144"/>
      <c r="FL50" s="144"/>
      <c r="FM50" s="144"/>
      <c r="FN50" s="144"/>
      <c r="FO50" s="144"/>
      <c r="FP50" s="144"/>
      <c r="FQ50" s="144"/>
      <c r="FR50" s="144"/>
      <c r="FS50" s="144"/>
      <c r="FT50" s="144"/>
      <c r="FU50" s="144"/>
      <c r="FV50" s="144"/>
      <c r="FW50" s="144"/>
      <c r="FX50" s="144"/>
    </row>
    <row r="51" spans="1:180" s="56" customFormat="1" x14ac:dyDescent="0.2">
      <c r="A51" s="177"/>
      <c r="B51" s="68"/>
      <c r="C51" s="420" t="str">
        <f t="shared" si="13"/>
        <v/>
      </c>
      <c r="D51" s="147" t="s">
        <v>4202</v>
      </c>
      <c r="E51" s="101">
        <f t="shared" si="12"/>
        <v>0</v>
      </c>
      <c r="F51" s="64"/>
      <c r="G51" s="173"/>
      <c r="H51" s="173"/>
      <c r="I51" s="173"/>
      <c r="J51" s="173"/>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175"/>
      <c r="AX51" s="175"/>
      <c r="AY51" s="175"/>
      <c r="AZ51" s="175"/>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144"/>
      <c r="CF51" s="144"/>
      <c r="CG51" s="144"/>
      <c r="CH51" s="144"/>
      <c r="CI51" s="144"/>
      <c r="CJ51" s="144"/>
      <c r="CK51" s="144"/>
      <c r="CL51" s="144"/>
      <c r="CM51" s="144"/>
      <c r="CN51" s="144"/>
      <c r="CO51" s="144"/>
      <c r="CP51" s="144"/>
      <c r="CQ51" s="144"/>
      <c r="CR51" s="144"/>
      <c r="CS51" s="144"/>
      <c r="CT51" s="144"/>
      <c r="CU51" s="144"/>
      <c r="CV51" s="144"/>
      <c r="CW51" s="144"/>
      <c r="CX51" s="144"/>
      <c r="CY51" s="144"/>
      <c r="CZ51" s="144"/>
      <c r="DA51" s="144"/>
      <c r="DB51" s="144"/>
      <c r="DC51" s="144"/>
      <c r="DD51" s="144"/>
      <c r="DE51" s="144"/>
      <c r="DF51" s="144"/>
      <c r="DG51" s="144"/>
      <c r="DH51" s="144"/>
      <c r="DI51" s="144"/>
      <c r="DJ51" s="144"/>
      <c r="DK51" s="144"/>
      <c r="DL51" s="144"/>
      <c r="DM51" s="144"/>
      <c r="DN51" s="144"/>
      <c r="DO51" s="144"/>
      <c r="DP51" s="144"/>
      <c r="DQ51" s="144"/>
      <c r="DR51" s="144"/>
      <c r="DS51" s="144"/>
      <c r="DT51" s="144"/>
      <c r="DU51" s="144"/>
      <c r="DV51" s="144"/>
      <c r="DW51" s="144"/>
      <c r="DX51" s="144"/>
      <c r="DY51" s="144"/>
      <c r="DZ51" s="144"/>
      <c r="EA51" s="144"/>
      <c r="EB51" s="144"/>
      <c r="EC51" s="144"/>
      <c r="ED51" s="144"/>
      <c r="EE51" s="144"/>
      <c r="EF51" s="144"/>
      <c r="EG51" s="144"/>
      <c r="EH51" s="144"/>
      <c r="EI51" s="144"/>
      <c r="EJ51" s="144"/>
      <c r="EK51" s="144"/>
      <c r="EL51" s="144"/>
      <c r="EM51" s="144"/>
      <c r="EN51" s="144"/>
      <c r="EO51" s="144"/>
      <c r="EP51" s="144"/>
      <c r="EQ51" s="144"/>
      <c r="ER51" s="144"/>
      <c r="ES51" s="144"/>
      <c r="ET51" s="144"/>
      <c r="EU51" s="144"/>
      <c r="EV51" s="144"/>
      <c r="EW51" s="144"/>
      <c r="EX51" s="144"/>
      <c r="EY51" s="144"/>
      <c r="EZ51" s="144"/>
      <c r="FA51" s="144"/>
      <c r="FB51" s="144"/>
      <c r="FC51" s="144"/>
      <c r="FD51" s="144"/>
      <c r="FE51" s="144"/>
      <c r="FF51" s="144"/>
      <c r="FG51" s="144"/>
      <c r="FH51" s="144"/>
      <c r="FI51" s="144"/>
      <c r="FJ51" s="144"/>
      <c r="FK51" s="144"/>
      <c r="FL51" s="144"/>
      <c r="FM51" s="144"/>
      <c r="FN51" s="144"/>
      <c r="FO51" s="144"/>
      <c r="FP51" s="144"/>
      <c r="FQ51" s="144"/>
      <c r="FR51" s="144"/>
      <c r="FS51" s="144"/>
      <c r="FT51" s="144"/>
      <c r="FU51" s="144"/>
      <c r="FV51" s="144"/>
      <c r="FW51" s="144"/>
      <c r="FX51" s="144"/>
    </row>
    <row r="52" spans="1:180" s="56" customFormat="1" x14ac:dyDescent="0.2">
      <c r="A52" s="177"/>
      <c r="B52" s="68"/>
      <c r="C52" s="420" t="str">
        <f t="shared" si="13"/>
        <v/>
      </c>
      <c r="D52" s="147" t="s">
        <v>4203</v>
      </c>
      <c r="E52" s="101">
        <f t="shared" si="12"/>
        <v>0</v>
      </c>
      <c r="F52" s="64"/>
      <c r="G52" s="173"/>
      <c r="H52" s="173"/>
      <c r="I52" s="173"/>
      <c r="J52" s="173"/>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5"/>
      <c r="AQ52" s="175"/>
      <c r="AR52" s="175"/>
      <c r="AS52" s="175"/>
      <c r="AT52" s="175"/>
      <c r="AU52" s="175"/>
      <c r="AV52" s="175"/>
      <c r="AW52" s="175"/>
      <c r="AX52" s="175"/>
      <c r="AY52" s="175"/>
      <c r="AZ52" s="175"/>
      <c r="BA52" s="144"/>
      <c r="BB52" s="144"/>
      <c r="BC52" s="144"/>
      <c r="BD52" s="144"/>
      <c r="BE52" s="144"/>
      <c r="BF52" s="144"/>
      <c r="BG52" s="144"/>
      <c r="BH52" s="144"/>
      <c r="BI52" s="144"/>
      <c r="BJ52" s="144"/>
      <c r="BK52" s="144"/>
      <c r="BL52" s="144"/>
      <c r="BM52" s="144"/>
      <c r="BN52" s="144"/>
      <c r="BO52" s="144"/>
      <c r="BP52" s="144"/>
      <c r="BQ52" s="144"/>
      <c r="BR52" s="144"/>
      <c r="BS52" s="144"/>
      <c r="BT52" s="144"/>
      <c r="BU52" s="144"/>
      <c r="BV52" s="144"/>
      <c r="BW52" s="144"/>
      <c r="BX52" s="144"/>
      <c r="BY52" s="144"/>
      <c r="BZ52" s="144"/>
      <c r="CA52" s="144"/>
      <c r="CB52" s="144"/>
      <c r="CC52" s="144"/>
      <c r="CD52" s="144"/>
      <c r="CE52" s="144"/>
      <c r="CF52" s="144"/>
      <c r="CG52" s="144"/>
      <c r="CH52" s="144"/>
      <c r="CI52" s="144"/>
      <c r="CJ52" s="144"/>
      <c r="CK52" s="144"/>
      <c r="CL52" s="144"/>
      <c r="CM52" s="144"/>
      <c r="CN52" s="144"/>
      <c r="CO52" s="144"/>
      <c r="CP52" s="144"/>
      <c r="CQ52" s="144"/>
      <c r="CR52" s="144"/>
      <c r="CS52" s="144"/>
      <c r="CT52" s="144"/>
      <c r="CU52" s="144"/>
      <c r="CV52" s="144"/>
      <c r="CW52" s="144"/>
      <c r="CX52" s="144"/>
      <c r="CY52" s="144"/>
      <c r="CZ52" s="144"/>
      <c r="DA52" s="144"/>
      <c r="DB52" s="144"/>
      <c r="DC52" s="144"/>
      <c r="DD52" s="144"/>
      <c r="DE52" s="144"/>
      <c r="DF52" s="144"/>
      <c r="DG52" s="144"/>
      <c r="DH52" s="144"/>
      <c r="DI52" s="144"/>
      <c r="DJ52" s="144"/>
      <c r="DK52" s="144"/>
      <c r="DL52" s="144"/>
      <c r="DM52" s="144"/>
      <c r="DN52" s="144"/>
      <c r="DO52" s="144"/>
      <c r="DP52" s="144"/>
      <c r="DQ52" s="144"/>
      <c r="DR52" s="144"/>
      <c r="DS52" s="144"/>
      <c r="DT52" s="144"/>
      <c r="DU52" s="144"/>
      <c r="DV52" s="144"/>
      <c r="DW52" s="144"/>
      <c r="DX52" s="144"/>
      <c r="DY52" s="144"/>
      <c r="DZ52" s="144"/>
      <c r="EA52" s="144"/>
      <c r="EB52" s="144"/>
      <c r="EC52" s="144"/>
      <c r="ED52" s="144"/>
      <c r="EE52" s="144"/>
      <c r="EF52" s="144"/>
      <c r="EG52" s="144"/>
      <c r="EH52" s="144"/>
      <c r="EI52" s="144"/>
      <c r="EJ52" s="144"/>
      <c r="EK52" s="144"/>
      <c r="EL52" s="144"/>
      <c r="EM52" s="144"/>
      <c r="EN52" s="144"/>
      <c r="EO52" s="144"/>
      <c r="EP52" s="144"/>
      <c r="EQ52" s="144"/>
      <c r="ER52" s="144"/>
      <c r="ES52" s="144"/>
      <c r="ET52" s="144"/>
      <c r="EU52" s="144"/>
      <c r="EV52" s="144"/>
      <c r="EW52" s="144"/>
      <c r="EX52" s="144"/>
      <c r="EY52" s="144"/>
      <c r="EZ52" s="144"/>
      <c r="FA52" s="144"/>
      <c r="FB52" s="144"/>
      <c r="FC52" s="144"/>
      <c r="FD52" s="144"/>
      <c r="FE52" s="144"/>
      <c r="FF52" s="144"/>
      <c r="FG52" s="144"/>
      <c r="FH52" s="144"/>
      <c r="FI52" s="144"/>
      <c r="FJ52" s="144"/>
      <c r="FK52" s="144"/>
      <c r="FL52" s="144"/>
      <c r="FM52" s="144"/>
      <c r="FN52" s="144"/>
      <c r="FO52" s="144"/>
      <c r="FP52" s="144"/>
      <c r="FQ52" s="144"/>
      <c r="FR52" s="144"/>
      <c r="FS52" s="144"/>
      <c r="FT52" s="144"/>
      <c r="FU52" s="144"/>
      <c r="FV52" s="144"/>
      <c r="FW52" s="144"/>
      <c r="FX52" s="144"/>
    </row>
    <row r="53" spans="1:180" s="56" customFormat="1" x14ac:dyDescent="0.2">
      <c r="A53" s="177"/>
      <c r="B53" s="68"/>
      <c r="C53" s="420" t="str">
        <f t="shared" si="13"/>
        <v/>
      </c>
      <c r="D53" s="148" t="s">
        <v>4204</v>
      </c>
      <c r="E53" s="101">
        <f t="shared" si="12"/>
        <v>0</v>
      </c>
      <c r="F53" s="64"/>
      <c r="G53" s="173"/>
      <c r="H53" s="173"/>
      <c r="I53" s="173"/>
      <c r="J53" s="173"/>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44"/>
      <c r="BB53" s="144"/>
      <c r="BC53" s="144"/>
      <c r="BD53" s="144"/>
      <c r="BE53" s="144"/>
      <c r="BF53" s="144"/>
      <c r="BG53" s="144"/>
      <c r="BH53" s="144"/>
      <c r="BI53" s="144"/>
      <c r="BJ53" s="144"/>
      <c r="BK53" s="144"/>
      <c r="BL53" s="144"/>
      <c r="BM53" s="144"/>
      <c r="BN53" s="144"/>
      <c r="BO53" s="144"/>
      <c r="BP53" s="144"/>
      <c r="BQ53" s="144"/>
      <c r="BR53" s="144"/>
      <c r="BS53" s="144"/>
      <c r="BT53" s="144"/>
      <c r="BU53" s="144"/>
      <c r="BV53" s="144"/>
      <c r="BW53" s="144"/>
      <c r="BX53" s="144"/>
      <c r="BY53" s="144"/>
      <c r="BZ53" s="144"/>
      <c r="CA53" s="144"/>
      <c r="CB53" s="144"/>
      <c r="CC53" s="144"/>
      <c r="CD53" s="144"/>
      <c r="CE53" s="144"/>
      <c r="CF53" s="144"/>
      <c r="CG53" s="144"/>
      <c r="CH53" s="144"/>
      <c r="CI53" s="144"/>
      <c r="CJ53" s="144"/>
      <c r="CK53" s="144"/>
      <c r="CL53" s="144"/>
      <c r="CM53" s="144"/>
      <c r="CN53" s="144"/>
      <c r="CO53" s="144"/>
      <c r="CP53" s="144"/>
      <c r="CQ53" s="144"/>
      <c r="CR53" s="144"/>
      <c r="CS53" s="144"/>
      <c r="CT53" s="144"/>
      <c r="CU53" s="144"/>
      <c r="CV53" s="144"/>
      <c r="CW53" s="144"/>
      <c r="CX53" s="144"/>
      <c r="CY53" s="144"/>
      <c r="CZ53" s="144"/>
      <c r="DA53" s="144"/>
      <c r="DB53" s="144"/>
      <c r="DC53" s="144"/>
      <c r="DD53" s="144"/>
      <c r="DE53" s="144"/>
      <c r="DF53" s="144"/>
      <c r="DG53" s="144"/>
      <c r="DH53" s="144"/>
      <c r="DI53" s="144"/>
      <c r="DJ53" s="144"/>
      <c r="DK53" s="144"/>
      <c r="DL53" s="144"/>
      <c r="DM53" s="144"/>
      <c r="DN53" s="144"/>
      <c r="DO53" s="144"/>
      <c r="DP53" s="144"/>
      <c r="DQ53" s="144"/>
      <c r="DR53" s="144"/>
      <c r="DS53" s="144"/>
      <c r="DT53" s="144"/>
      <c r="DU53" s="144"/>
      <c r="DV53" s="144"/>
      <c r="DW53" s="144"/>
      <c r="DX53" s="144"/>
      <c r="DY53" s="144"/>
      <c r="DZ53" s="144"/>
      <c r="EA53" s="144"/>
      <c r="EB53" s="144"/>
      <c r="EC53" s="144"/>
      <c r="ED53" s="144"/>
      <c r="EE53" s="144"/>
      <c r="EF53" s="144"/>
      <c r="EG53" s="144"/>
      <c r="EH53" s="144"/>
      <c r="EI53" s="144"/>
      <c r="EJ53" s="144"/>
      <c r="EK53" s="144"/>
      <c r="EL53" s="144"/>
      <c r="EM53" s="144"/>
      <c r="EN53" s="144"/>
      <c r="EO53" s="144"/>
      <c r="EP53" s="144"/>
      <c r="EQ53" s="144"/>
      <c r="ER53" s="144"/>
      <c r="ES53" s="144"/>
      <c r="ET53" s="144"/>
      <c r="EU53" s="144"/>
      <c r="EV53" s="144"/>
      <c r="EW53" s="144"/>
      <c r="EX53" s="144"/>
      <c r="EY53" s="144"/>
      <c r="EZ53" s="144"/>
      <c r="FA53" s="144"/>
      <c r="FB53" s="144"/>
      <c r="FC53" s="144"/>
      <c r="FD53" s="144"/>
      <c r="FE53" s="144"/>
      <c r="FF53" s="144"/>
      <c r="FG53" s="144"/>
      <c r="FH53" s="144"/>
      <c r="FI53" s="144"/>
      <c r="FJ53" s="144"/>
      <c r="FK53" s="144"/>
      <c r="FL53" s="144"/>
      <c r="FM53" s="144"/>
      <c r="FN53" s="144"/>
      <c r="FO53" s="144"/>
      <c r="FP53" s="144"/>
      <c r="FQ53" s="144"/>
      <c r="FR53" s="144"/>
      <c r="FS53" s="144"/>
      <c r="FT53" s="144"/>
      <c r="FU53" s="144"/>
      <c r="FV53" s="144"/>
      <c r="FW53" s="144"/>
      <c r="FX53" s="144"/>
    </row>
    <row r="54" spans="1:180" s="56" customFormat="1" x14ac:dyDescent="0.2">
      <c r="A54" s="177"/>
      <c r="B54" s="68"/>
      <c r="C54" s="420" t="str">
        <f t="shared" si="13"/>
        <v/>
      </c>
      <c r="D54" s="37" t="s">
        <v>8643</v>
      </c>
      <c r="E54" s="101">
        <f t="shared" si="12"/>
        <v>0</v>
      </c>
      <c r="F54" s="64"/>
      <c r="G54" s="173"/>
      <c r="H54" s="173"/>
      <c r="I54" s="173"/>
      <c r="J54" s="173"/>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44"/>
      <c r="BB54" s="144"/>
      <c r="BC54" s="144"/>
      <c r="BD54" s="144"/>
      <c r="BE54" s="144"/>
      <c r="BF54" s="144"/>
      <c r="BG54" s="144"/>
      <c r="BH54" s="144"/>
      <c r="BI54" s="144"/>
      <c r="BJ54" s="144"/>
      <c r="BK54" s="144"/>
      <c r="BL54" s="144"/>
      <c r="BM54" s="144"/>
      <c r="BN54" s="144"/>
      <c r="BO54" s="144"/>
      <c r="BP54" s="144"/>
      <c r="BQ54" s="144"/>
      <c r="BR54" s="144"/>
      <c r="BS54" s="144"/>
      <c r="BT54" s="144"/>
      <c r="BU54" s="144"/>
      <c r="BV54" s="144"/>
      <c r="BW54" s="144"/>
      <c r="BX54" s="144"/>
      <c r="BY54" s="144"/>
      <c r="BZ54" s="144"/>
      <c r="CA54" s="144"/>
      <c r="CB54" s="144"/>
      <c r="CC54" s="144"/>
      <c r="CD54" s="144"/>
      <c r="CE54" s="144"/>
      <c r="CF54" s="144"/>
      <c r="CG54" s="144"/>
      <c r="CH54" s="144"/>
      <c r="CI54" s="144"/>
      <c r="CJ54" s="144"/>
      <c r="CK54" s="144"/>
      <c r="CL54" s="144"/>
      <c r="CM54" s="144"/>
      <c r="CN54" s="144"/>
      <c r="CO54" s="144"/>
      <c r="CP54" s="144"/>
      <c r="CQ54" s="144"/>
      <c r="CR54" s="144"/>
      <c r="CS54" s="144"/>
      <c r="CT54" s="144"/>
      <c r="CU54" s="144"/>
      <c r="CV54" s="144"/>
      <c r="CW54" s="144"/>
      <c r="CX54" s="144"/>
      <c r="CY54" s="144"/>
      <c r="CZ54" s="144"/>
      <c r="DA54" s="144"/>
      <c r="DB54" s="144"/>
      <c r="DC54" s="144"/>
      <c r="DD54" s="144"/>
      <c r="DE54" s="144"/>
      <c r="DF54" s="144"/>
      <c r="DG54" s="144"/>
      <c r="DH54" s="144"/>
      <c r="DI54" s="144"/>
      <c r="DJ54" s="144"/>
      <c r="DK54" s="144"/>
      <c r="DL54" s="144"/>
      <c r="DM54" s="144"/>
      <c r="DN54" s="144"/>
      <c r="DO54" s="144"/>
      <c r="DP54" s="144"/>
      <c r="DQ54" s="144"/>
      <c r="DR54" s="144"/>
      <c r="DS54" s="144"/>
      <c r="DT54" s="144"/>
      <c r="DU54" s="144"/>
      <c r="DV54" s="144"/>
      <c r="DW54" s="144"/>
      <c r="DX54" s="144"/>
      <c r="DY54" s="144"/>
      <c r="DZ54" s="144"/>
      <c r="EA54" s="144"/>
      <c r="EB54" s="144"/>
      <c r="EC54" s="144"/>
      <c r="ED54" s="144"/>
      <c r="EE54" s="144"/>
      <c r="EF54" s="144"/>
      <c r="EG54" s="144"/>
      <c r="EH54" s="144"/>
      <c r="EI54" s="144"/>
      <c r="EJ54" s="144"/>
      <c r="EK54" s="144"/>
      <c r="EL54" s="144"/>
      <c r="EM54" s="144"/>
      <c r="EN54" s="144"/>
      <c r="EO54" s="144"/>
      <c r="EP54" s="144"/>
      <c r="EQ54" s="144"/>
      <c r="ER54" s="144"/>
      <c r="ES54" s="144"/>
      <c r="ET54" s="144"/>
      <c r="EU54" s="144"/>
      <c r="EV54" s="144"/>
      <c r="EW54" s="144"/>
      <c r="EX54" s="144"/>
      <c r="EY54" s="144"/>
      <c r="EZ54" s="144"/>
      <c r="FA54" s="144"/>
      <c r="FB54" s="144"/>
      <c r="FC54" s="144"/>
      <c r="FD54" s="144"/>
      <c r="FE54" s="144"/>
      <c r="FF54" s="144"/>
      <c r="FG54" s="144"/>
      <c r="FH54" s="144"/>
      <c r="FI54" s="144"/>
      <c r="FJ54" s="144"/>
      <c r="FK54" s="144"/>
      <c r="FL54" s="144"/>
      <c r="FM54" s="144"/>
      <c r="FN54" s="144"/>
      <c r="FO54" s="144"/>
      <c r="FP54" s="144"/>
      <c r="FQ54" s="144"/>
      <c r="FR54" s="144"/>
      <c r="FS54" s="144"/>
      <c r="FT54" s="144"/>
      <c r="FU54" s="144"/>
      <c r="FV54" s="144"/>
      <c r="FW54" s="144"/>
      <c r="FX54" s="144"/>
    </row>
    <row r="55" spans="1:180" s="56" customFormat="1" ht="17.45" customHeight="1" x14ac:dyDescent="0.2">
      <c r="A55" s="177"/>
      <c r="B55" s="68"/>
      <c r="C55" s="419" t="str">
        <f t="shared" si="13"/>
        <v/>
      </c>
      <c r="D55" s="102" t="s">
        <v>8644</v>
      </c>
      <c r="E55" s="65">
        <f t="shared" si="12"/>
        <v>0</v>
      </c>
      <c r="F55" s="64"/>
      <c r="G55" s="173"/>
      <c r="H55" s="173"/>
      <c r="I55" s="173"/>
      <c r="J55" s="173"/>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6"/>
      <c r="AO55" s="175"/>
      <c r="AP55" s="175"/>
      <c r="AQ55" s="175"/>
      <c r="AR55" s="175"/>
      <c r="AS55" s="175"/>
      <c r="AT55" s="175"/>
      <c r="AU55" s="175"/>
      <c r="AV55" s="175"/>
      <c r="AW55" s="175"/>
      <c r="AX55" s="176"/>
      <c r="AY55" s="175"/>
      <c r="AZ55" s="175"/>
      <c r="BA55" s="144"/>
      <c r="BB55" s="144"/>
      <c r="BC55" s="144"/>
      <c r="BD55" s="144"/>
      <c r="BE55" s="144"/>
      <c r="BF55" s="144"/>
      <c r="BG55" s="144"/>
      <c r="BH55" s="144"/>
      <c r="BI55" s="144"/>
      <c r="BJ55" s="144"/>
      <c r="BK55" s="144"/>
      <c r="BL55" s="144"/>
      <c r="BM55" s="144"/>
      <c r="BN55" s="144"/>
      <c r="BO55" s="144"/>
      <c r="BP55" s="144"/>
      <c r="BQ55" s="144"/>
      <c r="BR55" s="144"/>
      <c r="BS55" s="144"/>
      <c r="BT55" s="144"/>
      <c r="BU55" s="144"/>
      <c r="BV55" s="144"/>
      <c r="BW55" s="144"/>
      <c r="BX55" s="144"/>
      <c r="BY55" s="144"/>
      <c r="BZ55" s="144"/>
      <c r="CA55" s="144"/>
      <c r="CB55" s="144"/>
      <c r="CC55" s="144"/>
      <c r="CD55" s="144"/>
      <c r="CE55" s="144"/>
      <c r="CF55" s="144"/>
      <c r="CG55" s="144"/>
      <c r="CH55" s="144"/>
      <c r="CI55" s="144"/>
      <c r="CJ55" s="144"/>
      <c r="CK55" s="144"/>
      <c r="CL55" s="144"/>
      <c r="CM55" s="144"/>
      <c r="CN55" s="144"/>
      <c r="CO55" s="144"/>
      <c r="CP55" s="144"/>
      <c r="CQ55" s="144"/>
      <c r="CR55" s="144"/>
      <c r="CS55" s="144"/>
      <c r="CT55" s="144"/>
      <c r="CU55" s="144"/>
      <c r="CV55" s="144"/>
      <c r="CW55" s="144"/>
      <c r="CX55" s="144"/>
      <c r="CY55" s="144"/>
      <c r="CZ55" s="144"/>
      <c r="DA55" s="144"/>
      <c r="DB55" s="144"/>
      <c r="DC55" s="144"/>
      <c r="DD55" s="144"/>
      <c r="DE55" s="144"/>
      <c r="DF55" s="144"/>
      <c r="DG55" s="144"/>
      <c r="DH55" s="144"/>
      <c r="DI55" s="144"/>
      <c r="DJ55" s="144"/>
      <c r="DK55" s="144"/>
      <c r="DL55" s="144"/>
      <c r="DM55" s="144"/>
      <c r="DN55" s="144"/>
      <c r="DO55" s="144"/>
      <c r="DP55" s="144"/>
      <c r="DQ55" s="144"/>
      <c r="DR55" s="144"/>
      <c r="DS55" s="144"/>
      <c r="DT55" s="144"/>
      <c r="DU55" s="144"/>
      <c r="DV55" s="144"/>
      <c r="DW55" s="144"/>
      <c r="DX55" s="144"/>
      <c r="DY55" s="144"/>
      <c r="DZ55" s="144"/>
      <c r="EA55" s="144"/>
      <c r="EB55" s="144"/>
      <c r="EC55" s="144"/>
      <c r="ED55" s="144"/>
      <c r="EE55" s="144"/>
      <c r="EF55" s="144"/>
      <c r="EG55" s="144"/>
      <c r="EH55" s="144"/>
      <c r="EI55" s="144"/>
      <c r="EJ55" s="144"/>
      <c r="EK55" s="144"/>
      <c r="EL55" s="144"/>
      <c r="EM55" s="144"/>
      <c r="EN55" s="144"/>
      <c r="EO55" s="144"/>
      <c r="EP55" s="144"/>
      <c r="EQ55" s="144"/>
      <c r="ER55" s="144"/>
      <c r="ES55" s="144"/>
      <c r="ET55" s="144"/>
      <c r="EU55" s="144"/>
      <c r="EV55" s="144"/>
      <c r="EW55" s="144"/>
      <c r="EX55" s="144"/>
      <c r="EY55" s="144"/>
      <c r="EZ55" s="144"/>
      <c r="FA55" s="144"/>
      <c r="FB55" s="144"/>
      <c r="FC55" s="144"/>
      <c r="FD55" s="144"/>
      <c r="FE55" s="144"/>
      <c r="FF55" s="144"/>
      <c r="FG55" s="144"/>
      <c r="FH55" s="144"/>
      <c r="FI55" s="144"/>
      <c r="FJ55" s="144"/>
      <c r="FK55" s="144"/>
      <c r="FL55" s="144"/>
      <c r="FM55" s="144"/>
      <c r="FN55" s="144"/>
      <c r="FO55" s="144"/>
      <c r="FP55" s="144"/>
      <c r="FQ55" s="144"/>
      <c r="FR55" s="144"/>
      <c r="FS55" s="144"/>
      <c r="FT55" s="144"/>
      <c r="FU55" s="144"/>
      <c r="FV55" s="144"/>
      <c r="FW55" s="144"/>
      <c r="FX55" s="144"/>
    </row>
    <row r="56" spans="1:180" s="56" customFormat="1" x14ac:dyDescent="0.2">
      <c r="A56" s="177"/>
      <c r="B56" s="68"/>
      <c r="C56" s="419" t="str">
        <f t="shared" si="13"/>
        <v/>
      </c>
      <c r="D56" s="147" t="s">
        <v>4205</v>
      </c>
      <c r="E56" s="65">
        <f>SUM(G56:HD56)</f>
        <v>0</v>
      </c>
      <c r="F56" s="64"/>
      <c r="G56" s="173"/>
      <c r="H56" s="176"/>
      <c r="I56" s="176"/>
      <c r="J56" s="176"/>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6"/>
      <c r="AO56" s="176"/>
      <c r="AP56" s="176"/>
      <c r="AQ56" s="175"/>
      <c r="AR56" s="175"/>
      <c r="AS56" s="175"/>
      <c r="AT56" s="175"/>
      <c r="AU56" s="175"/>
      <c r="AV56" s="175"/>
      <c r="AW56" s="175"/>
      <c r="AX56" s="175"/>
      <c r="AY56" s="175"/>
      <c r="AZ56" s="175"/>
      <c r="BA56" s="144"/>
      <c r="BB56" s="144"/>
      <c r="BC56" s="144"/>
      <c r="BD56" s="144"/>
      <c r="BE56" s="144"/>
      <c r="BF56" s="144"/>
      <c r="BG56" s="144"/>
      <c r="BH56" s="144"/>
      <c r="BI56" s="144"/>
      <c r="BJ56" s="144"/>
      <c r="BK56" s="144"/>
      <c r="BL56" s="144"/>
      <c r="BM56" s="144"/>
      <c r="BN56" s="144"/>
      <c r="BO56" s="144"/>
      <c r="BP56" s="144"/>
      <c r="BQ56" s="144"/>
      <c r="BR56" s="144"/>
      <c r="BS56" s="144"/>
      <c r="BT56" s="144"/>
      <c r="BU56" s="144"/>
      <c r="BV56" s="144"/>
      <c r="BW56" s="144"/>
      <c r="BX56" s="144"/>
      <c r="BY56" s="144"/>
      <c r="BZ56" s="144"/>
      <c r="CA56" s="144"/>
      <c r="CB56" s="144"/>
      <c r="CC56" s="144"/>
      <c r="CD56" s="144"/>
      <c r="CE56" s="144"/>
      <c r="CF56" s="144"/>
      <c r="CG56" s="144"/>
      <c r="CH56" s="144"/>
      <c r="CI56" s="144"/>
      <c r="CJ56" s="144"/>
      <c r="CK56" s="144"/>
      <c r="CL56" s="144"/>
      <c r="CM56" s="144"/>
      <c r="CN56" s="144"/>
      <c r="CO56" s="144"/>
      <c r="CP56" s="144"/>
      <c r="CQ56" s="144"/>
      <c r="CR56" s="144"/>
      <c r="CS56" s="144"/>
      <c r="CT56" s="144"/>
      <c r="CU56" s="144"/>
      <c r="CV56" s="144"/>
      <c r="CW56" s="144"/>
      <c r="CX56" s="144"/>
      <c r="CY56" s="144"/>
      <c r="CZ56" s="144"/>
      <c r="DA56" s="144"/>
      <c r="DB56" s="144"/>
      <c r="DC56" s="144"/>
      <c r="DD56" s="144"/>
      <c r="DE56" s="144"/>
      <c r="DF56" s="144"/>
      <c r="DG56" s="144"/>
      <c r="DH56" s="144"/>
      <c r="DI56" s="144"/>
      <c r="DJ56" s="144"/>
      <c r="DK56" s="144"/>
      <c r="DL56" s="144"/>
      <c r="DM56" s="144"/>
      <c r="DN56" s="144"/>
      <c r="DO56" s="144"/>
      <c r="DP56" s="144"/>
      <c r="DQ56" s="144"/>
      <c r="DR56" s="144"/>
      <c r="DS56" s="144"/>
      <c r="DT56" s="144"/>
      <c r="DU56" s="144"/>
      <c r="DV56" s="144"/>
      <c r="DW56" s="144"/>
      <c r="DX56" s="144"/>
      <c r="DY56" s="144"/>
      <c r="DZ56" s="144"/>
      <c r="EA56" s="144"/>
      <c r="EB56" s="144"/>
      <c r="EC56" s="144"/>
      <c r="ED56" s="144"/>
      <c r="EE56" s="144"/>
      <c r="EF56" s="144"/>
      <c r="EG56" s="144"/>
      <c r="EH56" s="144"/>
      <c r="EI56" s="144"/>
      <c r="EJ56" s="144"/>
      <c r="EK56" s="144"/>
      <c r="EL56" s="144"/>
      <c r="EM56" s="144"/>
      <c r="EN56" s="144"/>
      <c r="EO56" s="144"/>
      <c r="EP56" s="144"/>
      <c r="EQ56" s="144"/>
      <c r="ER56" s="144"/>
      <c r="ES56" s="144"/>
      <c r="ET56" s="144"/>
      <c r="EU56" s="144"/>
      <c r="EV56" s="144"/>
      <c r="EW56" s="144"/>
      <c r="EX56" s="144"/>
      <c r="EY56" s="144"/>
      <c r="EZ56" s="144"/>
      <c r="FA56" s="144"/>
      <c r="FB56" s="144"/>
      <c r="FC56" s="144"/>
      <c r="FD56" s="144"/>
      <c r="FE56" s="144"/>
      <c r="FF56" s="144"/>
      <c r="FG56" s="144"/>
      <c r="FH56" s="144"/>
      <c r="FI56" s="144"/>
      <c r="FJ56" s="144"/>
      <c r="FK56" s="144"/>
    </row>
    <row r="57" spans="1:180" s="56" customFormat="1" x14ac:dyDescent="0.2">
      <c r="A57" s="177"/>
      <c r="B57" s="68"/>
      <c r="C57" s="420" t="str">
        <f t="shared" si="13"/>
        <v/>
      </c>
      <c r="D57" s="147" t="s">
        <v>4206</v>
      </c>
      <c r="E57" s="101">
        <f>SUM(G57:HD57)</f>
        <v>0</v>
      </c>
      <c r="F57" s="64"/>
      <c r="G57" s="173"/>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6"/>
      <c r="AP57" s="175"/>
      <c r="AQ57" s="175"/>
      <c r="AR57" s="176"/>
      <c r="AS57" s="175"/>
      <c r="AT57" s="175"/>
      <c r="AU57" s="175"/>
      <c r="AV57" s="175"/>
      <c r="AW57" s="175"/>
      <c r="AX57" s="175"/>
      <c r="AY57" s="175"/>
      <c r="AZ57" s="175"/>
      <c r="BA57" s="144"/>
      <c r="BB57" s="144"/>
      <c r="BC57" s="144"/>
      <c r="BD57" s="144"/>
      <c r="BE57" s="144"/>
      <c r="BF57" s="144"/>
      <c r="BG57" s="144"/>
      <c r="BH57" s="144"/>
      <c r="BI57" s="144"/>
      <c r="BJ57" s="144"/>
      <c r="BK57" s="144"/>
      <c r="BL57" s="144"/>
      <c r="BM57" s="144"/>
      <c r="BN57" s="144"/>
      <c r="BO57" s="144"/>
      <c r="BP57" s="144"/>
      <c r="BQ57" s="144"/>
      <c r="BR57" s="144"/>
      <c r="BS57" s="144"/>
      <c r="BT57" s="144"/>
      <c r="BU57" s="144"/>
      <c r="BV57" s="144"/>
      <c r="BW57" s="144"/>
      <c r="BX57" s="144"/>
      <c r="BY57" s="144"/>
      <c r="BZ57" s="144"/>
      <c r="CA57" s="144"/>
      <c r="CB57" s="144"/>
      <c r="CC57" s="144"/>
      <c r="CD57" s="144"/>
      <c r="CE57" s="144"/>
      <c r="CF57" s="144"/>
      <c r="CG57" s="144"/>
      <c r="CH57" s="144"/>
      <c r="CI57" s="144"/>
      <c r="CJ57" s="144"/>
      <c r="CK57" s="144"/>
      <c r="CL57" s="144"/>
      <c r="CM57" s="144"/>
      <c r="CN57" s="144"/>
      <c r="CO57" s="144"/>
      <c r="CP57" s="144"/>
      <c r="CQ57" s="144"/>
      <c r="CR57" s="144"/>
      <c r="CS57" s="144"/>
      <c r="CT57" s="144"/>
      <c r="CU57" s="144"/>
      <c r="CV57" s="144"/>
      <c r="CW57" s="144"/>
      <c r="CX57" s="144"/>
      <c r="CY57" s="144"/>
      <c r="CZ57" s="144"/>
      <c r="DA57" s="144"/>
      <c r="DB57" s="144"/>
      <c r="DC57" s="144"/>
      <c r="DD57" s="144"/>
      <c r="DE57" s="144"/>
      <c r="DF57" s="144"/>
      <c r="DG57" s="144"/>
      <c r="DH57" s="144"/>
      <c r="DI57" s="144"/>
      <c r="DJ57" s="144"/>
      <c r="DK57" s="144"/>
      <c r="DL57" s="144"/>
      <c r="DM57" s="144"/>
      <c r="DN57" s="144"/>
      <c r="DO57" s="144"/>
      <c r="DP57" s="144"/>
      <c r="DQ57" s="144"/>
      <c r="DR57" s="144"/>
      <c r="DS57" s="144"/>
      <c r="DT57" s="144"/>
      <c r="DU57" s="144"/>
      <c r="DV57" s="144"/>
      <c r="DW57" s="144"/>
      <c r="DX57" s="144"/>
      <c r="DY57" s="144"/>
      <c r="DZ57" s="144"/>
      <c r="EA57" s="144"/>
      <c r="EB57" s="144"/>
      <c r="EC57" s="144"/>
      <c r="ED57" s="144"/>
      <c r="EE57" s="144"/>
      <c r="EF57" s="144"/>
      <c r="EG57" s="144"/>
      <c r="EH57" s="144"/>
      <c r="EI57" s="144"/>
      <c r="EJ57" s="144"/>
      <c r="EK57" s="144"/>
      <c r="EL57" s="144"/>
      <c r="EM57" s="144"/>
      <c r="EN57" s="144"/>
      <c r="EO57" s="144"/>
      <c r="EP57" s="144"/>
      <c r="EQ57" s="144"/>
      <c r="ER57" s="144"/>
      <c r="ES57" s="144"/>
      <c r="ET57" s="144"/>
      <c r="EU57" s="144"/>
      <c r="EV57" s="144"/>
      <c r="EW57" s="144"/>
      <c r="EX57" s="144"/>
      <c r="EY57" s="144"/>
      <c r="EZ57" s="144"/>
      <c r="FA57" s="144"/>
      <c r="FB57" s="144"/>
      <c r="FC57" s="144"/>
      <c r="FD57" s="144"/>
      <c r="FE57" s="144"/>
      <c r="FF57" s="144"/>
      <c r="FG57" s="144"/>
      <c r="FH57" s="144"/>
      <c r="FI57" s="144"/>
      <c r="FJ57" s="144"/>
      <c r="FK57" s="144"/>
    </row>
    <row r="58" spans="1:180" s="56" customFormat="1" x14ac:dyDescent="0.2">
      <c r="A58" s="177"/>
      <c r="B58" s="68"/>
      <c r="C58" s="419" t="str">
        <f t="shared" si="13"/>
        <v/>
      </c>
      <c r="D58" s="38" t="s">
        <v>4207</v>
      </c>
      <c r="E58" s="65">
        <f>SUM(G58:HD58)</f>
        <v>0</v>
      </c>
      <c r="F58" s="64"/>
      <c r="G58" s="173"/>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6"/>
      <c r="AQ58" s="176"/>
      <c r="AR58" s="175"/>
      <c r="AS58" s="175"/>
      <c r="AT58" s="175"/>
      <c r="AU58" s="175"/>
      <c r="AV58" s="175"/>
      <c r="AW58" s="175"/>
      <c r="AX58" s="175"/>
      <c r="AY58" s="175"/>
      <c r="AZ58" s="175"/>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c r="BW58" s="144"/>
      <c r="BX58" s="144"/>
      <c r="BY58" s="144"/>
      <c r="BZ58" s="144"/>
      <c r="CA58" s="144"/>
      <c r="CB58" s="144"/>
      <c r="CC58" s="144"/>
      <c r="CD58" s="144"/>
      <c r="CE58" s="144"/>
      <c r="CF58" s="144"/>
      <c r="CG58" s="144"/>
      <c r="CH58" s="144"/>
      <c r="CI58" s="144"/>
      <c r="CJ58" s="144"/>
      <c r="CK58" s="144"/>
      <c r="CL58" s="144"/>
      <c r="CM58" s="144"/>
      <c r="CN58" s="144"/>
      <c r="CO58" s="144"/>
      <c r="CP58" s="144"/>
      <c r="CQ58" s="144"/>
      <c r="CR58" s="144"/>
      <c r="CS58" s="144"/>
      <c r="CT58" s="144"/>
      <c r="CU58" s="144"/>
      <c r="CV58" s="144"/>
      <c r="CW58" s="144"/>
      <c r="CX58" s="144"/>
      <c r="CY58" s="144"/>
      <c r="CZ58" s="144"/>
      <c r="DA58" s="144"/>
      <c r="DB58" s="144"/>
      <c r="DC58" s="144"/>
      <c r="DD58" s="144"/>
      <c r="DE58" s="144"/>
      <c r="DF58" s="144"/>
      <c r="DG58" s="144"/>
      <c r="DH58" s="144"/>
      <c r="DI58" s="144"/>
      <c r="DJ58" s="144"/>
      <c r="DK58" s="144"/>
      <c r="DL58" s="144"/>
      <c r="DM58" s="144"/>
      <c r="DN58" s="144"/>
      <c r="DO58" s="144"/>
      <c r="DP58" s="144"/>
      <c r="DQ58" s="144"/>
      <c r="DR58" s="144"/>
      <c r="DS58" s="144"/>
      <c r="DT58" s="144"/>
      <c r="DU58" s="144"/>
      <c r="DV58" s="144"/>
      <c r="DW58" s="144"/>
      <c r="DX58" s="144"/>
      <c r="DY58" s="144"/>
      <c r="DZ58" s="144"/>
      <c r="EA58" s="144"/>
      <c r="EB58" s="144"/>
      <c r="EC58" s="144"/>
      <c r="ED58" s="144"/>
      <c r="EE58" s="144"/>
      <c r="EF58" s="144"/>
      <c r="EG58" s="144"/>
      <c r="EH58" s="144"/>
      <c r="EI58" s="144"/>
      <c r="EJ58" s="144"/>
      <c r="EK58" s="144"/>
      <c r="EL58" s="144"/>
      <c r="EM58" s="144"/>
      <c r="EN58" s="144"/>
      <c r="EO58" s="144"/>
      <c r="EP58" s="144"/>
      <c r="EQ58" s="144"/>
      <c r="ER58" s="144"/>
      <c r="ES58" s="144"/>
      <c r="ET58" s="144"/>
      <c r="EU58" s="144"/>
      <c r="EV58" s="144"/>
      <c r="EW58" s="144"/>
      <c r="EX58" s="144"/>
      <c r="EY58" s="144"/>
      <c r="EZ58" s="144"/>
      <c r="FA58" s="144"/>
      <c r="FB58" s="144"/>
      <c r="FC58" s="144"/>
      <c r="FD58" s="144"/>
      <c r="FE58" s="144"/>
      <c r="FF58" s="144"/>
      <c r="FG58" s="144"/>
      <c r="FH58" s="144"/>
      <c r="FI58" s="144"/>
      <c r="FJ58" s="144"/>
      <c r="FK58" s="144"/>
    </row>
    <row r="59" spans="1:180" s="56" customFormat="1" x14ac:dyDescent="0.2">
      <c r="A59" s="177"/>
      <c r="B59" s="68"/>
      <c r="C59" s="420" t="str">
        <f t="shared" si="13"/>
        <v/>
      </c>
      <c r="D59" s="37" t="s">
        <v>1544</v>
      </c>
      <c r="E59" s="101">
        <f>SUM(G59:HD59)</f>
        <v>0</v>
      </c>
      <c r="F59" s="64"/>
      <c r="G59" s="173"/>
      <c r="H59" s="175"/>
      <c r="I59" s="175"/>
      <c r="J59" s="175"/>
      <c r="K59" s="175"/>
      <c r="L59" s="176"/>
      <c r="M59" s="176"/>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6"/>
      <c r="AS59" s="175"/>
      <c r="AT59" s="175"/>
      <c r="AU59" s="175"/>
      <c r="AV59" s="175"/>
      <c r="AW59" s="175"/>
      <c r="AX59" s="175"/>
      <c r="AY59" s="175"/>
      <c r="AZ59" s="175"/>
      <c r="BA59" s="144"/>
      <c r="BB59" s="144"/>
      <c r="BC59" s="144"/>
      <c r="BD59" s="144"/>
      <c r="BE59" s="144"/>
      <c r="BF59" s="144"/>
      <c r="BG59" s="144"/>
      <c r="BH59" s="144"/>
      <c r="BI59" s="144"/>
      <c r="BJ59" s="144"/>
      <c r="BK59" s="144"/>
      <c r="BL59" s="144"/>
      <c r="BM59" s="144"/>
      <c r="BN59" s="144"/>
      <c r="BO59" s="144"/>
      <c r="BP59" s="144"/>
      <c r="BQ59" s="144"/>
      <c r="BR59" s="144"/>
      <c r="BS59" s="144"/>
      <c r="BT59" s="144"/>
      <c r="BU59" s="144"/>
      <c r="BV59" s="144"/>
      <c r="BW59" s="144"/>
      <c r="BX59" s="144"/>
      <c r="BY59" s="144"/>
      <c r="BZ59" s="144"/>
      <c r="CA59" s="144"/>
      <c r="CB59" s="144"/>
      <c r="CC59" s="144"/>
      <c r="CD59" s="144"/>
      <c r="CE59" s="144"/>
      <c r="CF59" s="144"/>
      <c r="CG59" s="144"/>
      <c r="CH59" s="144"/>
      <c r="CI59" s="144"/>
      <c r="CJ59" s="144"/>
      <c r="CK59" s="144"/>
      <c r="CL59" s="144"/>
      <c r="CM59" s="144"/>
      <c r="CN59" s="144"/>
      <c r="CO59" s="144"/>
      <c r="CP59" s="144"/>
      <c r="CQ59" s="144"/>
      <c r="CR59" s="144"/>
      <c r="CS59" s="144"/>
      <c r="CT59" s="144"/>
      <c r="CU59" s="144"/>
      <c r="CV59" s="144"/>
      <c r="CW59" s="144"/>
      <c r="CX59" s="144"/>
      <c r="CY59" s="144"/>
      <c r="CZ59" s="144"/>
      <c r="DA59" s="144"/>
      <c r="DB59" s="144"/>
      <c r="DC59" s="144"/>
      <c r="DD59" s="144"/>
      <c r="DE59" s="144"/>
      <c r="DF59" s="144"/>
      <c r="DG59" s="144"/>
      <c r="DH59" s="144"/>
      <c r="DI59" s="144"/>
      <c r="DJ59" s="144"/>
      <c r="DK59" s="144"/>
      <c r="DL59" s="144"/>
      <c r="DM59" s="144"/>
      <c r="DN59" s="144"/>
      <c r="DO59" s="144"/>
      <c r="DP59" s="144"/>
      <c r="DQ59" s="144"/>
      <c r="DR59" s="144"/>
      <c r="DS59" s="144"/>
      <c r="DT59" s="144"/>
      <c r="DU59" s="144"/>
      <c r="DV59" s="144"/>
      <c r="DW59" s="144"/>
      <c r="DX59" s="144"/>
      <c r="DY59" s="144"/>
      <c r="DZ59" s="144"/>
      <c r="EA59" s="144"/>
      <c r="EB59" s="144"/>
      <c r="EC59" s="144"/>
      <c r="ED59" s="144"/>
      <c r="EE59" s="144"/>
      <c r="EF59" s="144"/>
      <c r="EG59" s="144"/>
      <c r="EH59" s="144"/>
      <c r="EI59" s="144"/>
      <c r="EJ59" s="144"/>
      <c r="EK59" s="144"/>
      <c r="EL59" s="144"/>
      <c r="EM59" s="144"/>
      <c r="EN59" s="144"/>
      <c r="EO59" s="144"/>
      <c r="EP59" s="144"/>
      <c r="EQ59" s="144"/>
      <c r="ER59" s="144"/>
      <c r="ES59" s="144"/>
      <c r="ET59" s="144"/>
      <c r="EU59" s="144"/>
      <c r="EV59" s="144"/>
      <c r="EW59" s="144"/>
      <c r="EX59" s="144"/>
      <c r="EY59" s="144"/>
      <c r="EZ59" s="144"/>
      <c r="FA59" s="144"/>
      <c r="FB59" s="144"/>
      <c r="FC59" s="144"/>
      <c r="FD59" s="144"/>
      <c r="FE59" s="144"/>
      <c r="FF59" s="144"/>
      <c r="FG59" s="144"/>
      <c r="FH59" s="144"/>
      <c r="FI59" s="144"/>
      <c r="FJ59" s="144"/>
      <c r="FK59" s="144"/>
    </row>
    <row r="60" spans="1:180" s="56" customFormat="1" x14ac:dyDescent="0.2">
      <c r="A60" s="177"/>
      <c r="B60" s="68"/>
      <c r="C60" s="420" t="str">
        <f t="shared" si="13"/>
        <v/>
      </c>
      <c r="D60" s="37" t="s">
        <v>8645</v>
      </c>
      <c r="E60" s="101">
        <f>SUM(G60:HD60)</f>
        <v>0</v>
      </c>
      <c r="F60" s="64"/>
      <c r="G60" s="173"/>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6"/>
      <c r="AS60" s="175"/>
      <c r="AT60" s="175"/>
      <c r="AU60" s="175"/>
      <c r="AV60" s="175"/>
      <c r="AW60" s="175"/>
      <c r="AX60" s="175"/>
      <c r="AY60" s="175"/>
      <c r="AZ60" s="175"/>
      <c r="BA60" s="144"/>
      <c r="BB60" s="144"/>
      <c r="BC60" s="144"/>
      <c r="BD60" s="144"/>
      <c r="BE60" s="144"/>
      <c r="BF60" s="144"/>
      <c r="BG60" s="144"/>
      <c r="BH60" s="144"/>
      <c r="BI60" s="144"/>
      <c r="BJ60" s="144"/>
      <c r="BK60" s="144"/>
      <c r="BL60" s="144"/>
      <c r="BM60" s="144"/>
      <c r="BN60" s="144"/>
      <c r="BO60" s="144"/>
      <c r="BP60" s="144"/>
      <c r="BQ60" s="144"/>
      <c r="BR60" s="144"/>
      <c r="BS60" s="144"/>
      <c r="BT60" s="144"/>
      <c r="BU60" s="144"/>
      <c r="BV60" s="144"/>
      <c r="BW60" s="144"/>
      <c r="BX60" s="144"/>
      <c r="BY60" s="144"/>
      <c r="BZ60" s="144"/>
      <c r="CA60" s="144"/>
      <c r="CB60" s="144"/>
      <c r="CC60" s="144"/>
      <c r="CD60" s="144"/>
      <c r="CE60" s="144"/>
      <c r="CF60" s="144"/>
      <c r="CG60" s="144"/>
      <c r="CH60" s="144"/>
      <c r="CI60" s="144"/>
      <c r="CJ60" s="144"/>
      <c r="CK60" s="144"/>
      <c r="CL60" s="144"/>
      <c r="CM60" s="144"/>
      <c r="CN60" s="144"/>
      <c r="CO60" s="144"/>
      <c r="CP60" s="144"/>
      <c r="CQ60" s="144"/>
      <c r="CR60" s="144"/>
      <c r="CS60" s="144"/>
      <c r="CT60" s="144"/>
      <c r="CU60" s="144"/>
      <c r="CV60" s="144"/>
      <c r="CW60" s="144"/>
      <c r="CX60" s="144"/>
      <c r="CY60" s="144"/>
      <c r="CZ60" s="144"/>
      <c r="DA60" s="144"/>
      <c r="DB60" s="144"/>
      <c r="DC60" s="144"/>
      <c r="DD60" s="144"/>
      <c r="DE60" s="144"/>
      <c r="DF60" s="144"/>
      <c r="DG60" s="144"/>
      <c r="DH60" s="144"/>
      <c r="DI60" s="144"/>
      <c r="DJ60" s="144"/>
      <c r="DK60" s="144"/>
      <c r="DL60" s="144"/>
      <c r="DM60" s="144"/>
      <c r="DN60" s="144"/>
      <c r="DO60" s="144"/>
      <c r="DP60" s="144"/>
      <c r="DQ60" s="144"/>
      <c r="DR60" s="144"/>
      <c r="DS60" s="144"/>
      <c r="DT60" s="144"/>
      <c r="DU60" s="144"/>
      <c r="DV60" s="144"/>
      <c r="DW60" s="144"/>
      <c r="DX60" s="144"/>
      <c r="DY60" s="144"/>
      <c r="DZ60" s="144"/>
      <c r="EA60" s="144"/>
      <c r="EB60" s="144"/>
      <c r="EC60" s="144"/>
      <c r="ED60" s="144"/>
      <c r="EE60" s="144"/>
      <c r="EF60" s="144"/>
      <c r="EG60" s="144"/>
      <c r="EH60" s="144"/>
      <c r="EI60" s="144"/>
      <c r="EJ60" s="144"/>
      <c r="EK60" s="144"/>
      <c r="EL60" s="144"/>
      <c r="EM60" s="144"/>
      <c r="EN60" s="144"/>
      <c r="EO60" s="144"/>
      <c r="EP60" s="144"/>
      <c r="EQ60" s="144"/>
      <c r="ER60" s="144"/>
      <c r="ES60" s="144"/>
      <c r="ET60" s="144"/>
      <c r="EU60" s="144"/>
      <c r="EV60" s="144"/>
      <c r="EW60" s="144"/>
      <c r="EX60" s="144"/>
      <c r="EY60" s="144"/>
      <c r="EZ60" s="144"/>
      <c r="FA60" s="144"/>
      <c r="FB60" s="144"/>
      <c r="FC60" s="144"/>
      <c r="FD60" s="144"/>
      <c r="FE60" s="144"/>
      <c r="FF60" s="144"/>
      <c r="FG60" s="144"/>
      <c r="FH60" s="144"/>
      <c r="FI60" s="144"/>
      <c r="FJ60" s="144"/>
      <c r="FK60" s="144"/>
    </row>
    <row r="61" spans="1:180" s="56" customFormat="1" ht="17.45" customHeight="1" x14ac:dyDescent="0.2">
      <c r="A61" s="177"/>
      <c r="B61" s="68"/>
      <c r="C61" s="419" t="str">
        <f t="shared" si="13"/>
        <v/>
      </c>
      <c r="D61" s="102" t="s">
        <v>4208</v>
      </c>
      <c r="E61" s="65">
        <f>SUM(G61:HQ61)</f>
        <v>0</v>
      </c>
      <c r="F61" s="64"/>
      <c r="G61" s="173"/>
      <c r="H61" s="173"/>
      <c r="I61" s="173"/>
      <c r="J61" s="173"/>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6"/>
      <c r="AS61" s="175"/>
      <c r="AT61" s="175"/>
      <c r="AU61" s="175"/>
      <c r="AV61" s="175"/>
      <c r="AW61" s="175"/>
      <c r="AX61" s="175"/>
      <c r="AY61" s="175"/>
      <c r="AZ61" s="175"/>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4"/>
      <c r="CF61" s="144"/>
      <c r="CG61" s="144"/>
      <c r="CH61" s="144"/>
      <c r="CI61" s="144"/>
      <c r="CJ61" s="144"/>
      <c r="CK61" s="144"/>
      <c r="CL61" s="144"/>
      <c r="CM61" s="144"/>
      <c r="CN61" s="144"/>
      <c r="CO61" s="144"/>
      <c r="CP61" s="144"/>
      <c r="CQ61" s="144"/>
      <c r="CR61" s="144"/>
      <c r="CS61" s="144"/>
      <c r="CT61" s="144"/>
      <c r="CU61" s="144"/>
      <c r="CV61" s="144"/>
      <c r="CW61" s="144"/>
      <c r="CX61" s="144"/>
      <c r="CY61" s="144"/>
      <c r="CZ61" s="144"/>
      <c r="DA61" s="144"/>
      <c r="DB61" s="144"/>
      <c r="DC61" s="144"/>
      <c r="DD61" s="144"/>
      <c r="DE61" s="144"/>
      <c r="DF61" s="144"/>
      <c r="DG61" s="144"/>
      <c r="DH61" s="144"/>
      <c r="DI61" s="144"/>
      <c r="DJ61" s="144"/>
      <c r="DK61" s="144"/>
      <c r="DL61" s="144"/>
      <c r="DM61" s="144"/>
      <c r="DN61" s="144"/>
      <c r="DO61" s="144"/>
      <c r="DP61" s="144"/>
      <c r="DQ61" s="144"/>
      <c r="DR61" s="144"/>
      <c r="DS61" s="144"/>
      <c r="DT61" s="144"/>
      <c r="DU61" s="144"/>
      <c r="DV61" s="144"/>
      <c r="DW61" s="144"/>
      <c r="DX61" s="144"/>
      <c r="DY61" s="144"/>
      <c r="DZ61" s="144"/>
      <c r="EA61" s="144"/>
      <c r="EB61" s="144"/>
      <c r="EC61" s="144"/>
      <c r="ED61" s="144"/>
      <c r="EE61" s="144"/>
      <c r="EF61" s="144"/>
      <c r="EG61" s="144"/>
      <c r="EH61" s="144"/>
      <c r="EI61" s="144"/>
      <c r="EJ61" s="144"/>
      <c r="EK61" s="144"/>
      <c r="EL61" s="144"/>
      <c r="EM61" s="144"/>
      <c r="EN61" s="144"/>
      <c r="EO61" s="144"/>
      <c r="EP61" s="144"/>
      <c r="EQ61" s="144"/>
      <c r="ER61" s="144"/>
      <c r="ES61" s="144"/>
      <c r="ET61" s="144"/>
      <c r="EU61" s="144"/>
      <c r="EV61" s="144"/>
      <c r="EW61" s="144"/>
      <c r="EX61" s="144"/>
      <c r="EY61" s="144"/>
      <c r="EZ61" s="144"/>
      <c r="FA61" s="144"/>
      <c r="FB61" s="144"/>
      <c r="FC61" s="144"/>
      <c r="FD61" s="144"/>
      <c r="FE61" s="144"/>
      <c r="FF61" s="144"/>
      <c r="FG61" s="144"/>
      <c r="FH61" s="144"/>
      <c r="FI61" s="144"/>
      <c r="FJ61" s="144"/>
      <c r="FK61" s="144"/>
      <c r="FL61" s="144"/>
      <c r="FM61" s="144"/>
      <c r="FN61" s="144"/>
      <c r="FO61" s="144"/>
      <c r="FP61" s="144"/>
      <c r="FQ61" s="144"/>
      <c r="FR61" s="144"/>
      <c r="FS61" s="144"/>
      <c r="FT61" s="144"/>
      <c r="FU61" s="144"/>
      <c r="FV61" s="144"/>
      <c r="FW61" s="144"/>
      <c r="FX61" s="144"/>
    </row>
    <row r="62" spans="1:180" s="56" customFormat="1" ht="16.5" customHeight="1" x14ac:dyDescent="0.2">
      <c r="A62" s="177"/>
      <c r="B62" s="68"/>
      <c r="C62" s="419" t="str">
        <f t="shared" si="13"/>
        <v/>
      </c>
      <c r="D62" s="102" t="s">
        <v>4209</v>
      </c>
      <c r="E62" s="65">
        <f>SUM(G62:HQ62)</f>
        <v>0</v>
      </c>
      <c r="F62" s="64"/>
      <c r="G62" s="173"/>
      <c r="H62" s="173"/>
      <c r="I62" s="173"/>
      <c r="J62" s="173"/>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5"/>
      <c r="AT62" s="175"/>
      <c r="AU62" s="175"/>
      <c r="AV62" s="175"/>
      <c r="AW62" s="175"/>
      <c r="AX62" s="175"/>
      <c r="AY62" s="175"/>
      <c r="AZ62" s="175"/>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c r="EK62" s="144"/>
      <c r="EL62" s="144"/>
      <c r="EM62" s="144"/>
      <c r="EN62" s="144"/>
      <c r="EO62" s="144"/>
      <c r="EP62" s="144"/>
      <c r="EQ62" s="144"/>
      <c r="ER62" s="144"/>
      <c r="ES62" s="144"/>
      <c r="ET62" s="144"/>
      <c r="EU62" s="144"/>
      <c r="EV62" s="144"/>
      <c r="EW62" s="144"/>
      <c r="EX62" s="144"/>
      <c r="EY62" s="144"/>
      <c r="EZ62" s="144"/>
      <c r="FA62" s="144"/>
      <c r="FB62" s="144"/>
      <c r="FC62" s="144"/>
      <c r="FD62" s="144"/>
      <c r="FE62" s="144"/>
      <c r="FF62" s="144"/>
      <c r="FG62" s="144"/>
      <c r="FH62" s="144"/>
      <c r="FI62" s="144"/>
      <c r="FJ62" s="144"/>
      <c r="FK62" s="144"/>
      <c r="FL62" s="144"/>
      <c r="FM62" s="144"/>
      <c r="FN62" s="144"/>
      <c r="FO62" s="144"/>
      <c r="FP62" s="144"/>
      <c r="FQ62" s="144"/>
      <c r="FR62" s="144"/>
      <c r="FS62" s="144"/>
      <c r="FT62" s="144"/>
      <c r="FU62" s="144"/>
      <c r="FV62" s="144"/>
      <c r="FW62" s="144"/>
      <c r="FX62" s="144"/>
    </row>
    <row r="63" spans="1:180" s="56" customFormat="1" x14ac:dyDescent="0.2">
      <c r="A63" s="177"/>
      <c r="B63" s="68"/>
      <c r="C63" s="419" t="str">
        <f t="shared" si="13"/>
        <v/>
      </c>
      <c r="D63" s="38" t="s">
        <v>4210</v>
      </c>
      <c r="E63" s="65">
        <f>SUM(G63:HQ63)</f>
        <v>0</v>
      </c>
      <c r="F63" s="64"/>
      <c r="G63" s="173"/>
      <c r="H63" s="173"/>
      <c r="I63" s="173"/>
      <c r="J63" s="173"/>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c r="EK63" s="144"/>
      <c r="EL63" s="144"/>
      <c r="EM63" s="144"/>
      <c r="EN63" s="144"/>
      <c r="EO63" s="144"/>
      <c r="EP63" s="144"/>
      <c r="EQ63" s="144"/>
      <c r="ER63" s="144"/>
      <c r="ES63" s="144"/>
      <c r="ET63" s="144"/>
      <c r="EU63" s="144"/>
      <c r="EV63" s="144"/>
      <c r="EW63" s="144"/>
      <c r="EX63" s="144"/>
      <c r="EY63" s="144"/>
      <c r="EZ63" s="144"/>
      <c r="FA63" s="144"/>
      <c r="FB63" s="144"/>
      <c r="FC63" s="144"/>
      <c r="FD63" s="144"/>
      <c r="FE63" s="144"/>
      <c r="FF63" s="144"/>
      <c r="FG63" s="144"/>
      <c r="FH63" s="144"/>
      <c r="FI63" s="144"/>
      <c r="FJ63" s="144"/>
      <c r="FK63" s="144"/>
      <c r="FL63" s="144"/>
      <c r="FM63" s="144"/>
      <c r="FN63" s="144"/>
      <c r="FO63" s="144"/>
      <c r="FP63" s="144"/>
      <c r="FQ63" s="144"/>
      <c r="FR63" s="144"/>
      <c r="FS63" s="144"/>
      <c r="FT63" s="144"/>
      <c r="FU63" s="144"/>
      <c r="FV63" s="144"/>
      <c r="FW63" s="144"/>
      <c r="FX63" s="144"/>
    </row>
    <row r="64" spans="1:180" s="56" customFormat="1" x14ac:dyDescent="0.2">
      <c r="A64" s="177"/>
      <c r="B64" s="68"/>
      <c r="C64" s="420" t="str">
        <f t="shared" si="13"/>
        <v/>
      </c>
      <c r="D64" s="37" t="s">
        <v>4211</v>
      </c>
      <c r="E64" s="101">
        <f>SUM(G64:HH64)</f>
        <v>0</v>
      </c>
      <c r="F64" s="64"/>
      <c r="G64" s="173"/>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44"/>
      <c r="BB64" s="144"/>
      <c r="BC64" s="144"/>
      <c r="BD64" s="144"/>
      <c r="BE64" s="144"/>
      <c r="BF64" s="144"/>
      <c r="BG64" s="144"/>
      <c r="BH64" s="144"/>
      <c r="BI64" s="144"/>
      <c r="BJ64" s="144"/>
      <c r="BK64" s="144"/>
      <c r="BL64" s="144"/>
      <c r="BM64" s="144"/>
      <c r="BN64" s="144"/>
      <c r="BO64" s="144"/>
      <c r="BP64" s="144"/>
      <c r="BQ64" s="144"/>
      <c r="BR64" s="144"/>
      <c r="BS64" s="144"/>
      <c r="BT64" s="144"/>
      <c r="BU64" s="144"/>
      <c r="BV64" s="144"/>
      <c r="BW64" s="144"/>
      <c r="BX64" s="144"/>
      <c r="BY64" s="144"/>
      <c r="BZ64" s="144"/>
      <c r="CA64" s="144"/>
      <c r="CB64" s="144"/>
      <c r="CC64" s="144"/>
      <c r="CD64" s="144"/>
      <c r="CE64" s="144"/>
      <c r="CF64" s="144"/>
      <c r="CG64" s="144"/>
      <c r="CH64" s="144"/>
      <c r="CI64" s="144"/>
      <c r="CJ64" s="144"/>
      <c r="CK64" s="144"/>
      <c r="CL64" s="144"/>
      <c r="CM64" s="144"/>
      <c r="CN64" s="144"/>
      <c r="CO64" s="144"/>
      <c r="CP64" s="144"/>
      <c r="CQ64" s="144"/>
      <c r="CR64" s="144"/>
      <c r="CS64" s="144"/>
      <c r="CT64" s="144"/>
      <c r="CU64" s="144"/>
      <c r="CV64" s="144"/>
      <c r="CW64" s="144"/>
      <c r="CX64" s="144"/>
      <c r="CY64" s="144"/>
      <c r="CZ64" s="144"/>
      <c r="DA64" s="144"/>
      <c r="DB64" s="144"/>
      <c r="DC64" s="144"/>
      <c r="DD64" s="144"/>
      <c r="DE64" s="144"/>
      <c r="DF64" s="144"/>
      <c r="DG64" s="144"/>
      <c r="DH64" s="144"/>
      <c r="DI64" s="144"/>
      <c r="DJ64" s="144"/>
      <c r="DK64" s="144"/>
      <c r="DL64" s="144"/>
      <c r="DM64" s="144"/>
      <c r="DN64" s="144"/>
      <c r="DO64" s="144"/>
      <c r="DP64" s="144"/>
      <c r="DQ64" s="144"/>
      <c r="DR64" s="144"/>
      <c r="DS64" s="144"/>
      <c r="DT64" s="144"/>
      <c r="DU64" s="144"/>
      <c r="DV64" s="144"/>
      <c r="DW64" s="144"/>
      <c r="DX64" s="144"/>
      <c r="DY64" s="144"/>
      <c r="DZ64" s="144"/>
      <c r="EA64" s="144"/>
      <c r="EB64" s="144"/>
      <c r="EC64" s="144"/>
      <c r="ED64" s="144"/>
      <c r="EE64" s="144"/>
      <c r="EF64" s="144"/>
      <c r="EG64" s="144"/>
      <c r="EH64" s="144"/>
      <c r="EI64" s="144"/>
      <c r="EJ64" s="144"/>
      <c r="EK64" s="144"/>
      <c r="EL64" s="144"/>
      <c r="EM64" s="144"/>
      <c r="EN64" s="144"/>
      <c r="EO64" s="144"/>
      <c r="EP64" s="144"/>
      <c r="EQ64" s="144"/>
      <c r="ER64" s="144"/>
      <c r="ES64" s="144"/>
      <c r="ET64" s="144"/>
      <c r="EU64" s="144"/>
      <c r="EV64" s="144"/>
      <c r="EW64" s="144"/>
      <c r="EX64" s="144"/>
      <c r="EY64" s="144"/>
      <c r="EZ64" s="144"/>
      <c r="FA64" s="144"/>
      <c r="FB64" s="144"/>
      <c r="FC64" s="144"/>
      <c r="FD64" s="144"/>
      <c r="FE64" s="144"/>
      <c r="FF64" s="144"/>
      <c r="FG64" s="144"/>
      <c r="FH64" s="144"/>
      <c r="FI64" s="144"/>
      <c r="FJ64" s="144"/>
      <c r="FK64" s="144"/>
      <c r="FL64" s="144"/>
      <c r="FM64" s="144"/>
      <c r="FN64" s="144"/>
      <c r="FO64" s="144"/>
    </row>
    <row r="65" spans="1:180" s="56" customFormat="1" x14ac:dyDescent="0.2">
      <c r="A65" s="177"/>
      <c r="B65" s="68"/>
      <c r="C65" s="420" t="str">
        <f t="shared" si="13"/>
        <v/>
      </c>
      <c r="D65" s="37" t="s">
        <v>280</v>
      </c>
      <c r="E65" s="101">
        <f t="shared" ref="E65:E96" si="14">SUM(G65:HQ65)</f>
        <v>0</v>
      </c>
      <c r="F65" s="64"/>
      <c r="G65" s="173"/>
      <c r="H65" s="173"/>
      <c r="I65" s="173"/>
      <c r="J65" s="173"/>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6"/>
      <c r="AX65" s="175"/>
      <c r="AY65" s="175"/>
      <c r="AZ65" s="175"/>
      <c r="BA65" s="144"/>
      <c r="BB65" s="144"/>
      <c r="BC65" s="144"/>
      <c r="BD65" s="144"/>
      <c r="BE65" s="144"/>
      <c r="BF65" s="144"/>
      <c r="BG65" s="144"/>
      <c r="BH65" s="144"/>
      <c r="BI65" s="144"/>
      <c r="BJ65" s="144"/>
      <c r="BK65" s="144"/>
      <c r="BL65" s="144"/>
      <c r="BM65" s="144"/>
      <c r="BN65" s="144"/>
      <c r="BO65" s="144"/>
      <c r="BP65" s="144"/>
      <c r="BQ65" s="144"/>
      <c r="BR65" s="144"/>
      <c r="BS65" s="144"/>
      <c r="BT65" s="144"/>
      <c r="BU65" s="144"/>
      <c r="BV65" s="144"/>
      <c r="BW65" s="144"/>
      <c r="BX65" s="144"/>
      <c r="BY65" s="144"/>
      <c r="BZ65" s="144"/>
      <c r="CA65" s="144"/>
      <c r="CB65" s="144"/>
      <c r="CC65" s="144"/>
      <c r="CD65" s="144"/>
      <c r="CE65" s="144"/>
      <c r="CF65" s="144"/>
      <c r="CG65" s="144"/>
      <c r="CH65" s="144"/>
      <c r="CI65" s="144"/>
      <c r="CJ65" s="144"/>
      <c r="CK65" s="144"/>
      <c r="CL65" s="144"/>
      <c r="CM65" s="144"/>
      <c r="CN65" s="144"/>
      <c r="CO65" s="144"/>
      <c r="CP65" s="144"/>
      <c r="CQ65" s="144"/>
      <c r="CR65" s="144"/>
      <c r="CS65" s="144"/>
      <c r="CT65" s="144"/>
      <c r="CU65" s="144"/>
      <c r="CV65" s="144"/>
      <c r="CW65" s="144"/>
      <c r="CX65" s="144"/>
      <c r="CY65" s="144"/>
      <c r="CZ65" s="144"/>
      <c r="DA65" s="144"/>
      <c r="DB65" s="144"/>
      <c r="DC65" s="144"/>
      <c r="DD65" s="144"/>
      <c r="DE65" s="144"/>
      <c r="DF65" s="144"/>
      <c r="DG65" s="144"/>
      <c r="DH65" s="144"/>
      <c r="DI65" s="144"/>
      <c r="DJ65" s="144"/>
      <c r="DK65" s="144"/>
      <c r="DL65" s="144"/>
      <c r="DM65" s="144"/>
      <c r="DN65" s="144"/>
      <c r="DO65" s="144"/>
      <c r="DP65" s="144"/>
      <c r="DQ65" s="144"/>
      <c r="DR65" s="144"/>
      <c r="DS65" s="144"/>
      <c r="DT65" s="144"/>
      <c r="DU65" s="144"/>
      <c r="DV65" s="144"/>
      <c r="DW65" s="144"/>
      <c r="DX65" s="144"/>
      <c r="DY65" s="144"/>
      <c r="DZ65" s="144"/>
      <c r="EA65" s="144"/>
      <c r="EB65" s="144"/>
      <c r="EC65" s="144"/>
      <c r="ED65" s="144"/>
      <c r="EE65" s="144"/>
      <c r="EF65" s="144"/>
      <c r="EG65" s="144"/>
      <c r="EH65" s="144"/>
      <c r="EI65" s="144"/>
      <c r="EJ65" s="144"/>
      <c r="EK65" s="144"/>
      <c r="EL65" s="144"/>
      <c r="EM65" s="144"/>
      <c r="EN65" s="144"/>
      <c r="EO65" s="144"/>
      <c r="EP65" s="144"/>
      <c r="EQ65" s="144"/>
      <c r="ER65" s="144"/>
      <c r="ES65" s="144"/>
      <c r="ET65" s="144"/>
      <c r="EU65" s="144"/>
      <c r="EV65" s="144"/>
      <c r="EW65" s="144"/>
      <c r="EX65" s="144"/>
      <c r="EY65" s="144"/>
      <c r="EZ65" s="144"/>
      <c r="FA65" s="144"/>
      <c r="FB65" s="144"/>
      <c r="FC65" s="144"/>
      <c r="FD65" s="144"/>
      <c r="FE65" s="144"/>
      <c r="FF65" s="144"/>
      <c r="FG65" s="144"/>
      <c r="FH65" s="144"/>
      <c r="FI65" s="144"/>
      <c r="FJ65" s="144"/>
      <c r="FK65" s="144"/>
      <c r="FL65" s="144"/>
      <c r="FM65" s="144"/>
      <c r="FN65" s="144"/>
      <c r="FO65" s="144"/>
      <c r="FP65" s="144"/>
      <c r="FQ65" s="144"/>
      <c r="FR65" s="144"/>
      <c r="FS65" s="144"/>
      <c r="FT65" s="144"/>
      <c r="FU65" s="144"/>
      <c r="FV65" s="144"/>
      <c r="FW65" s="144"/>
      <c r="FX65" s="144"/>
    </row>
    <row r="66" spans="1:180" s="56" customFormat="1" x14ac:dyDescent="0.2">
      <c r="A66" s="177"/>
      <c r="B66" s="68"/>
      <c r="C66" s="420" t="str">
        <f t="shared" si="13"/>
        <v/>
      </c>
      <c r="D66" s="37" t="s">
        <v>3638</v>
      </c>
      <c r="E66" s="101">
        <f t="shared" si="14"/>
        <v>0</v>
      </c>
      <c r="F66" s="64"/>
      <c r="G66" s="173"/>
      <c r="H66" s="173"/>
      <c r="I66" s="173"/>
      <c r="J66" s="173"/>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6"/>
      <c r="AX66" s="175"/>
      <c r="AY66" s="175"/>
      <c r="AZ66" s="175"/>
      <c r="BA66" s="144"/>
      <c r="BB66" s="144"/>
      <c r="BC66" s="144"/>
      <c r="BD66" s="144"/>
      <c r="BE66" s="144"/>
      <c r="BF66" s="144"/>
      <c r="BG66" s="144"/>
      <c r="BH66" s="144"/>
      <c r="BI66" s="144"/>
      <c r="BJ66" s="144"/>
      <c r="BK66" s="144"/>
      <c r="BL66" s="144"/>
      <c r="BM66" s="144"/>
      <c r="BN66" s="144"/>
      <c r="BO66" s="144"/>
      <c r="BP66" s="144"/>
      <c r="BQ66" s="144"/>
      <c r="BR66" s="144"/>
      <c r="BS66" s="144"/>
      <c r="BT66" s="144"/>
      <c r="BU66" s="144"/>
      <c r="BV66" s="144"/>
      <c r="BW66" s="144"/>
      <c r="BX66" s="144"/>
      <c r="BY66" s="144"/>
      <c r="BZ66" s="144"/>
      <c r="CA66" s="144"/>
      <c r="CB66" s="144"/>
      <c r="CC66" s="144"/>
      <c r="CD66" s="144"/>
      <c r="CE66" s="144"/>
      <c r="CF66" s="144"/>
      <c r="CG66" s="144"/>
      <c r="CH66" s="144"/>
      <c r="CI66" s="144"/>
      <c r="CJ66" s="144"/>
      <c r="CK66" s="144"/>
      <c r="CL66" s="144"/>
      <c r="CM66" s="144"/>
      <c r="CN66" s="144"/>
      <c r="CO66" s="144"/>
      <c r="CP66" s="144"/>
      <c r="CQ66" s="144"/>
      <c r="CR66" s="144"/>
      <c r="CS66" s="144"/>
      <c r="CT66" s="144"/>
      <c r="CU66" s="144"/>
      <c r="CV66" s="144"/>
      <c r="CW66" s="144"/>
      <c r="CX66" s="144"/>
      <c r="CY66" s="144"/>
      <c r="CZ66" s="144"/>
      <c r="DA66" s="144"/>
      <c r="DB66" s="144"/>
      <c r="DC66" s="144"/>
      <c r="DD66" s="144"/>
      <c r="DE66" s="144"/>
      <c r="DF66" s="144"/>
      <c r="DG66" s="144"/>
      <c r="DH66" s="144"/>
      <c r="DI66" s="144"/>
      <c r="DJ66" s="144"/>
      <c r="DK66" s="144"/>
      <c r="DL66" s="144"/>
      <c r="DM66" s="144"/>
      <c r="DN66" s="144"/>
      <c r="DO66" s="144"/>
      <c r="DP66" s="144"/>
      <c r="DQ66" s="144"/>
      <c r="DR66" s="144"/>
      <c r="DS66" s="144"/>
      <c r="DT66" s="144"/>
      <c r="DU66" s="144"/>
      <c r="DV66" s="144"/>
      <c r="DW66" s="144"/>
      <c r="DX66" s="144"/>
      <c r="DY66" s="144"/>
      <c r="DZ66" s="144"/>
      <c r="EA66" s="144"/>
      <c r="EB66" s="144"/>
      <c r="EC66" s="144"/>
      <c r="ED66" s="144"/>
      <c r="EE66" s="144"/>
      <c r="EF66" s="144"/>
      <c r="EG66" s="144"/>
      <c r="EH66" s="144"/>
      <c r="EI66" s="144"/>
      <c r="EJ66" s="144"/>
      <c r="EK66" s="144"/>
      <c r="EL66" s="144"/>
      <c r="EM66" s="144"/>
      <c r="EN66" s="144"/>
      <c r="EO66" s="144"/>
      <c r="EP66" s="144"/>
      <c r="EQ66" s="144"/>
      <c r="ER66" s="144"/>
      <c r="ES66" s="144"/>
      <c r="ET66" s="144"/>
      <c r="EU66" s="144"/>
      <c r="EV66" s="144"/>
      <c r="EW66" s="144"/>
      <c r="EX66" s="144"/>
      <c r="EY66" s="144"/>
      <c r="EZ66" s="144"/>
      <c r="FA66" s="144"/>
      <c r="FB66" s="144"/>
      <c r="FC66" s="144"/>
      <c r="FD66" s="144"/>
      <c r="FE66" s="144"/>
      <c r="FF66" s="144"/>
      <c r="FG66" s="144"/>
      <c r="FH66" s="144"/>
      <c r="FI66" s="144"/>
      <c r="FJ66" s="144"/>
      <c r="FK66" s="144"/>
      <c r="FL66" s="144"/>
      <c r="FM66" s="144"/>
      <c r="FN66" s="144"/>
      <c r="FO66" s="144"/>
      <c r="FP66" s="144"/>
      <c r="FQ66" s="144"/>
      <c r="FR66" s="144"/>
      <c r="FS66" s="144"/>
      <c r="FT66" s="144"/>
      <c r="FU66" s="144"/>
      <c r="FV66" s="144"/>
      <c r="FW66" s="144"/>
      <c r="FX66" s="144"/>
    </row>
    <row r="67" spans="1:180" s="56" customFormat="1" x14ac:dyDescent="0.2">
      <c r="A67" s="177"/>
      <c r="B67" s="68"/>
      <c r="C67" s="419" t="str">
        <f t="shared" si="13"/>
        <v/>
      </c>
      <c r="D67" s="38" t="s">
        <v>3567</v>
      </c>
      <c r="E67" s="65">
        <f t="shared" si="14"/>
        <v>-1</v>
      </c>
      <c r="F67" s="64"/>
      <c r="G67" s="173"/>
      <c r="H67" s="173"/>
      <c r="I67" s="173"/>
      <c r="J67" s="173"/>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432">
        <v>-1</v>
      </c>
      <c r="AI67" s="175"/>
      <c r="AJ67" s="175"/>
      <c r="AK67" s="175"/>
      <c r="AL67" s="175"/>
      <c r="AM67" s="175"/>
      <c r="AN67" s="175"/>
      <c r="AO67" s="175"/>
      <c r="AP67" s="175"/>
      <c r="AQ67" s="175"/>
      <c r="AR67" s="175"/>
      <c r="AS67" s="175"/>
      <c r="AT67" s="175"/>
      <c r="AU67" s="175"/>
      <c r="AV67" s="175"/>
      <c r="AW67" s="176"/>
      <c r="AX67" s="175"/>
      <c r="AY67" s="175"/>
      <c r="AZ67" s="175"/>
      <c r="BA67" s="144"/>
      <c r="BB67" s="144"/>
      <c r="BC67" s="144"/>
      <c r="BD67" s="144"/>
      <c r="BE67" s="144"/>
      <c r="BF67" s="144"/>
      <c r="BG67" s="144"/>
      <c r="BH67" s="144"/>
      <c r="BI67" s="144"/>
      <c r="BJ67" s="144"/>
      <c r="BK67" s="144"/>
      <c r="BL67" s="144"/>
      <c r="BM67" s="144"/>
      <c r="BN67" s="144"/>
      <c r="BO67" s="144"/>
      <c r="BP67" s="144"/>
      <c r="BQ67" s="144"/>
      <c r="BR67" s="144"/>
      <c r="BS67" s="144"/>
      <c r="BT67" s="144"/>
      <c r="BU67" s="144"/>
      <c r="BV67" s="144"/>
      <c r="BW67" s="144"/>
      <c r="BX67" s="144"/>
      <c r="BY67" s="144"/>
      <c r="BZ67" s="144"/>
      <c r="CA67" s="144"/>
      <c r="CB67" s="144"/>
      <c r="CC67" s="144"/>
      <c r="CD67" s="144"/>
      <c r="CE67" s="144"/>
      <c r="CF67" s="144"/>
      <c r="CG67" s="144"/>
      <c r="CH67" s="144"/>
      <c r="CI67" s="144"/>
      <c r="CJ67" s="144"/>
      <c r="CK67" s="144"/>
      <c r="CL67" s="144"/>
      <c r="CM67" s="144"/>
      <c r="CN67" s="144"/>
      <c r="CO67" s="144"/>
      <c r="CP67" s="144"/>
      <c r="CQ67" s="144"/>
      <c r="CR67" s="144"/>
      <c r="CS67" s="144"/>
      <c r="CT67" s="144"/>
      <c r="CU67" s="144"/>
      <c r="CV67" s="144"/>
      <c r="CW67" s="144"/>
      <c r="CX67" s="144"/>
      <c r="CY67" s="144"/>
      <c r="CZ67" s="144"/>
      <c r="DA67" s="144"/>
      <c r="DB67" s="144"/>
      <c r="DC67" s="144"/>
      <c r="DD67" s="144"/>
      <c r="DE67" s="144"/>
      <c r="DF67" s="144"/>
      <c r="DG67" s="144"/>
      <c r="DH67" s="144"/>
      <c r="DI67" s="144"/>
      <c r="DJ67" s="144"/>
      <c r="DK67" s="144"/>
      <c r="DL67" s="144"/>
      <c r="DM67" s="144"/>
      <c r="DN67" s="144"/>
      <c r="DO67" s="144"/>
      <c r="DP67" s="144"/>
      <c r="DQ67" s="144"/>
      <c r="DR67" s="144"/>
      <c r="DS67" s="144"/>
      <c r="DT67" s="144"/>
      <c r="DU67" s="144"/>
      <c r="DV67" s="144"/>
      <c r="DW67" s="144"/>
      <c r="DX67" s="144"/>
      <c r="DY67" s="144"/>
      <c r="DZ67" s="144"/>
      <c r="EA67" s="144"/>
      <c r="EB67" s="144"/>
      <c r="EC67" s="144"/>
      <c r="ED67" s="144"/>
      <c r="EE67" s="144"/>
      <c r="EF67" s="144"/>
      <c r="EG67" s="144"/>
      <c r="EH67" s="144"/>
      <c r="EI67" s="144"/>
      <c r="EJ67" s="144"/>
      <c r="EK67" s="144"/>
      <c r="EL67" s="144"/>
      <c r="EM67" s="144"/>
      <c r="EN67" s="144"/>
      <c r="EO67" s="144"/>
      <c r="EP67" s="144"/>
      <c r="EQ67" s="144"/>
      <c r="ER67" s="144"/>
      <c r="ES67" s="144"/>
      <c r="ET67" s="144"/>
      <c r="EU67" s="144"/>
      <c r="EV67" s="144"/>
      <c r="EW67" s="144"/>
      <c r="EX67" s="144"/>
      <c r="EY67" s="144"/>
      <c r="EZ67" s="144"/>
      <c r="FA67" s="144"/>
      <c r="FB67" s="144"/>
      <c r="FC67" s="144"/>
      <c r="FD67" s="144"/>
      <c r="FE67" s="144"/>
      <c r="FF67" s="144"/>
      <c r="FG67" s="144"/>
      <c r="FH67" s="144"/>
      <c r="FI67" s="144"/>
      <c r="FJ67" s="144"/>
      <c r="FK67" s="144"/>
      <c r="FL67" s="144"/>
      <c r="FM67" s="144"/>
      <c r="FN67" s="144"/>
      <c r="FO67" s="144"/>
      <c r="FP67" s="144"/>
      <c r="FQ67" s="144"/>
      <c r="FR67" s="144"/>
      <c r="FS67" s="144"/>
      <c r="FT67" s="144"/>
      <c r="FU67" s="144"/>
      <c r="FV67" s="144"/>
      <c r="FW67" s="144"/>
      <c r="FX67" s="144"/>
    </row>
    <row r="68" spans="1:180" s="56" customFormat="1" x14ac:dyDescent="0.2">
      <c r="A68" s="67"/>
      <c r="B68" s="68"/>
      <c r="C68" s="420">
        <f t="shared" si="13"/>
        <v>4.7058823529411766</v>
      </c>
      <c r="D68" s="37" t="s">
        <v>3702</v>
      </c>
      <c r="E68" s="101">
        <f t="shared" si="14"/>
        <v>1</v>
      </c>
      <c r="F68" s="64"/>
      <c r="G68" s="173"/>
      <c r="H68" s="173"/>
      <c r="I68" s="173"/>
      <c r="J68" s="173"/>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432">
        <v>1</v>
      </c>
      <c r="AI68" s="175"/>
      <c r="AJ68" s="175"/>
      <c r="AK68" s="175"/>
      <c r="AL68" s="175"/>
      <c r="AM68" s="175"/>
      <c r="AN68" s="175"/>
      <c r="AO68" s="175"/>
      <c r="AP68" s="175"/>
      <c r="AQ68" s="175"/>
      <c r="AR68" s="175"/>
      <c r="AS68" s="175"/>
      <c r="AT68" s="175"/>
      <c r="AU68" s="175"/>
      <c r="AV68" s="175"/>
      <c r="AW68" s="175"/>
      <c r="AX68" s="176"/>
      <c r="AY68" s="175"/>
      <c r="AZ68" s="175"/>
      <c r="BA68" s="144"/>
      <c r="BB68" s="144"/>
      <c r="BC68" s="144"/>
      <c r="BD68" s="144"/>
      <c r="BE68" s="144"/>
      <c r="BF68" s="144"/>
      <c r="BG68" s="144"/>
      <c r="BH68" s="144"/>
      <c r="BI68" s="144"/>
      <c r="BJ68" s="144"/>
      <c r="BK68" s="144"/>
      <c r="BL68" s="144"/>
      <c r="BM68" s="144"/>
      <c r="BN68" s="144"/>
      <c r="BO68" s="144"/>
      <c r="BP68" s="144"/>
      <c r="BQ68" s="144"/>
      <c r="BR68" s="144"/>
      <c r="BS68" s="144"/>
      <c r="BT68" s="144"/>
      <c r="BU68" s="144"/>
      <c r="BV68" s="144"/>
      <c r="BW68" s="144"/>
      <c r="BX68" s="144"/>
      <c r="BY68" s="144"/>
      <c r="BZ68" s="144"/>
      <c r="CA68" s="144"/>
      <c r="CB68" s="144"/>
      <c r="CC68" s="144"/>
      <c r="CD68" s="144"/>
      <c r="CE68" s="144"/>
      <c r="CF68" s="144"/>
      <c r="CG68" s="144"/>
      <c r="CH68" s="144"/>
      <c r="CI68" s="144"/>
      <c r="CJ68" s="144"/>
      <c r="CK68" s="144"/>
      <c r="CL68" s="144"/>
      <c r="CM68" s="144"/>
      <c r="CN68" s="144"/>
      <c r="CO68" s="144"/>
      <c r="CP68" s="144"/>
      <c r="CQ68" s="144"/>
      <c r="CR68" s="144"/>
      <c r="CS68" s="144"/>
      <c r="CT68" s="144"/>
      <c r="CU68" s="144"/>
      <c r="CV68" s="144"/>
      <c r="CW68" s="144"/>
      <c r="CX68" s="144"/>
      <c r="CY68" s="144"/>
      <c r="CZ68" s="144"/>
      <c r="DA68" s="144"/>
      <c r="DB68" s="144"/>
      <c r="DC68" s="144"/>
      <c r="DD68" s="144"/>
      <c r="DE68" s="144"/>
      <c r="DF68" s="144"/>
      <c r="DG68" s="144"/>
      <c r="DH68" s="144"/>
      <c r="DI68" s="144"/>
      <c r="DJ68" s="144"/>
      <c r="DK68" s="144"/>
      <c r="DL68" s="144"/>
      <c r="DM68" s="144"/>
      <c r="DN68" s="144"/>
      <c r="DO68" s="144"/>
      <c r="DP68" s="144"/>
      <c r="DQ68" s="144"/>
      <c r="DR68" s="144"/>
      <c r="DS68" s="144"/>
      <c r="DT68" s="144"/>
      <c r="DU68" s="144"/>
      <c r="DV68" s="144"/>
      <c r="DW68" s="144"/>
      <c r="DX68" s="144"/>
      <c r="DY68" s="144"/>
      <c r="DZ68" s="144"/>
      <c r="EA68" s="144"/>
      <c r="EB68" s="144"/>
      <c r="EC68" s="144"/>
      <c r="ED68" s="144"/>
      <c r="EE68" s="144"/>
      <c r="EF68" s="144"/>
      <c r="EG68" s="144"/>
      <c r="EH68" s="144"/>
      <c r="EI68" s="144"/>
      <c r="EJ68" s="144"/>
      <c r="EK68" s="144"/>
      <c r="EL68" s="144"/>
      <c r="EM68" s="144"/>
      <c r="EN68" s="144"/>
      <c r="EO68" s="144"/>
      <c r="EP68" s="144"/>
      <c r="EQ68" s="144"/>
      <c r="ER68" s="144"/>
      <c r="ES68" s="144"/>
      <c r="ET68" s="144"/>
      <c r="EU68" s="144"/>
      <c r="EV68" s="144"/>
      <c r="EW68" s="144"/>
      <c r="EX68" s="144"/>
      <c r="EY68" s="144"/>
      <c r="EZ68" s="144"/>
      <c r="FA68" s="144"/>
      <c r="FB68" s="144"/>
      <c r="FC68" s="144"/>
      <c r="FD68" s="144"/>
      <c r="FE68" s="144"/>
      <c r="FF68" s="144"/>
      <c r="FG68" s="144"/>
      <c r="FH68" s="144"/>
      <c r="FI68" s="144"/>
      <c r="FJ68" s="144"/>
      <c r="FK68" s="144"/>
      <c r="FL68" s="144"/>
      <c r="FM68" s="144"/>
      <c r="FN68" s="144"/>
      <c r="FO68" s="144"/>
      <c r="FP68" s="144"/>
      <c r="FQ68" s="144"/>
      <c r="FR68" s="144"/>
      <c r="FS68" s="144"/>
      <c r="FT68" s="144"/>
      <c r="FU68" s="144"/>
      <c r="FV68" s="144"/>
      <c r="FW68" s="144"/>
      <c r="FX68" s="144"/>
    </row>
    <row r="69" spans="1:180" s="56" customFormat="1" x14ac:dyDescent="0.2">
      <c r="A69" s="67"/>
      <c r="B69" s="66"/>
      <c r="C69" s="419" t="str">
        <f t="shared" si="13"/>
        <v/>
      </c>
      <c r="D69" s="38" t="s">
        <v>520</v>
      </c>
      <c r="E69" s="65">
        <f t="shared" si="14"/>
        <v>-1</v>
      </c>
      <c r="H69" s="173"/>
      <c r="I69" s="173"/>
      <c r="J69" s="173"/>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432">
        <v>-1</v>
      </c>
      <c r="AJ69" s="175"/>
      <c r="AK69" s="175"/>
      <c r="AL69" s="175"/>
      <c r="AM69" s="175"/>
      <c r="AN69" s="175"/>
      <c r="AO69" s="175"/>
      <c r="AP69" s="175"/>
      <c r="AQ69" s="175"/>
      <c r="AR69" s="175"/>
      <c r="AS69" s="175"/>
      <c r="AT69" s="175"/>
      <c r="AU69" s="175"/>
      <c r="AV69" s="175"/>
      <c r="AW69" s="175"/>
      <c r="AX69" s="175"/>
      <c r="AY69" s="175"/>
      <c r="AZ69" s="175"/>
      <c r="BA69" s="144"/>
      <c r="BB69" s="144"/>
      <c r="BC69" s="144"/>
      <c r="BD69" s="144"/>
      <c r="BE69" s="144"/>
      <c r="BF69" s="144"/>
      <c r="BG69" s="144"/>
      <c r="BH69" s="144"/>
      <c r="BI69" s="144"/>
      <c r="BJ69" s="144"/>
      <c r="BK69" s="144"/>
      <c r="BL69" s="144"/>
      <c r="BM69" s="144"/>
      <c r="BN69" s="144"/>
      <c r="BO69" s="144"/>
      <c r="BP69" s="144"/>
      <c r="BQ69" s="144"/>
      <c r="BR69" s="144"/>
      <c r="BS69" s="144"/>
      <c r="BT69" s="144"/>
      <c r="BU69" s="144"/>
      <c r="BV69" s="144"/>
      <c r="BW69" s="144"/>
      <c r="BX69" s="144"/>
      <c r="BY69" s="144"/>
      <c r="BZ69" s="144"/>
      <c r="CA69" s="144"/>
      <c r="CB69" s="144"/>
      <c r="CC69" s="144"/>
      <c r="CD69" s="144"/>
      <c r="CE69" s="144"/>
      <c r="CF69" s="144"/>
      <c r="CG69" s="144"/>
      <c r="CH69" s="144"/>
      <c r="CI69" s="144"/>
      <c r="CJ69" s="144"/>
      <c r="CK69" s="144"/>
      <c r="CL69" s="144"/>
      <c r="CM69" s="144"/>
      <c r="CN69" s="144"/>
      <c r="CO69" s="144"/>
      <c r="CP69" s="144"/>
      <c r="CQ69" s="144"/>
      <c r="CR69" s="144"/>
      <c r="CS69" s="144"/>
      <c r="CT69" s="144"/>
      <c r="CU69" s="144"/>
      <c r="CV69" s="144"/>
      <c r="CW69" s="144"/>
      <c r="CX69" s="144"/>
      <c r="CY69" s="144"/>
      <c r="CZ69" s="144"/>
      <c r="DA69" s="144"/>
      <c r="DB69" s="144"/>
      <c r="DC69" s="144"/>
      <c r="DD69" s="144"/>
      <c r="DE69" s="144"/>
      <c r="DF69" s="144"/>
      <c r="DG69" s="144"/>
      <c r="DH69" s="144"/>
      <c r="DI69" s="144"/>
      <c r="DJ69" s="144"/>
      <c r="DK69" s="144"/>
      <c r="DL69" s="144"/>
      <c r="DM69" s="144"/>
      <c r="DN69" s="144"/>
      <c r="DO69" s="144"/>
      <c r="DP69" s="144"/>
      <c r="DQ69" s="144"/>
      <c r="DR69" s="144"/>
      <c r="DS69" s="144"/>
      <c r="DT69" s="144"/>
      <c r="DU69" s="144"/>
      <c r="DV69" s="144"/>
      <c r="DW69" s="144"/>
      <c r="DX69" s="144"/>
      <c r="DY69" s="144"/>
      <c r="DZ69" s="144"/>
      <c r="EA69" s="144"/>
      <c r="EB69" s="144"/>
      <c r="EC69" s="144"/>
      <c r="ED69" s="144"/>
      <c r="EE69" s="144"/>
      <c r="EF69" s="144"/>
      <c r="EG69" s="144"/>
      <c r="EH69" s="144"/>
      <c r="EI69" s="144"/>
      <c r="EJ69" s="144"/>
      <c r="EK69" s="144"/>
      <c r="EL69" s="144"/>
      <c r="EM69" s="144"/>
      <c r="EN69" s="144"/>
      <c r="EO69" s="144"/>
      <c r="EP69" s="144"/>
      <c r="EQ69" s="144"/>
      <c r="ER69" s="144"/>
      <c r="ES69" s="144"/>
      <c r="ET69" s="144"/>
      <c r="EU69" s="144"/>
      <c r="EV69" s="144"/>
      <c r="EW69" s="144"/>
      <c r="EX69" s="144"/>
      <c r="EY69" s="144"/>
      <c r="EZ69" s="144"/>
      <c r="FA69" s="144"/>
      <c r="FB69" s="144"/>
      <c r="FC69" s="144"/>
      <c r="FD69" s="144"/>
      <c r="FE69" s="144"/>
      <c r="FF69" s="144"/>
      <c r="FG69" s="144"/>
      <c r="FH69" s="144"/>
      <c r="FI69" s="144"/>
      <c r="FJ69" s="144"/>
      <c r="FK69" s="144"/>
      <c r="FL69" s="144"/>
      <c r="FM69" s="144"/>
      <c r="FN69" s="144"/>
      <c r="FO69" s="144"/>
      <c r="FP69" s="144"/>
      <c r="FQ69" s="144"/>
      <c r="FR69" s="144"/>
      <c r="FS69" s="144"/>
      <c r="FT69" s="144"/>
      <c r="FU69" s="144"/>
      <c r="FV69" s="144"/>
      <c r="FW69" s="144"/>
      <c r="FX69" s="144"/>
    </row>
    <row r="70" spans="1:180" s="56" customFormat="1" x14ac:dyDescent="0.2">
      <c r="A70" s="67"/>
      <c r="B70" s="66"/>
      <c r="C70" s="419">
        <f t="shared" si="13"/>
        <v>4.7058823529411766</v>
      </c>
      <c r="D70" s="38" t="s">
        <v>3735</v>
      </c>
      <c r="E70" s="65">
        <f t="shared" si="14"/>
        <v>1</v>
      </c>
      <c r="H70" s="173"/>
      <c r="I70" s="173"/>
      <c r="J70" s="173"/>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432">
        <v>1</v>
      </c>
      <c r="AJ70" s="175"/>
      <c r="AK70" s="175"/>
      <c r="AL70" s="175"/>
      <c r="AM70" s="175"/>
      <c r="AN70" s="175"/>
      <c r="AO70" s="175"/>
      <c r="AP70" s="175"/>
      <c r="AQ70" s="175"/>
      <c r="AR70" s="175"/>
      <c r="AS70" s="175"/>
      <c r="AT70" s="175"/>
      <c r="AU70" s="175"/>
      <c r="AV70" s="175"/>
      <c r="AW70" s="175"/>
      <c r="AX70" s="175"/>
      <c r="AY70" s="175"/>
      <c r="AZ70" s="175"/>
      <c r="BA70" s="144"/>
      <c r="BB70" s="144"/>
      <c r="BC70" s="144"/>
      <c r="BD70" s="144"/>
      <c r="BE70" s="144"/>
      <c r="BF70" s="144"/>
      <c r="BG70" s="144"/>
      <c r="BH70" s="144"/>
      <c r="BI70" s="144"/>
      <c r="BJ70" s="144"/>
      <c r="BK70" s="144"/>
      <c r="BL70" s="144"/>
      <c r="BM70" s="144"/>
      <c r="BN70" s="144"/>
      <c r="BO70" s="144"/>
      <c r="BP70" s="144"/>
      <c r="BQ70" s="144"/>
      <c r="BR70" s="144"/>
      <c r="BS70" s="144"/>
      <c r="BT70" s="144"/>
      <c r="BU70" s="144"/>
      <c r="BV70" s="144"/>
      <c r="BW70" s="144"/>
      <c r="BX70" s="144"/>
      <c r="BY70" s="144"/>
      <c r="BZ70" s="144"/>
      <c r="CA70" s="144"/>
      <c r="CB70" s="144"/>
      <c r="CC70" s="144"/>
      <c r="CD70" s="144"/>
      <c r="CE70" s="144"/>
      <c r="CF70" s="144"/>
      <c r="CG70" s="144"/>
      <c r="CH70" s="144"/>
      <c r="CI70" s="144"/>
      <c r="CJ70" s="144"/>
      <c r="CK70" s="144"/>
      <c r="CL70" s="144"/>
      <c r="CM70" s="144"/>
      <c r="CN70" s="144"/>
      <c r="CO70" s="144"/>
      <c r="CP70" s="144"/>
      <c r="CQ70" s="144"/>
      <c r="CR70" s="144"/>
      <c r="CS70" s="144"/>
      <c r="CT70" s="144"/>
      <c r="CU70" s="144"/>
      <c r="CV70" s="144"/>
      <c r="CW70" s="144"/>
      <c r="CX70" s="144"/>
      <c r="CY70" s="144"/>
      <c r="CZ70" s="144"/>
      <c r="DA70" s="144"/>
      <c r="DB70" s="144"/>
      <c r="DC70" s="144"/>
      <c r="DD70" s="144"/>
      <c r="DE70" s="144"/>
      <c r="DF70" s="144"/>
      <c r="DG70" s="144"/>
      <c r="DH70" s="144"/>
      <c r="DI70" s="144"/>
      <c r="DJ70" s="144"/>
      <c r="DK70" s="144"/>
      <c r="DL70" s="144"/>
      <c r="DM70" s="144"/>
      <c r="DN70" s="144"/>
      <c r="DO70" s="144"/>
      <c r="DP70" s="144"/>
      <c r="DQ70" s="144"/>
      <c r="DR70" s="144"/>
      <c r="DS70" s="144"/>
      <c r="DT70" s="144"/>
      <c r="DU70" s="144"/>
      <c r="DV70" s="144"/>
      <c r="DW70" s="144"/>
      <c r="DX70" s="144"/>
      <c r="DY70" s="144"/>
      <c r="DZ70" s="144"/>
      <c r="EA70" s="144"/>
      <c r="EB70" s="144"/>
      <c r="EC70" s="144"/>
      <c r="ED70" s="144"/>
      <c r="EE70" s="144"/>
      <c r="EF70" s="144"/>
      <c r="EG70" s="144"/>
      <c r="EH70" s="144"/>
      <c r="EI70" s="144"/>
      <c r="EJ70" s="144"/>
      <c r="EK70" s="144"/>
      <c r="EL70" s="144"/>
      <c r="EM70" s="144"/>
      <c r="EN70" s="144"/>
      <c r="EO70" s="144"/>
      <c r="EP70" s="144"/>
      <c r="EQ70" s="144"/>
      <c r="ER70" s="144"/>
      <c r="ES70" s="144"/>
      <c r="ET70" s="144"/>
      <c r="EU70" s="144"/>
      <c r="EV70" s="144"/>
      <c r="EW70" s="144"/>
      <c r="EX70" s="144"/>
      <c r="EY70" s="144"/>
      <c r="EZ70" s="144"/>
      <c r="FA70" s="144"/>
      <c r="FB70" s="144"/>
      <c r="FC70" s="144"/>
      <c r="FD70" s="144"/>
      <c r="FE70" s="144"/>
      <c r="FF70" s="144"/>
      <c r="FG70" s="144"/>
      <c r="FH70" s="144"/>
      <c r="FI70" s="144"/>
      <c r="FJ70" s="144"/>
      <c r="FK70" s="144"/>
      <c r="FL70" s="144"/>
      <c r="FM70" s="144"/>
      <c r="FN70" s="144"/>
      <c r="FO70" s="144"/>
      <c r="FP70" s="144"/>
      <c r="FQ70" s="144"/>
      <c r="FR70" s="144"/>
      <c r="FS70" s="144"/>
      <c r="FT70" s="144"/>
      <c r="FU70" s="144"/>
      <c r="FV70" s="144"/>
      <c r="FW70" s="144"/>
      <c r="FX70" s="144"/>
    </row>
    <row r="71" spans="1:180" s="56" customFormat="1" x14ac:dyDescent="0.2">
      <c r="A71" s="67"/>
      <c r="B71" s="66"/>
      <c r="C71" s="419" t="str">
        <f t="shared" si="13"/>
        <v/>
      </c>
      <c r="D71" s="38" t="s">
        <v>4212</v>
      </c>
      <c r="E71" s="65">
        <f t="shared" si="14"/>
        <v>0</v>
      </c>
      <c r="H71" s="173"/>
      <c r="I71" s="173"/>
      <c r="J71" s="173"/>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44"/>
      <c r="BB71" s="144"/>
      <c r="BC71" s="144"/>
      <c r="BD71" s="144"/>
      <c r="BE71" s="144"/>
      <c r="BF71" s="144"/>
      <c r="BG71" s="144"/>
      <c r="BH71" s="144"/>
      <c r="BI71" s="144"/>
      <c r="BJ71" s="144"/>
      <c r="BK71" s="144"/>
      <c r="BL71" s="144"/>
      <c r="BM71" s="144"/>
      <c r="BN71" s="144"/>
      <c r="BO71" s="144"/>
      <c r="BP71" s="144"/>
      <c r="BQ71" s="144"/>
      <c r="BR71" s="144"/>
      <c r="BS71" s="144"/>
      <c r="BT71" s="144"/>
      <c r="BU71" s="144"/>
      <c r="BV71" s="144"/>
      <c r="BW71" s="144"/>
      <c r="BX71" s="144"/>
      <c r="BY71" s="144"/>
      <c r="BZ71" s="144"/>
      <c r="CA71" s="144"/>
      <c r="CB71" s="144"/>
      <c r="CC71" s="144"/>
      <c r="CD71" s="144"/>
      <c r="CE71" s="144"/>
      <c r="CF71" s="144"/>
      <c r="CG71" s="144"/>
      <c r="CH71" s="144"/>
      <c r="CI71" s="144"/>
      <c r="CJ71" s="144"/>
      <c r="CK71" s="144"/>
      <c r="CL71" s="144"/>
      <c r="CM71" s="144"/>
      <c r="CN71" s="144"/>
      <c r="CO71" s="144"/>
      <c r="CP71" s="144"/>
      <c r="CQ71" s="144"/>
      <c r="CR71" s="144"/>
      <c r="CS71" s="144"/>
      <c r="CT71" s="144"/>
      <c r="CU71" s="144"/>
      <c r="CV71" s="144"/>
      <c r="CW71" s="144"/>
      <c r="CX71" s="144"/>
      <c r="CY71" s="144"/>
      <c r="CZ71" s="144"/>
      <c r="DA71" s="144"/>
      <c r="DB71" s="144"/>
      <c r="DC71" s="144"/>
      <c r="DD71" s="144"/>
      <c r="DE71" s="144"/>
      <c r="DF71" s="144"/>
      <c r="DG71" s="144"/>
      <c r="DH71" s="144"/>
      <c r="DI71" s="144"/>
      <c r="DJ71" s="144"/>
      <c r="DK71" s="144"/>
      <c r="DL71" s="144"/>
      <c r="DM71" s="144"/>
      <c r="DN71" s="144"/>
      <c r="DO71" s="144"/>
      <c r="DP71" s="144"/>
      <c r="DQ71" s="144"/>
      <c r="DR71" s="144"/>
      <c r="DS71" s="144"/>
      <c r="DT71" s="144"/>
      <c r="DU71" s="144"/>
      <c r="DV71" s="144"/>
      <c r="DW71" s="144"/>
      <c r="DX71" s="144"/>
      <c r="DY71" s="144"/>
      <c r="DZ71" s="144"/>
      <c r="EA71" s="144"/>
      <c r="EB71" s="144"/>
      <c r="EC71" s="144"/>
      <c r="ED71" s="144"/>
      <c r="EE71" s="144"/>
      <c r="EF71" s="144"/>
      <c r="EG71" s="144"/>
      <c r="EH71" s="144"/>
      <c r="EI71" s="144"/>
      <c r="EJ71" s="144"/>
      <c r="EK71" s="144"/>
      <c r="EL71" s="144"/>
      <c r="EM71" s="144"/>
      <c r="EN71" s="144"/>
      <c r="EO71" s="144"/>
      <c r="EP71" s="144"/>
      <c r="EQ71" s="144"/>
      <c r="ER71" s="144"/>
      <c r="ES71" s="144"/>
      <c r="ET71" s="144"/>
      <c r="EU71" s="144"/>
      <c r="EV71" s="144"/>
      <c r="EW71" s="144"/>
      <c r="EX71" s="144"/>
      <c r="EY71" s="144"/>
      <c r="EZ71" s="144"/>
      <c r="FA71" s="144"/>
      <c r="FB71" s="144"/>
      <c r="FC71" s="144"/>
      <c r="FD71" s="144"/>
      <c r="FE71" s="144"/>
      <c r="FF71" s="144"/>
      <c r="FG71" s="144"/>
      <c r="FH71" s="144"/>
      <c r="FI71" s="144"/>
      <c r="FJ71" s="144"/>
      <c r="FK71" s="144"/>
      <c r="FL71" s="144"/>
      <c r="FM71" s="144"/>
      <c r="FN71" s="144"/>
      <c r="FO71" s="144"/>
      <c r="FP71" s="144"/>
      <c r="FQ71" s="144"/>
      <c r="FR71" s="144"/>
      <c r="FS71" s="144"/>
      <c r="FT71" s="144"/>
      <c r="FU71" s="144"/>
      <c r="FV71" s="144"/>
      <c r="FW71" s="144"/>
      <c r="FX71" s="144"/>
    </row>
    <row r="72" spans="1:180" s="56" customFormat="1" x14ac:dyDescent="0.2">
      <c r="A72" s="67"/>
      <c r="B72" s="66"/>
      <c r="C72" s="419" t="str">
        <f t="shared" si="13"/>
        <v/>
      </c>
      <c r="D72" s="104" t="s">
        <v>4213</v>
      </c>
      <c r="E72" s="65">
        <f t="shared" si="14"/>
        <v>0</v>
      </c>
      <c r="H72" s="173"/>
      <c r="I72" s="173"/>
      <c r="J72" s="173"/>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44"/>
      <c r="BB72" s="144"/>
      <c r="BC72" s="144"/>
      <c r="BD72" s="144"/>
      <c r="BE72" s="144"/>
      <c r="BF72" s="144"/>
      <c r="BG72" s="144"/>
      <c r="BH72" s="144"/>
      <c r="BI72" s="144"/>
      <c r="BJ72" s="144"/>
      <c r="BK72" s="144"/>
      <c r="BL72" s="144"/>
      <c r="BM72" s="144"/>
      <c r="BN72" s="144"/>
      <c r="BO72" s="144"/>
      <c r="BP72" s="144"/>
      <c r="BQ72" s="144"/>
      <c r="BR72" s="144"/>
      <c r="BS72" s="144"/>
      <c r="BT72" s="144"/>
      <c r="BU72" s="144"/>
      <c r="BV72" s="144"/>
      <c r="BW72" s="144"/>
      <c r="BX72" s="144"/>
      <c r="BY72" s="144"/>
      <c r="BZ72" s="144"/>
      <c r="CA72" s="144"/>
      <c r="CB72" s="144"/>
      <c r="CC72" s="144"/>
      <c r="CD72" s="144"/>
      <c r="CE72" s="144"/>
      <c r="CF72" s="144"/>
      <c r="CG72" s="144"/>
      <c r="CH72" s="144"/>
      <c r="CI72" s="144"/>
      <c r="CJ72" s="144"/>
      <c r="CK72" s="144"/>
      <c r="CL72" s="144"/>
      <c r="CM72" s="144"/>
      <c r="CN72" s="144"/>
      <c r="CO72" s="144"/>
      <c r="CP72" s="144"/>
      <c r="CQ72" s="144"/>
      <c r="CR72" s="144"/>
      <c r="CS72" s="144"/>
      <c r="CT72" s="144"/>
      <c r="CU72" s="144"/>
      <c r="CV72" s="144"/>
      <c r="CW72" s="144"/>
      <c r="CX72" s="144"/>
      <c r="CY72" s="144"/>
      <c r="CZ72" s="144"/>
      <c r="DA72" s="144"/>
      <c r="DB72" s="144"/>
      <c r="DC72" s="144"/>
      <c r="DD72" s="144"/>
      <c r="DE72" s="144"/>
      <c r="DF72" s="144"/>
      <c r="DG72" s="144"/>
      <c r="DH72" s="144"/>
      <c r="DI72" s="144"/>
      <c r="DJ72" s="144"/>
      <c r="DK72" s="144"/>
      <c r="DL72" s="144"/>
      <c r="DM72" s="144"/>
      <c r="DN72" s="144"/>
      <c r="DO72" s="144"/>
      <c r="DP72" s="144"/>
      <c r="DQ72" s="144"/>
      <c r="DR72" s="144"/>
      <c r="DS72" s="144"/>
      <c r="DT72" s="144"/>
      <c r="DU72" s="144"/>
      <c r="DV72" s="144"/>
      <c r="DW72" s="144"/>
      <c r="DX72" s="144"/>
      <c r="DY72" s="144"/>
      <c r="DZ72" s="144"/>
      <c r="EA72" s="144"/>
      <c r="EB72" s="144"/>
      <c r="EC72" s="144"/>
      <c r="ED72" s="144"/>
      <c r="EE72" s="144"/>
      <c r="EF72" s="144"/>
      <c r="EG72" s="144"/>
      <c r="EH72" s="144"/>
      <c r="EI72" s="144"/>
      <c r="EJ72" s="144"/>
      <c r="EK72" s="144"/>
      <c r="EL72" s="144"/>
      <c r="EM72" s="144"/>
      <c r="EN72" s="144"/>
      <c r="EO72" s="144"/>
      <c r="EP72" s="144"/>
      <c r="EQ72" s="144"/>
      <c r="ER72" s="144"/>
      <c r="ES72" s="144"/>
      <c r="ET72" s="144"/>
      <c r="EU72" s="144"/>
      <c r="EV72" s="144"/>
      <c r="EW72" s="144"/>
      <c r="EX72" s="144"/>
      <c r="EY72" s="144"/>
      <c r="EZ72" s="144"/>
      <c r="FA72" s="144"/>
      <c r="FB72" s="144"/>
      <c r="FC72" s="144"/>
      <c r="FD72" s="144"/>
      <c r="FE72" s="144"/>
      <c r="FF72" s="144"/>
      <c r="FG72" s="144"/>
      <c r="FH72" s="144"/>
      <c r="FI72" s="144"/>
      <c r="FJ72" s="144"/>
      <c r="FK72" s="144"/>
      <c r="FL72" s="144"/>
      <c r="FM72" s="144"/>
      <c r="FN72" s="144"/>
      <c r="FO72" s="144"/>
      <c r="FP72" s="144"/>
      <c r="FQ72" s="144"/>
      <c r="FR72" s="144"/>
      <c r="FS72" s="144"/>
      <c r="FT72" s="144"/>
      <c r="FU72" s="144"/>
      <c r="FV72" s="144"/>
      <c r="FW72" s="144"/>
      <c r="FX72" s="144"/>
    </row>
    <row r="73" spans="1:180" s="56" customFormat="1" x14ac:dyDescent="0.2">
      <c r="A73" s="67"/>
      <c r="B73" s="66"/>
      <c r="C73" s="419" t="str">
        <f t="shared" si="13"/>
        <v/>
      </c>
      <c r="D73" s="93" t="s">
        <v>4214</v>
      </c>
      <c r="E73" s="65">
        <f t="shared" si="14"/>
        <v>0</v>
      </c>
      <c r="H73" s="173"/>
      <c r="I73" s="173"/>
      <c r="J73" s="173"/>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44"/>
      <c r="BB73" s="144"/>
      <c r="BC73" s="144"/>
      <c r="BD73" s="144"/>
      <c r="BE73" s="144"/>
      <c r="BF73" s="144"/>
      <c r="BG73" s="144"/>
      <c r="BH73" s="144"/>
      <c r="BI73" s="144"/>
      <c r="BJ73" s="144"/>
      <c r="BK73" s="144"/>
      <c r="BL73" s="144"/>
      <c r="BM73" s="144"/>
      <c r="BN73" s="144"/>
      <c r="BO73" s="144"/>
      <c r="BP73" s="144"/>
      <c r="BQ73" s="144"/>
      <c r="BR73" s="144"/>
      <c r="BS73" s="144"/>
      <c r="BT73" s="144"/>
      <c r="BU73" s="144"/>
      <c r="BV73" s="144"/>
      <c r="BW73" s="144"/>
      <c r="BX73" s="144"/>
      <c r="BY73" s="144"/>
      <c r="BZ73" s="144"/>
      <c r="CA73" s="144"/>
      <c r="CB73" s="144"/>
      <c r="CC73" s="144"/>
      <c r="CD73" s="144"/>
      <c r="CE73" s="144"/>
      <c r="CF73" s="144"/>
      <c r="CG73" s="144"/>
      <c r="CH73" s="144"/>
      <c r="CI73" s="144"/>
      <c r="CJ73" s="144"/>
      <c r="CK73" s="144"/>
      <c r="CL73" s="144"/>
      <c r="CM73" s="144"/>
      <c r="CN73" s="144"/>
      <c r="CO73" s="144"/>
      <c r="CP73" s="144"/>
      <c r="CQ73" s="144"/>
      <c r="CR73" s="144"/>
      <c r="CS73" s="144"/>
      <c r="CT73" s="144"/>
      <c r="CU73" s="144"/>
      <c r="CV73" s="144"/>
      <c r="CW73" s="144"/>
      <c r="CX73" s="144"/>
      <c r="CY73" s="144"/>
      <c r="CZ73" s="144"/>
      <c r="DA73" s="144"/>
      <c r="DB73" s="144"/>
      <c r="DC73" s="144"/>
      <c r="DD73" s="144"/>
      <c r="DE73" s="144"/>
      <c r="DF73" s="144"/>
      <c r="DG73" s="144"/>
      <c r="DH73" s="144"/>
      <c r="DI73" s="144"/>
      <c r="DJ73" s="144"/>
      <c r="DK73" s="144"/>
      <c r="DL73" s="144"/>
      <c r="DM73" s="144"/>
      <c r="DN73" s="144"/>
      <c r="DO73" s="144"/>
      <c r="DP73" s="144"/>
      <c r="DQ73" s="144"/>
      <c r="DR73" s="144"/>
      <c r="DS73" s="144"/>
      <c r="DT73" s="144"/>
      <c r="DU73" s="144"/>
      <c r="DV73" s="144"/>
      <c r="DW73" s="144"/>
      <c r="DX73" s="144"/>
      <c r="DY73" s="144"/>
      <c r="DZ73" s="144"/>
      <c r="EA73" s="144"/>
      <c r="EB73" s="144"/>
      <c r="EC73" s="144"/>
      <c r="ED73" s="144"/>
      <c r="EE73" s="144"/>
      <c r="EF73" s="144"/>
      <c r="EG73" s="144"/>
      <c r="EH73" s="144"/>
      <c r="EI73" s="144"/>
      <c r="EJ73" s="144"/>
      <c r="EK73" s="144"/>
      <c r="EL73" s="144"/>
      <c r="EM73" s="144"/>
      <c r="EN73" s="144"/>
      <c r="EO73" s="144"/>
      <c r="EP73" s="144"/>
      <c r="EQ73" s="144"/>
      <c r="ER73" s="144"/>
      <c r="ES73" s="144"/>
      <c r="ET73" s="144"/>
      <c r="EU73" s="144"/>
      <c r="EV73" s="144"/>
      <c r="EW73" s="144"/>
      <c r="EX73" s="144"/>
      <c r="EY73" s="144"/>
      <c r="EZ73" s="144"/>
      <c r="FA73" s="144"/>
      <c r="FB73" s="144"/>
      <c r="FC73" s="144"/>
      <c r="FD73" s="144"/>
      <c r="FE73" s="144"/>
      <c r="FF73" s="144"/>
      <c r="FG73" s="144"/>
      <c r="FH73" s="144"/>
      <c r="FI73" s="144"/>
      <c r="FJ73" s="144"/>
      <c r="FK73" s="144"/>
      <c r="FL73" s="144"/>
      <c r="FM73" s="144"/>
      <c r="FN73" s="144"/>
      <c r="FO73" s="144"/>
      <c r="FP73" s="144"/>
      <c r="FQ73" s="144"/>
      <c r="FR73" s="144"/>
      <c r="FS73" s="144"/>
      <c r="FT73" s="144"/>
      <c r="FU73" s="144"/>
      <c r="FV73" s="144"/>
      <c r="FW73" s="144"/>
      <c r="FX73" s="144"/>
    </row>
    <row r="74" spans="1:180" s="56" customFormat="1" x14ac:dyDescent="0.2">
      <c r="A74" s="67"/>
      <c r="B74" s="66"/>
      <c r="C74" s="419" t="str">
        <f t="shared" si="13"/>
        <v/>
      </c>
      <c r="D74" s="93" t="s">
        <v>8646</v>
      </c>
      <c r="E74" s="65">
        <f t="shared" si="14"/>
        <v>0</v>
      </c>
      <c r="H74" s="173"/>
      <c r="I74" s="173"/>
      <c r="J74" s="173"/>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4"/>
      <c r="CA74" s="144"/>
      <c r="CB74" s="144"/>
      <c r="CC74" s="144"/>
      <c r="CD74" s="144"/>
      <c r="CE74" s="144"/>
      <c r="CF74" s="144"/>
      <c r="CG74" s="144"/>
      <c r="CH74" s="144"/>
      <c r="CI74" s="144"/>
      <c r="CJ74" s="144"/>
      <c r="CK74" s="144"/>
      <c r="CL74" s="144"/>
      <c r="CM74" s="144"/>
      <c r="CN74" s="144"/>
      <c r="CO74" s="144"/>
      <c r="CP74" s="144"/>
      <c r="CQ74" s="144"/>
      <c r="CR74" s="144"/>
      <c r="CS74" s="144"/>
      <c r="CT74" s="144"/>
      <c r="CU74" s="144"/>
      <c r="CV74" s="144"/>
      <c r="CW74" s="144"/>
      <c r="CX74" s="144"/>
      <c r="CY74" s="144"/>
      <c r="CZ74" s="144"/>
      <c r="DA74" s="144"/>
      <c r="DB74" s="144"/>
      <c r="DC74" s="144"/>
      <c r="DD74" s="144"/>
      <c r="DE74" s="144"/>
      <c r="DF74" s="144"/>
      <c r="DG74" s="144"/>
      <c r="DH74" s="144"/>
      <c r="DI74" s="144"/>
      <c r="DJ74" s="144"/>
      <c r="DK74" s="144"/>
      <c r="DL74" s="144"/>
      <c r="DM74" s="144"/>
      <c r="DN74" s="144"/>
      <c r="DO74" s="144"/>
      <c r="DP74" s="144"/>
      <c r="DQ74" s="144"/>
      <c r="DR74" s="144"/>
      <c r="DS74" s="144"/>
      <c r="DT74" s="144"/>
      <c r="DU74" s="144"/>
      <c r="DV74" s="144"/>
      <c r="DW74" s="144"/>
      <c r="DX74" s="144"/>
      <c r="DY74" s="144"/>
      <c r="DZ74" s="144"/>
      <c r="EA74" s="144"/>
      <c r="EB74" s="144"/>
      <c r="EC74" s="144"/>
      <c r="ED74" s="144"/>
      <c r="EE74" s="144"/>
      <c r="EF74" s="144"/>
      <c r="EG74" s="144"/>
      <c r="EH74" s="144"/>
      <c r="EI74" s="144"/>
      <c r="EJ74" s="144"/>
      <c r="EK74" s="144"/>
      <c r="EL74" s="144"/>
      <c r="EM74" s="144"/>
      <c r="EN74" s="144"/>
      <c r="EO74" s="144"/>
      <c r="EP74" s="144"/>
      <c r="EQ74" s="144"/>
      <c r="ER74" s="144"/>
      <c r="ES74" s="144"/>
      <c r="ET74" s="144"/>
      <c r="EU74" s="144"/>
      <c r="EV74" s="144"/>
      <c r="EW74" s="144"/>
      <c r="EX74" s="144"/>
      <c r="EY74" s="144"/>
      <c r="EZ74" s="144"/>
      <c r="FA74" s="144"/>
      <c r="FB74" s="144"/>
      <c r="FC74" s="144"/>
      <c r="FD74" s="144"/>
      <c r="FE74" s="144"/>
      <c r="FF74" s="144"/>
      <c r="FG74" s="144"/>
      <c r="FH74" s="144"/>
      <c r="FI74" s="144"/>
      <c r="FJ74" s="144"/>
      <c r="FK74" s="144"/>
      <c r="FL74" s="144"/>
      <c r="FM74" s="144"/>
      <c r="FN74" s="144"/>
      <c r="FO74" s="144"/>
      <c r="FP74" s="144"/>
      <c r="FQ74" s="144"/>
      <c r="FR74" s="144"/>
      <c r="FS74" s="144"/>
      <c r="FT74" s="144"/>
      <c r="FU74" s="144"/>
      <c r="FV74" s="144"/>
      <c r="FW74" s="144"/>
      <c r="FX74" s="144"/>
    </row>
    <row r="75" spans="1:180" s="56" customFormat="1" x14ac:dyDescent="0.2">
      <c r="A75" s="67"/>
      <c r="B75" s="66"/>
      <c r="C75" s="420" t="str">
        <f t="shared" si="13"/>
        <v/>
      </c>
      <c r="D75" s="93" t="s">
        <v>3819</v>
      </c>
      <c r="E75" s="101">
        <f t="shared" si="14"/>
        <v>0</v>
      </c>
      <c r="H75" s="57"/>
      <c r="I75" s="57"/>
      <c r="J75" s="57"/>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144"/>
      <c r="BF75" s="144"/>
      <c r="BG75" s="144"/>
      <c r="BH75" s="144"/>
      <c r="BI75" s="144"/>
      <c r="BJ75" s="144"/>
      <c r="BK75" s="144"/>
      <c r="BL75" s="144"/>
      <c r="BM75" s="144"/>
      <c r="BN75" s="144"/>
      <c r="BO75" s="144"/>
      <c r="BP75" s="144"/>
      <c r="BQ75" s="144"/>
      <c r="BR75" s="144"/>
      <c r="BS75" s="144"/>
      <c r="BT75" s="144"/>
      <c r="BU75" s="144"/>
      <c r="BV75" s="144"/>
      <c r="BW75" s="144"/>
      <c r="BX75" s="144"/>
      <c r="BY75" s="144"/>
      <c r="BZ75" s="144"/>
      <c r="CA75" s="144"/>
      <c r="CB75" s="144"/>
      <c r="CC75" s="144"/>
      <c r="CD75" s="144"/>
      <c r="CE75" s="144"/>
      <c r="CF75" s="144"/>
      <c r="CG75" s="144"/>
      <c r="CH75" s="144"/>
      <c r="CI75" s="144"/>
      <c r="CJ75" s="144"/>
      <c r="CK75" s="144"/>
      <c r="CL75" s="144"/>
      <c r="CM75" s="144"/>
      <c r="CN75" s="144"/>
      <c r="CO75" s="144"/>
      <c r="CP75" s="144"/>
      <c r="CQ75" s="144"/>
      <c r="CR75" s="144"/>
      <c r="CS75" s="144"/>
      <c r="CT75" s="144"/>
      <c r="CU75" s="144"/>
      <c r="CV75" s="144"/>
      <c r="CW75" s="144"/>
      <c r="CX75" s="144"/>
      <c r="CY75" s="144"/>
      <c r="CZ75" s="144"/>
      <c r="DA75" s="144"/>
      <c r="DB75" s="144"/>
      <c r="DC75" s="144"/>
      <c r="DD75" s="144"/>
      <c r="DE75" s="144"/>
      <c r="DF75" s="144"/>
      <c r="DG75" s="144"/>
      <c r="DH75" s="144"/>
      <c r="DI75" s="144"/>
      <c r="DJ75" s="144"/>
      <c r="DK75" s="144"/>
      <c r="DL75" s="144"/>
      <c r="DM75" s="144"/>
      <c r="DN75" s="144"/>
      <c r="DO75" s="144"/>
      <c r="DP75" s="144"/>
      <c r="DQ75" s="144"/>
      <c r="DR75" s="144"/>
      <c r="DS75" s="144"/>
      <c r="DT75" s="144"/>
      <c r="DU75" s="144"/>
      <c r="DV75" s="144"/>
      <c r="DW75" s="144"/>
      <c r="DX75" s="144"/>
      <c r="DY75" s="144"/>
      <c r="DZ75" s="144"/>
      <c r="EA75" s="144"/>
      <c r="EB75" s="144"/>
      <c r="EC75" s="144"/>
      <c r="ED75" s="144"/>
      <c r="EE75" s="144"/>
      <c r="EF75" s="144"/>
      <c r="EG75" s="144"/>
      <c r="EH75" s="144"/>
      <c r="EI75" s="144"/>
      <c r="EJ75" s="144"/>
      <c r="EK75" s="144"/>
      <c r="EL75" s="144"/>
      <c r="EM75" s="144"/>
      <c r="EN75" s="144"/>
      <c r="EO75" s="144"/>
      <c r="EP75" s="144"/>
      <c r="EQ75" s="144"/>
      <c r="ER75" s="144"/>
      <c r="ES75" s="144"/>
      <c r="ET75" s="144"/>
      <c r="EU75" s="144"/>
      <c r="EV75" s="144"/>
      <c r="EW75" s="144"/>
      <c r="EX75" s="144"/>
      <c r="EY75" s="144"/>
      <c r="EZ75" s="144"/>
      <c r="FA75" s="144"/>
      <c r="FB75" s="144"/>
      <c r="FC75" s="144"/>
      <c r="FD75" s="144"/>
      <c r="FE75" s="144"/>
      <c r="FF75" s="144"/>
      <c r="FG75" s="144"/>
      <c r="FH75" s="144"/>
      <c r="FI75" s="144"/>
      <c r="FJ75" s="144"/>
      <c r="FK75" s="144"/>
      <c r="FL75" s="144"/>
      <c r="FM75" s="144"/>
      <c r="FN75" s="144"/>
      <c r="FO75" s="144"/>
      <c r="FP75" s="144"/>
      <c r="FQ75" s="144"/>
      <c r="FR75" s="144"/>
      <c r="FS75" s="144"/>
      <c r="FT75" s="144"/>
      <c r="FU75" s="144"/>
      <c r="FV75" s="144"/>
      <c r="FW75" s="144"/>
      <c r="FX75" s="144"/>
    </row>
    <row r="76" spans="1:180" s="56" customFormat="1" x14ac:dyDescent="0.2">
      <c r="A76" s="67"/>
      <c r="B76" s="66"/>
      <c r="C76" s="101">
        <f t="shared" ref="C76:C107" si="15">E76*D$5</f>
        <v>0</v>
      </c>
      <c r="D76" s="93"/>
      <c r="E76" s="101">
        <f t="shared" si="14"/>
        <v>0</v>
      </c>
      <c r="H76" s="57"/>
      <c r="I76" s="57"/>
      <c r="J76" s="57"/>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144"/>
      <c r="BF76" s="144"/>
      <c r="BG76" s="144"/>
      <c r="BH76" s="144"/>
      <c r="BI76" s="144"/>
      <c r="BJ76" s="144"/>
      <c r="BK76" s="144"/>
      <c r="BL76" s="144"/>
      <c r="BM76" s="144"/>
      <c r="BN76" s="144"/>
      <c r="BO76" s="144"/>
      <c r="BP76" s="144"/>
      <c r="BQ76" s="144"/>
      <c r="BR76" s="144"/>
      <c r="BS76" s="144"/>
      <c r="BT76" s="144"/>
      <c r="BU76" s="144"/>
      <c r="BV76" s="144"/>
      <c r="BW76" s="144"/>
      <c r="BX76" s="144"/>
      <c r="BY76" s="144"/>
      <c r="BZ76" s="144"/>
      <c r="CA76" s="144"/>
      <c r="CB76" s="144"/>
      <c r="CC76" s="144"/>
      <c r="CD76" s="144"/>
      <c r="CE76" s="144"/>
      <c r="CF76" s="144"/>
      <c r="CG76" s="144"/>
      <c r="CH76" s="144"/>
      <c r="CI76" s="144"/>
      <c r="CJ76" s="144"/>
      <c r="CK76" s="144"/>
      <c r="CL76" s="144"/>
      <c r="CM76" s="144"/>
      <c r="CN76" s="144"/>
      <c r="CO76" s="144"/>
      <c r="CP76" s="144"/>
      <c r="CQ76" s="144"/>
      <c r="CR76" s="144"/>
      <c r="CS76" s="144"/>
      <c r="CT76" s="144"/>
      <c r="CU76" s="144"/>
      <c r="CV76" s="144"/>
      <c r="CW76" s="144"/>
      <c r="CX76" s="144"/>
      <c r="CY76" s="144"/>
      <c r="CZ76" s="144"/>
      <c r="DA76" s="144"/>
      <c r="DB76" s="144"/>
      <c r="DC76" s="144"/>
      <c r="DD76" s="144"/>
      <c r="DE76" s="144"/>
      <c r="DF76" s="144"/>
      <c r="DG76" s="144"/>
      <c r="DH76" s="144"/>
      <c r="DI76" s="144"/>
      <c r="DJ76" s="144"/>
      <c r="DK76" s="144"/>
      <c r="DL76" s="144"/>
      <c r="DM76" s="144"/>
      <c r="DN76" s="144"/>
      <c r="DO76" s="144"/>
      <c r="DP76" s="144"/>
      <c r="DQ76" s="144"/>
      <c r="DR76" s="144"/>
      <c r="DS76" s="144"/>
      <c r="DT76" s="144"/>
      <c r="DU76" s="144"/>
      <c r="DV76" s="144"/>
      <c r="DW76" s="144"/>
      <c r="DX76" s="144"/>
      <c r="DY76" s="144"/>
      <c r="DZ76" s="144"/>
      <c r="EA76" s="144"/>
      <c r="EB76" s="144"/>
      <c r="EC76" s="144"/>
      <c r="ED76" s="144"/>
      <c r="EE76" s="144"/>
      <c r="EF76" s="144"/>
      <c r="EG76" s="144"/>
      <c r="EH76" s="144"/>
      <c r="EI76" s="144"/>
      <c r="EJ76" s="144"/>
      <c r="EK76" s="144"/>
      <c r="EL76" s="144"/>
      <c r="EM76" s="144"/>
      <c r="EN76" s="144"/>
      <c r="EO76" s="144"/>
      <c r="EP76" s="144"/>
      <c r="EQ76" s="144"/>
      <c r="ER76" s="144"/>
      <c r="ES76" s="144"/>
      <c r="ET76" s="144"/>
      <c r="EU76" s="144"/>
      <c r="EV76" s="144"/>
      <c r="EW76" s="144"/>
      <c r="EX76" s="144"/>
      <c r="EY76" s="144"/>
      <c r="EZ76" s="144"/>
      <c r="FA76" s="144"/>
      <c r="FB76" s="144"/>
      <c r="FC76" s="144"/>
      <c r="FD76" s="144"/>
      <c r="FE76" s="144"/>
      <c r="FF76" s="144"/>
      <c r="FG76" s="144"/>
      <c r="FH76" s="144"/>
      <c r="FI76" s="144"/>
      <c r="FJ76" s="144"/>
      <c r="FK76" s="144"/>
      <c r="FL76" s="144"/>
      <c r="FM76" s="144"/>
      <c r="FN76" s="144"/>
      <c r="FO76" s="144"/>
      <c r="FP76" s="144"/>
      <c r="FQ76" s="144"/>
      <c r="FR76" s="144"/>
      <c r="FS76" s="144"/>
      <c r="FT76" s="144"/>
      <c r="FU76" s="144"/>
      <c r="FV76" s="144"/>
      <c r="FW76" s="144"/>
      <c r="FX76" s="144"/>
    </row>
    <row r="77" spans="1:180" s="56" customFormat="1" x14ac:dyDescent="0.2">
      <c r="A77" s="67"/>
      <c r="B77" s="66"/>
      <c r="C77" s="65">
        <f t="shared" si="15"/>
        <v>0</v>
      </c>
      <c r="D77" s="93"/>
      <c r="E77" s="65">
        <f t="shared" si="14"/>
        <v>0</v>
      </c>
      <c r="H77" s="57"/>
      <c r="I77" s="57"/>
      <c r="J77" s="57"/>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144"/>
      <c r="BF77" s="144"/>
      <c r="BG77" s="144"/>
      <c r="BH77" s="144"/>
      <c r="BI77" s="144"/>
      <c r="BJ77" s="144"/>
      <c r="BK77" s="144"/>
      <c r="BL77" s="144"/>
      <c r="BM77" s="144"/>
      <c r="BN77" s="144"/>
      <c r="BO77" s="144"/>
      <c r="BP77" s="144"/>
      <c r="BQ77" s="144"/>
      <c r="BR77" s="144"/>
      <c r="BS77" s="144"/>
      <c r="BT77" s="144"/>
      <c r="BU77" s="144"/>
      <c r="BV77" s="144"/>
      <c r="BW77" s="144"/>
      <c r="BX77" s="144"/>
      <c r="BY77" s="144"/>
      <c r="BZ77" s="144"/>
      <c r="CA77" s="144"/>
      <c r="CB77" s="144"/>
      <c r="CC77" s="144"/>
      <c r="CD77" s="144"/>
      <c r="CE77" s="144"/>
      <c r="CF77" s="144"/>
      <c r="CG77" s="144"/>
      <c r="CH77" s="144"/>
      <c r="CI77" s="144"/>
      <c r="CJ77" s="144"/>
      <c r="CK77" s="144"/>
      <c r="CL77" s="144"/>
      <c r="CM77" s="144"/>
      <c r="CN77" s="144"/>
      <c r="CO77" s="144"/>
      <c r="CP77" s="144"/>
      <c r="CQ77" s="144"/>
      <c r="CR77" s="144"/>
      <c r="CS77" s="144"/>
      <c r="CT77" s="144"/>
      <c r="CU77" s="144"/>
      <c r="CV77" s="144"/>
      <c r="CW77" s="144"/>
      <c r="CX77" s="144"/>
      <c r="CY77" s="144"/>
      <c r="CZ77" s="144"/>
      <c r="DA77" s="144"/>
      <c r="DB77" s="144"/>
      <c r="DC77" s="144"/>
      <c r="DD77" s="144"/>
      <c r="DE77" s="144"/>
      <c r="DF77" s="144"/>
      <c r="DG77" s="144"/>
      <c r="DH77" s="144"/>
      <c r="DI77" s="144"/>
      <c r="DJ77" s="144"/>
      <c r="DK77" s="144"/>
      <c r="DL77" s="144"/>
      <c r="DM77" s="144"/>
      <c r="DN77" s="144"/>
      <c r="DO77" s="144"/>
      <c r="DP77" s="144"/>
      <c r="DQ77" s="144"/>
      <c r="DR77" s="144"/>
      <c r="DS77" s="144"/>
      <c r="DT77" s="144"/>
      <c r="DU77" s="144"/>
      <c r="DV77" s="144"/>
      <c r="DW77" s="144"/>
      <c r="DX77" s="144"/>
      <c r="DY77" s="144"/>
      <c r="DZ77" s="144"/>
      <c r="EA77" s="144"/>
      <c r="EB77" s="144"/>
      <c r="EC77" s="144"/>
      <c r="ED77" s="144"/>
      <c r="EE77" s="144"/>
      <c r="EF77" s="144"/>
      <c r="EG77" s="144"/>
      <c r="EH77" s="144"/>
      <c r="EI77" s="144"/>
      <c r="EJ77" s="144"/>
      <c r="EK77" s="144"/>
      <c r="EL77" s="144"/>
      <c r="EM77" s="144"/>
      <c r="EN77" s="144"/>
      <c r="EO77" s="144"/>
      <c r="EP77" s="144"/>
      <c r="EQ77" s="144"/>
      <c r="ER77" s="144"/>
      <c r="ES77" s="144"/>
      <c r="ET77" s="144"/>
      <c r="EU77" s="144"/>
      <c r="EV77" s="144"/>
      <c r="EW77" s="144"/>
      <c r="EX77" s="144"/>
      <c r="EY77" s="144"/>
      <c r="EZ77" s="144"/>
      <c r="FA77" s="144"/>
      <c r="FB77" s="144"/>
      <c r="FC77" s="144"/>
      <c r="FD77" s="144"/>
      <c r="FE77" s="144"/>
      <c r="FF77" s="144"/>
      <c r="FG77" s="144"/>
      <c r="FH77" s="144"/>
      <c r="FI77" s="144"/>
      <c r="FJ77" s="144"/>
      <c r="FK77" s="144"/>
      <c r="FL77" s="144"/>
      <c r="FM77" s="144"/>
      <c r="FN77" s="144"/>
      <c r="FO77" s="144"/>
      <c r="FP77" s="144"/>
      <c r="FQ77" s="144"/>
      <c r="FR77" s="144"/>
      <c r="FS77" s="144"/>
      <c r="FT77" s="144"/>
      <c r="FU77" s="144"/>
      <c r="FV77" s="144"/>
      <c r="FW77" s="144"/>
      <c r="FX77" s="144"/>
    </row>
    <row r="78" spans="1:180" s="56" customFormat="1" x14ac:dyDescent="0.2">
      <c r="A78" s="67"/>
      <c r="B78" s="66"/>
      <c r="C78" s="65">
        <f t="shared" si="15"/>
        <v>0</v>
      </c>
      <c r="D78" s="93"/>
      <c r="E78" s="65">
        <f t="shared" si="14"/>
        <v>0</v>
      </c>
      <c r="H78" s="57"/>
      <c r="I78" s="57"/>
      <c r="J78" s="57"/>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144"/>
      <c r="BF78" s="144"/>
      <c r="BG78" s="144"/>
      <c r="BH78" s="144"/>
      <c r="BI78" s="144"/>
      <c r="BJ78" s="144"/>
      <c r="BK78" s="144"/>
      <c r="BL78" s="144"/>
      <c r="BM78" s="144"/>
      <c r="BN78" s="144"/>
      <c r="BO78" s="144"/>
      <c r="BP78" s="144"/>
      <c r="BQ78" s="144"/>
      <c r="BR78" s="144"/>
      <c r="BS78" s="144"/>
      <c r="BT78" s="144"/>
      <c r="BU78" s="144"/>
      <c r="BV78" s="144"/>
      <c r="BW78" s="144"/>
      <c r="BX78" s="144"/>
      <c r="BY78" s="144"/>
      <c r="BZ78" s="144"/>
      <c r="CA78" s="144"/>
      <c r="CB78" s="144"/>
      <c r="CC78" s="144"/>
      <c r="CD78" s="144"/>
      <c r="CE78" s="144"/>
      <c r="CF78" s="144"/>
      <c r="CG78" s="144"/>
      <c r="CH78" s="144"/>
      <c r="CI78" s="144"/>
      <c r="CJ78" s="144"/>
      <c r="CK78" s="144"/>
      <c r="CL78" s="144"/>
      <c r="CM78" s="144"/>
      <c r="CN78" s="144"/>
      <c r="CO78" s="144"/>
      <c r="CP78" s="144"/>
      <c r="CQ78" s="144"/>
      <c r="CR78" s="144"/>
      <c r="CS78" s="144"/>
      <c r="CT78" s="144"/>
      <c r="CU78" s="144"/>
      <c r="CV78" s="144"/>
      <c r="CW78" s="144"/>
      <c r="CX78" s="144"/>
      <c r="CY78" s="144"/>
      <c r="CZ78" s="144"/>
      <c r="DA78" s="144"/>
      <c r="DB78" s="144"/>
      <c r="DC78" s="144"/>
      <c r="DD78" s="144"/>
      <c r="DE78" s="144"/>
      <c r="DF78" s="144"/>
      <c r="DG78" s="144"/>
      <c r="DH78" s="144"/>
      <c r="DI78" s="144"/>
      <c r="DJ78" s="144"/>
      <c r="DK78" s="144"/>
      <c r="DL78" s="144"/>
      <c r="DM78" s="144"/>
      <c r="DN78" s="144"/>
      <c r="DO78" s="144"/>
      <c r="DP78" s="144"/>
      <c r="DQ78" s="144"/>
      <c r="DR78" s="144"/>
      <c r="DS78" s="144"/>
      <c r="DT78" s="144"/>
      <c r="DU78" s="144"/>
      <c r="DV78" s="144"/>
      <c r="DW78" s="144"/>
      <c r="DX78" s="144"/>
      <c r="DY78" s="144"/>
      <c r="DZ78" s="144"/>
      <c r="EA78" s="144"/>
      <c r="EB78" s="144"/>
      <c r="EC78" s="144"/>
      <c r="ED78" s="144"/>
      <c r="EE78" s="144"/>
      <c r="EF78" s="144"/>
      <c r="EG78" s="144"/>
      <c r="EH78" s="144"/>
      <c r="EI78" s="144"/>
      <c r="EJ78" s="144"/>
      <c r="EK78" s="144"/>
      <c r="EL78" s="144"/>
      <c r="EM78" s="144"/>
      <c r="EN78" s="144"/>
      <c r="EO78" s="144"/>
      <c r="EP78" s="144"/>
      <c r="EQ78" s="144"/>
      <c r="ER78" s="144"/>
      <c r="ES78" s="144"/>
      <c r="ET78" s="144"/>
      <c r="EU78" s="144"/>
      <c r="EV78" s="144"/>
      <c r="EW78" s="144"/>
      <c r="EX78" s="144"/>
      <c r="EY78" s="144"/>
      <c r="EZ78" s="144"/>
      <c r="FA78" s="144"/>
      <c r="FB78" s="144"/>
      <c r="FC78" s="144"/>
      <c r="FD78" s="144"/>
      <c r="FE78" s="144"/>
      <c r="FF78" s="144"/>
      <c r="FG78" s="144"/>
      <c r="FH78" s="144"/>
      <c r="FI78" s="144"/>
      <c r="FJ78" s="144"/>
      <c r="FK78" s="144"/>
      <c r="FL78" s="144"/>
      <c r="FM78" s="144"/>
      <c r="FN78" s="144"/>
      <c r="FO78" s="144"/>
      <c r="FP78" s="144"/>
      <c r="FQ78" s="144"/>
      <c r="FR78" s="144"/>
      <c r="FS78" s="144"/>
      <c r="FT78" s="144"/>
      <c r="FU78" s="144"/>
      <c r="FV78" s="144"/>
      <c r="FW78" s="144"/>
      <c r="FX78" s="144"/>
    </row>
    <row r="79" spans="1:180" s="56" customFormat="1" x14ac:dyDescent="0.2">
      <c r="A79" s="67"/>
      <c r="B79" s="66"/>
      <c r="C79" s="65">
        <f t="shared" si="15"/>
        <v>0</v>
      </c>
      <c r="D79" s="103"/>
      <c r="E79" s="65">
        <f t="shared" si="14"/>
        <v>0</v>
      </c>
      <c r="H79" s="57"/>
      <c r="I79" s="57"/>
      <c r="J79" s="57"/>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144"/>
      <c r="BF79" s="144"/>
      <c r="BG79" s="144"/>
      <c r="BH79" s="144"/>
      <c r="BI79" s="144"/>
      <c r="BJ79" s="144"/>
      <c r="BK79" s="144"/>
      <c r="BL79" s="144"/>
      <c r="BM79" s="144"/>
      <c r="BN79" s="144"/>
      <c r="BO79" s="144"/>
      <c r="BP79" s="144"/>
      <c r="BQ79" s="144"/>
      <c r="BR79" s="144"/>
      <c r="BS79" s="144"/>
      <c r="BT79" s="144"/>
      <c r="BU79" s="144"/>
      <c r="BV79" s="144"/>
      <c r="BW79" s="144"/>
      <c r="BX79" s="144"/>
      <c r="BY79" s="144"/>
      <c r="BZ79" s="144"/>
      <c r="CA79" s="144"/>
      <c r="CB79" s="144"/>
      <c r="CC79" s="144"/>
      <c r="CD79" s="144"/>
      <c r="CE79" s="144"/>
      <c r="CF79" s="144"/>
      <c r="CG79" s="144"/>
      <c r="CH79" s="144"/>
      <c r="CI79" s="144"/>
      <c r="CJ79" s="144"/>
      <c r="CK79" s="144"/>
      <c r="CL79" s="144"/>
      <c r="CM79" s="144"/>
      <c r="CN79" s="144"/>
      <c r="CO79" s="144"/>
      <c r="CP79" s="144"/>
      <c r="CQ79" s="144"/>
      <c r="CR79" s="144"/>
      <c r="CS79" s="144"/>
      <c r="CT79" s="144"/>
      <c r="CU79" s="144"/>
      <c r="CV79" s="144"/>
      <c r="CW79" s="144"/>
      <c r="CX79" s="144"/>
      <c r="CY79" s="144"/>
      <c r="CZ79" s="144"/>
      <c r="DA79" s="144"/>
      <c r="DB79" s="144"/>
      <c r="DC79" s="144"/>
      <c r="DD79" s="144"/>
      <c r="DE79" s="144"/>
      <c r="DF79" s="144"/>
      <c r="DG79" s="144"/>
      <c r="DH79" s="144"/>
      <c r="DI79" s="144"/>
      <c r="DJ79" s="144"/>
      <c r="DK79" s="144"/>
      <c r="DL79" s="144"/>
      <c r="DM79" s="144"/>
      <c r="DN79" s="144"/>
      <c r="DO79" s="144"/>
      <c r="DP79" s="144"/>
      <c r="DQ79" s="144"/>
      <c r="DR79" s="144"/>
      <c r="DS79" s="144"/>
      <c r="DT79" s="144"/>
      <c r="DU79" s="144"/>
      <c r="DV79" s="144"/>
      <c r="DW79" s="144"/>
      <c r="DX79" s="144"/>
      <c r="DY79" s="144"/>
      <c r="DZ79" s="144"/>
      <c r="EA79" s="144"/>
      <c r="EB79" s="144"/>
      <c r="EC79" s="144"/>
      <c r="ED79" s="144"/>
      <c r="EE79" s="144"/>
      <c r="EF79" s="144"/>
      <c r="EG79" s="144"/>
      <c r="EH79" s="144"/>
      <c r="EI79" s="144"/>
      <c r="EJ79" s="144"/>
      <c r="EK79" s="144"/>
      <c r="EL79" s="144"/>
      <c r="EM79" s="144"/>
      <c r="EN79" s="144"/>
      <c r="EO79" s="144"/>
      <c r="EP79" s="144"/>
      <c r="EQ79" s="144"/>
      <c r="ER79" s="144"/>
      <c r="ES79" s="144"/>
      <c r="ET79" s="144"/>
      <c r="EU79" s="144"/>
      <c r="EV79" s="144"/>
      <c r="EW79" s="144"/>
      <c r="EX79" s="144"/>
      <c r="EY79" s="144"/>
      <c r="EZ79" s="144"/>
      <c r="FA79" s="144"/>
      <c r="FB79" s="144"/>
      <c r="FC79" s="144"/>
      <c r="FD79" s="144"/>
      <c r="FE79" s="144"/>
      <c r="FF79" s="144"/>
      <c r="FG79" s="144"/>
      <c r="FH79" s="144"/>
      <c r="FI79" s="144"/>
      <c r="FJ79" s="144"/>
      <c r="FK79" s="144"/>
      <c r="FL79" s="144"/>
      <c r="FM79" s="144"/>
      <c r="FN79" s="144"/>
      <c r="FO79" s="144"/>
      <c r="FP79" s="144"/>
      <c r="FQ79" s="144"/>
      <c r="FR79" s="144"/>
      <c r="FS79" s="144"/>
      <c r="FT79" s="144"/>
      <c r="FU79" s="144"/>
      <c r="FV79" s="144"/>
      <c r="FW79" s="144"/>
      <c r="FX79" s="144"/>
    </row>
    <row r="80" spans="1:180" s="56" customFormat="1" x14ac:dyDescent="0.2">
      <c r="A80" s="67"/>
      <c r="B80" s="66"/>
      <c r="C80" s="65">
        <f t="shared" si="15"/>
        <v>0</v>
      </c>
      <c r="D80" s="93"/>
      <c r="E80" s="65">
        <f t="shared" si="14"/>
        <v>0</v>
      </c>
      <c r="H80" s="57"/>
      <c r="I80" s="57"/>
      <c r="J80" s="57"/>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144"/>
      <c r="BF80" s="144"/>
      <c r="BG80" s="144"/>
      <c r="BH80" s="144"/>
      <c r="BI80" s="144"/>
      <c r="BJ80" s="144"/>
      <c r="BK80" s="144"/>
      <c r="BL80" s="144"/>
      <c r="BM80" s="144"/>
      <c r="BN80" s="144"/>
      <c r="BO80" s="144"/>
      <c r="BP80" s="144"/>
      <c r="BQ80" s="144"/>
      <c r="BR80" s="144"/>
      <c r="BS80" s="144"/>
      <c r="BT80" s="144"/>
      <c r="BU80" s="144"/>
      <c r="BV80" s="144"/>
      <c r="BW80" s="144"/>
      <c r="BX80" s="144"/>
      <c r="BY80" s="144"/>
      <c r="BZ80" s="144"/>
      <c r="CA80" s="144"/>
      <c r="CB80" s="144"/>
      <c r="CC80" s="144"/>
      <c r="CD80" s="144"/>
      <c r="CE80" s="144"/>
      <c r="CF80" s="144"/>
      <c r="CG80" s="144"/>
      <c r="CH80" s="144"/>
      <c r="CI80" s="144"/>
      <c r="CJ80" s="144"/>
      <c r="CK80" s="144"/>
      <c r="CL80" s="144"/>
      <c r="CM80" s="144"/>
      <c r="CN80" s="144"/>
      <c r="CO80" s="144"/>
      <c r="CP80" s="144"/>
      <c r="CQ80" s="144"/>
      <c r="CR80" s="144"/>
      <c r="CS80" s="144"/>
      <c r="CT80" s="144"/>
      <c r="CU80" s="144"/>
      <c r="CV80" s="144"/>
      <c r="CW80" s="144"/>
      <c r="CX80" s="144"/>
      <c r="CY80" s="144"/>
      <c r="CZ80" s="144"/>
      <c r="DA80" s="144"/>
      <c r="DB80" s="144"/>
      <c r="DC80" s="144"/>
      <c r="DD80" s="144"/>
      <c r="DE80" s="144"/>
      <c r="DF80" s="144"/>
      <c r="DG80" s="144"/>
      <c r="DH80" s="144"/>
      <c r="DI80" s="144"/>
      <c r="DJ80" s="144"/>
      <c r="DK80" s="144"/>
      <c r="DL80" s="144"/>
      <c r="DM80" s="144"/>
      <c r="DN80" s="144"/>
      <c r="DO80" s="144"/>
      <c r="DP80" s="144"/>
      <c r="DQ80" s="144"/>
      <c r="DR80" s="144"/>
      <c r="DS80" s="144"/>
      <c r="DT80" s="144"/>
      <c r="DU80" s="144"/>
      <c r="DV80" s="144"/>
      <c r="DW80" s="144"/>
      <c r="DX80" s="144"/>
      <c r="DY80" s="144"/>
      <c r="DZ80" s="144"/>
      <c r="EA80" s="144"/>
      <c r="EB80" s="144"/>
      <c r="EC80" s="144"/>
      <c r="ED80" s="144"/>
      <c r="EE80" s="144"/>
      <c r="EF80" s="144"/>
      <c r="EG80" s="144"/>
      <c r="EH80" s="144"/>
      <c r="EI80" s="144"/>
      <c r="EJ80" s="144"/>
      <c r="EK80" s="144"/>
      <c r="EL80" s="144"/>
      <c r="EM80" s="144"/>
      <c r="EN80" s="144"/>
      <c r="EO80" s="144"/>
      <c r="EP80" s="144"/>
      <c r="EQ80" s="144"/>
      <c r="ER80" s="144"/>
      <c r="ES80" s="144"/>
      <c r="ET80" s="144"/>
      <c r="EU80" s="144"/>
      <c r="EV80" s="144"/>
      <c r="EW80" s="144"/>
      <c r="EX80" s="144"/>
      <c r="EY80" s="144"/>
      <c r="EZ80" s="144"/>
      <c r="FA80" s="144"/>
      <c r="FB80" s="144"/>
      <c r="FC80" s="144"/>
      <c r="FD80" s="144"/>
      <c r="FE80" s="144"/>
      <c r="FF80" s="144"/>
      <c r="FG80" s="144"/>
      <c r="FH80" s="144"/>
      <c r="FI80" s="144"/>
      <c r="FJ80" s="144"/>
      <c r="FK80" s="144"/>
      <c r="FL80" s="144"/>
      <c r="FM80" s="144"/>
      <c r="FN80" s="144"/>
      <c r="FO80" s="144"/>
      <c r="FP80" s="144"/>
      <c r="FQ80" s="144"/>
      <c r="FR80" s="144"/>
      <c r="FS80" s="144"/>
      <c r="FT80" s="144"/>
      <c r="FU80" s="144"/>
      <c r="FV80" s="144"/>
      <c r="FW80" s="144"/>
      <c r="FX80" s="144"/>
    </row>
    <row r="81" spans="1:180" s="56" customFormat="1" x14ac:dyDescent="0.2">
      <c r="A81" s="67"/>
      <c r="B81" s="66"/>
      <c r="C81" s="101">
        <f t="shared" si="15"/>
        <v>0</v>
      </c>
      <c r="D81" s="37"/>
      <c r="E81" s="101">
        <f t="shared" si="14"/>
        <v>0</v>
      </c>
      <c r="H81" s="57"/>
      <c r="I81" s="57"/>
      <c r="J81" s="57"/>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c r="AX81" s="144"/>
      <c r="AY81" s="144"/>
      <c r="AZ81" s="144"/>
      <c r="BA81" s="144"/>
      <c r="BB81" s="144"/>
      <c r="BC81" s="144"/>
      <c r="BD81" s="144"/>
      <c r="BE81" s="144"/>
      <c r="BF81" s="144"/>
      <c r="BG81" s="144"/>
      <c r="BH81" s="144"/>
      <c r="BI81" s="144"/>
      <c r="BJ81" s="144"/>
      <c r="BK81" s="144"/>
      <c r="BL81" s="144"/>
      <c r="BM81" s="144"/>
      <c r="BN81" s="144"/>
      <c r="BO81" s="144"/>
      <c r="BP81" s="144"/>
      <c r="BQ81" s="144"/>
      <c r="BR81" s="144"/>
      <c r="BS81" s="144"/>
      <c r="BT81" s="144"/>
      <c r="BU81" s="144"/>
      <c r="BV81" s="144"/>
      <c r="BW81" s="144"/>
      <c r="BX81" s="144"/>
      <c r="BY81" s="144"/>
      <c r="BZ81" s="144"/>
      <c r="CA81" s="144"/>
      <c r="CB81" s="144"/>
      <c r="CC81" s="144"/>
      <c r="CD81" s="144"/>
      <c r="CE81" s="144"/>
      <c r="CF81" s="144"/>
      <c r="CG81" s="144"/>
      <c r="CH81" s="144"/>
      <c r="CI81" s="144"/>
      <c r="CJ81" s="144"/>
      <c r="CK81" s="144"/>
      <c r="CL81" s="144"/>
      <c r="CM81" s="144"/>
      <c r="CN81" s="144"/>
      <c r="CO81" s="144"/>
      <c r="CP81" s="144"/>
      <c r="CQ81" s="144"/>
      <c r="CR81" s="144"/>
      <c r="CS81" s="144"/>
      <c r="CT81" s="144"/>
      <c r="CU81" s="144"/>
      <c r="CV81" s="144"/>
      <c r="CW81" s="144"/>
      <c r="CX81" s="144"/>
      <c r="CY81" s="144"/>
      <c r="CZ81" s="144"/>
      <c r="DA81" s="144"/>
      <c r="DB81" s="144"/>
      <c r="DC81" s="144"/>
      <c r="DD81" s="144"/>
      <c r="DE81" s="144"/>
      <c r="DF81" s="144"/>
      <c r="DG81" s="144"/>
      <c r="DH81" s="144"/>
      <c r="DI81" s="144"/>
      <c r="DJ81" s="144"/>
      <c r="DK81" s="144"/>
      <c r="DL81" s="144"/>
      <c r="DM81" s="144"/>
      <c r="DN81" s="144"/>
      <c r="DO81" s="144"/>
      <c r="DP81" s="144"/>
      <c r="DQ81" s="144"/>
      <c r="DR81" s="144"/>
      <c r="DS81" s="144"/>
      <c r="DT81" s="144"/>
      <c r="DU81" s="144"/>
      <c r="DV81" s="144"/>
      <c r="DW81" s="144"/>
      <c r="DX81" s="144"/>
      <c r="DY81" s="144"/>
      <c r="DZ81" s="144"/>
      <c r="EA81" s="144"/>
      <c r="EB81" s="144"/>
      <c r="EC81" s="144"/>
      <c r="ED81" s="144"/>
      <c r="EE81" s="144"/>
      <c r="EF81" s="144"/>
      <c r="EG81" s="144"/>
      <c r="EH81" s="144"/>
      <c r="EI81" s="144"/>
      <c r="EJ81" s="144"/>
      <c r="EK81" s="144"/>
      <c r="EL81" s="144"/>
      <c r="EM81" s="144"/>
      <c r="EN81" s="144"/>
      <c r="EO81" s="144"/>
      <c r="EP81" s="144"/>
      <c r="EQ81" s="144"/>
      <c r="ER81" s="144"/>
      <c r="ES81" s="144"/>
      <c r="ET81" s="144"/>
      <c r="EU81" s="144"/>
      <c r="EV81" s="144"/>
      <c r="EW81" s="144"/>
      <c r="EX81" s="144"/>
      <c r="EY81" s="144"/>
      <c r="EZ81" s="144"/>
      <c r="FA81" s="144"/>
      <c r="FB81" s="144"/>
      <c r="FC81" s="144"/>
      <c r="FD81" s="144"/>
      <c r="FE81" s="144"/>
      <c r="FF81" s="144"/>
      <c r="FG81" s="144"/>
      <c r="FH81" s="144"/>
      <c r="FI81" s="144"/>
      <c r="FJ81" s="144"/>
      <c r="FK81" s="144"/>
      <c r="FL81" s="144"/>
      <c r="FM81" s="144"/>
      <c r="FN81" s="144"/>
      <c r="FO81" s="144"/>
      <c r="FP81" s="144"/>
      <c r="FQ81" s="144"/>
      <c r="FR81" s="144"/>
      <c r="FS81" s="144"/>
      <c r="FT81" s="144"/>
      <c r="FU81" s="144"/>
      <c r="FV81" s="144"/>
      <c r="FW81" s="144"/>
      <c r="FX81" s="144"/>
    </row>
    <row r="82" spans="1:180" s="56" customFormat="1" x14ac:dyDescent="0.2">
      <c r="A82" s="67"/>
      <c r="B82" s="66"/>
      <c r="C82" s="65">
        <f t="shared" si="15"/>
        <v>0</v>
      </c>
      <c r="D82" s="93"/>
      <c r="E82" s="65">
        <f t="shared" si="14"/>
        <v>0</v>
      </c>
      <c r="H82" s="57"/>
      <c r="I82" s="57"/>
      <c r="J82" s="57"/>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c r="BC82" s="144"/>
      <c r="BD82" s="144"/>
      <c r="BE82" s="144"/>
      <c r="BF82" s="144"/>
      <c r="BG82" s="144"/>
      <c r="BH82" s="144"/>
      <c r="BI82" s="144"/>
      <c r="BJ82" s="144"/>
      <c r="BK82" s="144"/>
      <c r="BL82" s="144"/>
      <c r="BM82" s="144"/>
      <c r="BN82" s="144"/>
      <c r="BO82" s="144"/>
      <c r="BP82" s="144"/>
      <c r="BQ82" s="144"/>
      <c r="BR82" s="144"/>
      <c r="BS82" s="144"/>
      <c r="BT82" s="144"/>
      <c r="BU82" s="144"/>
      <c r="BV82" s="144"/>
      <c r="BW82" s="144"/>
      <c r="BX82" s="144"/>
      <c r="BY82" s="144"/>
      <c r="BZ82" s="144"/>
      <c r="CA82" s="144"/>
      <c r="CB82" s="144"/>
      <c r="CC82" s="144"/>
      <c r="CD82" s="144"/>
      <c r="CE82" s="144"/>
      <c r="CF82" s="144"/>
      <c r="CG82" s="144"/>
      <c r="CH82" s="144"/>
      <c r="CI82" s="144"/>
      <c r="CJ82" s="144"/>
      <c r="CK82" s="144"/>
      <c r="CL82" s="144"/>
      <c r="CM82" s="144"/>
      <c r="CN82" s="144"/>
      <c r="CO82" s="144"/>
      <c r="CP82" s="144"/>
      <c r="CQ82" s="144"/>
      <c r="CR82" s="144"/>
      <c r="CS82" s="144"/>
      <c r="CT82" s="144"/>
      <c r="CU82" s="144"/>
      <c r="CV82" s="144"/>
      <c r="CW82" s="144"/>
      <c r="CX82" s="144"/>
      <c r="CY82" s="144"/>
      <c r="CZ82" s="144"/>
      <c r="DA82" s="144"/>
      <c r="DB82" s="144"/>
      <c r="DC82" s="144"/>
      <c r="DD82" s="144"/>
      <c r="DE82" s="144"/>
      <c r="DF82" s="144"/>
      <c r="DG82" s="144"/>
      <c r="DH82" s="144"/>
      <c r="DI82" s="144"/>
      <c r="DJ82" s="144"/>
      <c r="DK82" s="144"/>
      <c r="DL82" s="144"/>
      <c r="DM82" s="144"/>
      <c r="DN82" s="144"/>
      <c r="DO82" s="144"/>
      <c r="DP82" s="144"/>
      <c r="DQ82" s="144"/>
      <c r="DR82" s="144"/>
      <c r="DS82" s="144"/>
      <c r="DT82" s="144"/>
      <c r="DU82" s="144"/>
      <c r="DV82" s="144"/>
      <c r="DW82" s="144"/>
      <c r="DX82" s="144"/>
      <c r="DY82" s="144"/>
      <c r="DZ82" s="144"/>
      <c r="EA82" s="144"/>
      <c r="EB82" s="144"/>
      <c r="EC82" s="144"/>
      <c r="ED82" s="144"/>
      <c r="EE82" s="144"/>
      <c r="EF82" s="144"/>
      <c r="EG82" s="144"/>
      <c r="EH82" s="144"/>
      <c r="EI82" s="144"/>
      <c r="EJ82" s="144"/>
      <c r="EK82" s="144"/>
      <c r="EL82" s="144"/>
      <c r="EM82" s="144"/>
      <c r="EN82" s="144"/>
      <c r="EO82" s="144"/>
      <c r="EP82" s="144"/>
      <c r="EQ82" s="144"/>
      <c r="ER82" s="144"/>
      <c r="ES82" s="144"/>
      <c r="ET82" s="144"/>
      <c r="EU82" s="144"/>
      <c r="EV82" s="144"/>
      <c r="EW82" s="144"/>
      <c r="EX82" s="144"/>
      <c r="EY82" s="144"/>
      <c r="EZ82" s="144"/>
      <c r="FA82" s="144"/>
      <c r="FB82" s="144"/>
      <c r="FC82" s="144"/>
      <c r="FD82" s="144"/>
      <c r="FE82" s="144"/>
      <c r="FF82" s="144"/>
      <c r="FG82" s="144"/>
      <c r="FH82" s="144"/>
      <c r="FI82" s="144"/>
      <c r="FJ82" s="144"/>
      <c r="FK82" s="144"/>
      <c r="FL82" s="144"/>
      <c r="FM82" s="144"/>
      <c r="FN82" s="144"/>
      <c r="FO82" s="144"/>
      <c r="FP82" s="144"/>
      <c r="FQ82" s="144"/>
      <c r="FR82" s="144"/>
      <c r="FS82" s="144"/>
      <c r="FT82" s="144"/>
      <c r="FU82" s="144"/>
      <c r="FV82" s="144"/>
      <c r="FW82" s="144"/>
      <c r="FX82" s="144"/>
    </row>
    <row r="83" spans="1:180" s="56" customFormat="1" x14ac:dyDescent="0.2">
      <c r="A83" s="67"/>
      <c r="B83" s="66"/>
      <c r="C83" s="101">
        <f t="shared" si="15"/>
        <v>0</v>
      </c>
      <c r="D83" s="37"/>
      <c r="E83" s="101">
        <f t="shared" si="14"/>
        <v>0</v>
      </c>
      <c r="H83" s="57"/>
      <c r="I83" s="57"/>
      <c r="J83" s="57"/>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144"/>
      <c r="BC83" s="144"/>
      <c r="BD83" s="144"/>
      <c r="BE83" s="144"/>
      <c r="BF83" s="144"/>
      <c r="BG83" s="144"/>
      <c r="BH83" s="144"/>
      <c r="BI83" s="144"/>
      <c r="BJ83" s="144"/>
      <c r="BK83" s="144"/>
      <c r="BL83" s="144"/>
      <c r="BM83" s="144"/>
      <c r="BN83" s="144"/>
      <c r="BO83" s="144"/>
      <c r="BP83" s="144"/>
      <c r="BQ83" s="144"/>
      <c r="BR83" s="144"/>
      <c r="BS83" s="144"/>
      <c r="BT83" s="144"/>
      <c r="BU83" s="144"/>
      <c r="BV83" s="144"/>
      <c r="BW83" s="144"/>
      <c r="BX83" s="144"/>
      <c r="BY83" s="144"/>
      <c r="BZ83" s="144"/>
      <c r="CA83" s="144"/>
      <c r="CB83" s="144"/>
      <c r="CC83" s="144"/>
      <c r="CD83" s="144"/>
      <c r="CE83" s="144"/>
      <c r="CF83" s="144"/>
      <c r="CG83" s="144"/>
      <c r="CH83" s="144"/>
      <c r="CI83" s="144"/>
      <c r="CJ83" s="144"/>
      <c r="CK83" s="144"/>
      <c r="CL83" s="144"/>
      <c r="CM83" s="144"/>
      <c r="CN83" s="144"/>
      <c r="CO83" s="144"/>
      <c r="CP83" s="144"/>
      <c r="CQ83" s="144"/>
      <c r="CR83" s="144"/>
      <c r="CS83" s="144"/>
      <c r="CT83" s="144"/>
      <c r="CU83" s="144"/>
      <c r="CV83" s="144"/>
      <c r="CW83" s="144"/>
      <c r="CX83" s="144"/>
      <c r="CY83" s="144"/>
      <c r="CZ83" s="144"/>
      <c r="DA83" s="144"/>
      <c r="DB83" s="144"/>
      <c r="DC83" s="144"/>
      <c r="DD83" s="144"/>
      <c r="DE83" s="144"/>
      <c r="DF83" s="144"/>
      <c r="DG83" s="144"/>
      <c r="DH83" s="144"/>
      <c r="DI83" s="144"/>
      <c r="DJ83" s="144"/>
      <c r="DK83" s="144"/>
      <c r="DL83" s="144"/>
      <c r="DM83" s="144"/>
      <c r="DN83" s="144"/>
      <c r="DO83" s="144"/>
      <c r="DP83" s="144"/>
      <c r="DQ83" s="144"/>
      <c r="DR83" s="144"/>
      <c r="DS83" s="144"/>
      <c r="DT83" s="144"/>
      <c r="DU83" s="144"/>
      <c r="DV83" s="144"/>
      <c r="DW83" s="144"/>
      <c r="DX83" s="144"/>
      <c r="DY83" s="144"/>
      <c r="DZ83" s="144"/>
      <c r="EA83" s="144"/>
      <c r="EB83" s="144"/>
      <c r="EC83" s="144"/>
      <c r="ED83" s="144"/>
      <c r="EE83" s="144"/>
      <c r="EF83" s="144"/>
      <c r="EG83" s="144"/>
      <c r="EH83" s="144"/>
      <c r="EI83" s="144"/>
      <c r="EJ83" s="144"/>
      <c r="EK83" s="144"/>
      <c r="EL83" s="144"/>
      <c r="EM83" s="144"/>
      <c r="EN83" s="144"/>
      <c r="EO83" s="144"/>
      <c r="EP83" s="144"/>
      <c r="EQ83" s="144"/>
      <c r="ER83" s="144"/>
      <c r="ES83" s="144"/>
      <c r="ET83" s="144"/>
      <c r="EU83" s="144"/>
      <c r="EV83" s="144"/>
      <c r="EW83" s="144"/>
      <c r="EX83" s="144"/>
      <c r="EY83" s="144"/>
      <c r="EZ83" s="144"/>
      <c r="FA83" s="144"/>
      <c r="FB83" s="144"/>
      <c r="FC83" s="144"/>
      <c r="FD83" s="144"/>
      <c r="FE83" s="144"/>
      <c r="FF83" s="144"/>
      <c r="FG83" s="144"/>
      <c r="FH83" s="144"/>
      <c r="FI83" s="144"/>
      <c r="FJ83" s="144"/>
      <c r="FK83" s="144"/>
      <c r="FL83" s="144"/>
      <c r="FM83" s="144"/>
      <c r="FN83" s="144"/>
      <c r="FO83" s="144"/>
      <c r="FP83" s="144"/>
      <c r="FQ83" s="144"/>
      <c r="FR83" s="144"/>
      <c r="FS83" s="144"/>
      <c r="FT83" s="144"/>
      <c r="FU83" s="144"/>
      <c r="FV83" s="144"/>
      <c r="FW83" s="144"/>
      <c r="FX83" s="144"/>
    </row>
    <row r="84" spans="1:180" s="56" customFormat="1" x14ac:dyDescent="0.2">
      <c r="A84" s="67"/>
      <c r="B84" s="66"/>
      <c r="C84" s="65">
        <f t="shared" si="15"/>
        <v>0</v>
      </c>
      <c r="D84" s="93"/>
      <c r="E84" s="65">
        <f t="shared" si="14"/>
        <v>0</v>
      </c>
      <c r="H84" s="57"/>
      <c r="I84" s="57"/>
      <c r="J84" s="57"/>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144"/>
      <c r="BF84" s="144"/>
      <c r="BG84" s="144"/>
      <c r="BH84" s="144"/>
      <c r="BI84" s="144"/>
      <c r="BJ84" s="144"/>
      <c r="BK84" s="144"/>
      <c r="BL84" s="144"/>
      <c r="BM84" s="144"/>
      <c r="BN84" s="144"/>
      <c r="BO84" s="144"/>
      <c r="BP84" s="144"/>
      <c r="BQ84" s="144"/>
      <c r="BR84" s="144"/>
      <c r="BS84" s="144"/>
      <c r="BT84" s="144"/>
      <c r="BU84" s="144"/>
      <c r="BV84" s="144"/>
      <c r="BW84" s="144"/>
      <c r="BX84" s="144"/>
      <c r="BY84" s="144"/>
      <c r="BZ84" s="144"/>
      <c r="CA84" s="144"/>
      <c r="CB84" s="144"/>
      <c r="CC84" s="144"/>
      <c r="CD84" s="144"/>
      <c r="CE84" s="144"/>
      <c r="CF84" s="144"/>
      <c r="CG84" s="144"/>
      <c r="CH84" s="144"/>
      <c r="CI84" s="144"/>
      <c r="CJ84" s="144"/>
      <c r="CK84" s="144"/>
      <c r="CL84" s="144"/>
      <c r="CM84" s="144"/>
      <c r="CN84" s="144"/>
      <c r="CO84" s="144"/>
      <c r="CP84" s="144"/>
      <c r="CQ84" s="144"/>
      <c r="CR84" s="144"/>
      <c r="CS84" s="144"/>
      <c r="CT84" s="144"/>
      <c r="CU84" s="144"/>
      <c r="CV84" s="144"/>
      <c r="CW84" s="144"/>
      <c r="CX84" s="144"/>
      <c r="CY84" s="144"/>
      <c r="CZ84" s="144"/>
      <c r="DA84" s="144"/>
      <c r="DB84" s="144"/>
      <c r="DC84" s="144"/>
      <c r="DD84" s="144"/>
      <c r="DE84" s="144"/>
      <c r="DF84" s="144"/>
      <c r="DG84" s="144"/>
      <c r="DH84" s="144"/>
      <c r="DI84" s="144"/>
      <c r="DJ84" s="144"/>
      <c r="DK84" s="144"/>
      <c r="DL84" s="144"/>
      <c r="DM84" s="144"/>
      <c r="DN84" s="144"/>
      <c r="DO84" s="144"/>
      <c r="DP84" s="144"/>
      <c r="DQ84" s="144"/>
      <c r="DR84" s="144"/>
      <c r="DS84" s="144"/>
      <c r="DT84" s="144"/>
      <c r="DU84" s="144"/>
      <c r="DV84" s="144"/>
      <c r="DW84" s="144"/>
      <c r="DX84" s="144"/>
      <c r="DY84" s="144"/>
      <c r="DZ84" s="144"/>
      <c r="EA84" s="144"/>
      <c r="EB84" s="144"/>
      <c r="EC84" s="144"/>
      <c r="ED84" s="144"/>
      <c r="EE84" s="144"/>
      <c r="EF84" s="144"/>
      <c r="EG84" s="144"/>
      <c r="EH84" s="144"/>
      <c r="EI84" s="144"/>
      <c r="EJ84" s="144"/>
      <c r="EK84" s="144"/>
      <c r="EL84" s="144"/>
      <c r="EM84" s="144"/>
      <c r="EN84" s="144"/>
      <c r="EO84" s="144"/>
      <c r="EP84" s="144"/>
      <c r="EQ84" s="144"/>
      <c r="ER84" s="144"/>
      <c r="ES84" s="144"/>
      <c r="ET84" s="144"/>
      <c r="EU84" s="144"/>
      <c r="EV84" s="144"/>
      <c r="EW84" s="144"/>
      <c r="EX84" s="144"/>
      <c r="EY84" s="144"/>
      <c r="EZ84" s="144"/>
      <c r="FA84" s="144"/>
      <c r="FB84" s="144"/>
      <c r="FC84" s="144"/>
      <c r="FD84" s="144"/>
      <c r="FE84" s="144"/>
      <c r="FF84" s="144"/>
      <c r="FG84" s="144"/>
      <c r="FH84" s="144"/>
      <c r="FI84" s="144"/>
      <c r="FJ84" s="144"/>
      <c r="FK84" s="144"/>
      <c r="FL84" s="144"/>
      <c r="FM84" s="144"/>
      <c r="FN84" s="144"/>
      <c r="FO84" s="144"/>
      <c r="FP84" s="144"/>
      <c r="FQ84" s="144"/>
      <c r="FR84" s="144"/>
      <c r="FS84" s="144"/>
      <c r="FT84" s="144"/>
      <c r="FU84" s="144"/>
      <c r="FV84" s="144"/>
      <c r="FW84" s="144"/>
      <c r="FX84" s="144"/>
    </row>
    <row r="85" spans="1:180" s="56" customFormat="1" x14ac:dyDescent="0.2">
      <c r="A85" s="67"/>
      <c r="B85" s="66"/>
      <c r="C85" s="101">
        <f t="shared" si="15"/>
        <v>0</v>
      </c>
      <c r="D85" s="37"/>
      <c r="E85" s="101">
        <f t="shared" si="14"/>
        <v>0</v>
      </c>
      <c r="H85" s="57"/>
      <c r="I85" s="57"/>
      <c r="J85" s="57"/>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c r="AX85" s="144"/>
      <c r="AY85" s="144"/>
      <c r="AZ85" s="144"/>
      <c r="BA85" s="144"/>
      <c r="BB85" s="144"/>
      <c r="BC85" s="144"/>
      <c r="BD85" s="144"/>
      <c r="BE85" s="144"/>
      <c r="BF85" s="144"/>
      <c r="BG85" s="144"/>
      <c r="BH85" s="144"/>
      <c r="BI85" s="144"/>
      <c r="BJ85" s="144"/>
      <c r="BK85" s="144"/>
      <c r="BL85" s="144"/>
      <c r="BM85" s="144"/>
      <c r="BN85" s="144"/>
      <c r="BO85" s="144"/>
      <c r="BP85" s="144"/>
      <c r="BQ85" s="144"/>
      <c r="BR85" s="144"/>
      <c r="BS85" s="144"/>
      <c r="BT85" s="144"/>
      <c r="BU85" s="144"/>
      <c r="BV85" s="144"/>
      <c r="BW85" s="144"/>
      <c r="BX85" s="144"/>
      <c r="BY85" s="144"/>
      <c r="BZ85" s="144"/>
      <c r="CA85" s="144"/>
      <c r="CB85" s="144"/>
      <c r="CC85" s="144"/>
      <c r="CD85" s="144"/>
      <c r="CE85" s="144"/>
      <c r="CF85" s="144"/>
      <c r="CG85" s="144"/>
      <c r="CH85" s="144"/>
      <c r="CI85" s="144"/>
      <c r="CJ85" s="144"/>
      <c r="CK85" s="144"/>
      <c r="CL85" s="144"/>
      <c r="CM85" s="144"/>
      <c r="CN85" s="144"/>
      <c r="CO85" s="144"/>
      <c r="CP85" s="144"/>
      <c r="CQ85" s="144"/>
      <c r="CR85" s="144"/>
      <c r="CS85" s="144"/>
      <c r="CT85" s="144"/>
      <c r="CU85" s="144"/>
      <c r="CV85" s="144"/>
      <c r="CW85" s="144"/>
      <c r="CX85" s="144"/>
      <c r="CY85" s="144"/>
      <c r="CZ85" s="144"/>
      <c r="DA85" s="144"/>
      <c r="DB85" s="144"/>
      <c r="DC85" s="144"/>
      <c r="DD85" s="144"/>
      <c r="DE85" s="144"/>
      <c r="DF85" s="144"/>
      <c r="DG85" s="144"/>
      <c r="DH85" s="144"/>
      <c r="DI85" s="144"/>
      <c r="DJ85" s="144"/>
      <c r="DK85" s="144"/>
      <c r="DL85" s="144"/>
      <c r="DM85" s="144"/>
      <c r="DN85" s="144"/>
      <c r="DO85" s="144"/>
      <c r="DP85" s="144"/>
      <c r="DQ85" s="144"/>
      <c r="DR85" s="144"/>
      <c r="DS85" s="144"/>
      <c r="DT85" s="144"/>
      <c r="DU85" s="144"/>
      <c r="DV85" s="144"/>
      <c r="DW85" s="144"/>
      <c r="DX85" s="144"/>
      <c r="DY85" s="144"/>
      <c r="DZ85" s="144"/>
      <c r="EA85" s="144"/>
      <c r="EB85" s="144"/>
      <c r="EC85" s="144"/>
      <c r="ED85" s="144"/>
      <c r="EE85" s="144"/>
      <c r="EF85" s="144"/>
      <c r="EG85" s="144"/>
      <c r="EH85" s="144"/>
      <c r="EI85" s="144"/>
      <c r="EJ85" s="144"/>
      <c r="EK85" s="144"/>
      <c r="EL85" s="144"/>
      <c r="EM85" s="144"/>
      <c r="EN85" s="144"/>
      <c r="EO85" s="144"/>
      <c r="EP85" s="144"/>
      <c r="EQ85" s="144"/>
      <c r="ER85" s="144"/>
      <c r="ES85" s="144"/>
      <c r="ET85" s="144"/>
      <c r="EU85" s="144"/>
      <c r="EV85" s="144"/>
      <c r="EW85" s="144"/>
      <c r="EX85" s="144"/>
      <c r="EY85" s="144"/>
      <c r="EZ85" s="144"/>
      <c r="FA85" s="144"/>
      <c r="FB85" s="144"/>
      <c r="FC85" s="144"/>
      <c r="FD85" s="144"/>
      <c r="FE85" s="144"/>
      <c r="FF85" s="144"/>
      <c r="FG85" s="144"/>
      <c r="FH85" s="144"/>
      <c r="FI85" s="144"/>
      <c r="FJ85" s="144"/>
      <c r="FK85" s="144"/>
      <c r="FL85" s="144"/>
      <c r="FM85" s="144"/>
      <c r="FN85" s="144"/>
      <c r="FO85" s="144"/>
      <c r="FP85" s="144"/>
      <c r="FQ85" s="144"/>
      <c r="FR85" s="144"/>
      <c r="FS85" s="144"/>
      <c r="FT85" s="144"/>
      <c r="FU85" s="144"/>
      <c r="FV85" s="144"/>
      <c r="FW85" s="144"/>
      <c r="FX85" s="144"/>
    </row>
    <row r="86" spans="1:180" s="56" customFormat="1" x14ac:dyDescent="0.2">
      <c r="A86" s="67"/>
      <c r="B86" s="66"/>
      <c r="C86" s="65">
        <f t="shared" si="15"/>
        <v>0</v>
      </c>
      <c r="D86" s="93"/>
      <c r="E86" s="65">
        <f t="shared" si="14"/>
        <v>0</v>
      </c>
      <c r="H86" s="57"/>
      <c r="I86" s="57"/>
      <c r="J86" s="57"/>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44"/>
      <c r="BN86" s="144"/>
      <c r="BO86" s="144"/>
      <c r="BP86" s="144"/>
      <c r="BQ86" s="144"/>
      <c r="BR86" s="144"/>
      <c r="BS86" s="144"/>
      <c r="BT86" s="144"/>
      <c r="BU86" s="144"/>
      <c r="BV86" s="144"/>
      <c r="BW86" s="144"/>
      <c r="BX86" s="144"/>
      <c r="BY86" s="144"/>
      <c r="BZ86" s="144"/>
      <c r="CA86" s="144"/>
      <c r="CB86" s="144"/>
      <c r="CC86" s="144"/>
      <c r="CD86" s="144"/>
      <c r="CE86" s="144"/>
      <c r="CF86" s="144"/>
      <c r="CG86" s="144"/>
      <c r="CH86" s="144"/>
      <c r="CI86" s="144"/>
      <c r="CJ86" s="144"/>
      <c r="CK86" s="144"/>
      <c r="CL86" s="144"/>
      <c r="CM86" s="144"/>
      <c r="CN86" s="144"/>
      <c r="CO86" s="144"/>
      <c r="CP86" s="144"/>
      <c r="CQ86" s="144"/>
      <c r="CR86" s="144"/>
      <c r="CS86" s="144"/>
      <c r="CT86" s="144"/>
      <c r="CU86" s="144"/>
      <c r="CV86" s="144"/>
      <c r="CW86" s="144"/>
      <c r="CX86" s="144"/>
      <c r="CY86" s="144"/>
      <c r="CZ86" s="144"/>
      <c r="DA86" s="144"/>
      <c r="DB86" s="144"/>
      <c r="DC86" s="144"/>
      <c r="DD86" s="144"/>
      <c r="DE86" s="144"/>
      <c r="DF86" s="144"/>
      <c r="DG86" s="144"/>
      <c r="DH86" s="144"/>
      <c r="DI86" s="144"/>
      <c r="DJ86" s="144"/>
      <c r="DK86" s="144"/>
      <c r="DL86" s="144"/>
      <c r="DM86" s="144"/>
      <c r="DN86" s="144"/>
      <c r="DO86" s="144"/>
      <c r="DP86" s="144"/>
      <c r="DQ86" s="144"/>
      <c r="DR86" s="144"/>
      <c r="DS86" s="144"/>
      <c r="DT86" s="144"/>
      <c r="DU86" s="144"/>
      <c r="DV86" s="144"/>
      <c r="DW86" s="144"/>
      <c r="DX86" s="144"/>
      <c r="DY86" s="144"/>
      <c r="DZ86" s="144"/>
      <c r="EA86" s="144"/>
      <c r="EB86" s="144"/>
      <c r="EC86" s="144"/>
      <c r="ED86" s="144"/>
      <c r="EE86" s="144"/>
      <c r="EF86" s="144"/>
      <c r="EG86" s="144"/>
      <c r="EH86" s="144"/>
      <c r="EI86" s="144"/>
      <c r="EJ86" s="144"/>
      <c r="EK86" s="144"/>
      <c r="EL86" s="144"/>
      <c r="EM86" s="144"/>
      <c r="EN86" s="144"/>
      <c r="EO86" s="144"/>
      <c r="EP86" s="144"/>
      <c r="EQ86" s="144"/>
      <c r="ER86" s="144"/>
      <c r="ES86" s="144"/>
      <c r="ET86" s="144"/>
      <c r="EU86" s="144"/>
      <c r="EV86" s="144"/>
      <c r="EW86" s="144"/>
      <c r="EX86" s="144"/>
      <c r="EY86" s="144"/>
      <c r="EZ86" s="144"/>
      <c r="FA86" s="144"/>
      <c r="FB86" s="144"/>
      <c r="FC86" s="144"/>
      <c r="FD86" s="144"/>
      <c r="FE86" s="144"/>
      <c r="FF86" s="144"/>
      <c r="FG86" s="144"/>
      <c r="FH86" s="144"/>
      <c r="FI86" s="144"/>
      <c r="FJ86" s="144"/>
      <c r="FK86" s="144"/>
      <c r="FL86" s="144"/>
      <c r="FM86" s="144"/>
      <c r="FN86" s="144"/>
      <c r="FO86" s="144"/>
      <c r="FP86" s="144"/>
      <c r="FQ86" s="144"/>
      <c r="FR86" s="144"/>
      <c r="FS86" s="144"/>
      <c r="FT86" s="144"/>
      <c r="FU86" s="144"/>
      <c r="FV86" s="144"/>
      <c r="FW86" s="144"/>
      <c r="FX86" s="144"/>
    </row>
    <row r="87" spans="1:180" s="56" customFormat="1" x14ac:dyDescent="0.2">
      <c r="A87" s="67"/>
      <c r="B87" s="66"/>
      <c r="C87" s="65">
        <f t="shared" si="15"/>
        <v>0</v>
      </c>
      <c r="D87" s="93"/>
      <c r="E87" s="65">
        <f t="shared" si="14"/>
        <v>0</v>
      </c>
      <c r="H87" s="57"/>
      <c r="I87" s="57"/>
      <c r="J87" s="57"/>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44"/>
      <c r="BN87" s="144"/>
      <c r="BO87" s="144"/>
      <c r="BP87" s="144"/>
      <c r="BQ87" s="144"/>
      <c r="BR87" s="144"/>
      <c r="BS87" s="144"/>
      <c r="BT87" s="144"/>
      <c r="BU87" s="144"/>
      <c r="BV87" s="144"/>
      <c r="BW87" s="144"/>
      <c r="BX87" s="144"/>
      <c r="BY87" s="144"/>
      <c r="BZ87" s="144"/>
      <c r="CA87" s="144"/>
      <c r="CB87" s="144"/>
      <c r="CC87" s="144"/>
      <c r="CD87" s="144"/>
      <c r="CE87" s="144"/>
      <c r="CF87" s="144"/>
      <c r="CG87" s="144"/>
      <c r="CH87" s="144"/>
      <c r="CI87" s="144"/>
      <c r="CJ87" s="144"/>
      <c r="CK87" s="144"/>
      <c r="CL87" s="144"/>
      <c r="CM87" s="144"/>
      <c r="CN87" s="144"/>
      <c r="CO87" s="144"/>
      <c r="CP87" s="144"/>
      <c r="CQ87" s="144"/>
      <c r="CR87" s="144"/>
      <c r="CS87" s="144"/>
      <c r="CT87" s="144"/>
      <c r="CU87" s="144"/>
      <c r="CV87" s="144"/>
      <c r="CW87" s="144"/>
      <c r="CX87" s="144"/>
      <c r="CY87" s="144"/>
      <c r="CZ87" s="144"/>
      <c r="DA87" s="144"/>
      <c r="DB87" s="144"/>
      <c r="DC87" s="144"/>
      <c r="DD87" s="144"/>
      <c r="DE87" s="144"/>
      <c r="DF87" s="144"/>
      <c r="DG87" s="144"/>
      <c r="DH87" s="144"/>
      <c r="DI87" s="144"/>
      <c r="DJ87" s="144"/>
      <c r="DK87" s="144"/>
      <c r="DL87" s="144"/>
      <c r="DM87" s="144"/>
      <c r="DN87" s="144"/>
      <c r="DO87" s="144"/>
      <c r="DP87" s="144"/>
      <c r="DQ87" s="144"/>
      <c r="DR87" s="144"/>
      <c r="DS87" s="144"/>
      <c r="DT87" s="144"/>
      <c r="DU87" s="144"/>
      <c r="DV87" s="144"/>
      <c r="DW87" s="144"/>
      <c r="DX87" s="144"/>
      <c r="DY87" s="144"/>
      <c r="DZ87" s="144"/>
      <c r="EA87" s="144"/>
      <c r="EB87" s="144"/>
      <c r="EC87" s="144"/>
      <c r="ED87" s="144"/>
      <c r="EE87" s="144"/>
      <c r="EF87" s="144"/>
      <c r="EG87" s="144"/>
      <c r="EH87" s="144"/>
      <c r="EI87" s="144"/>
      <c r="EJ87" s="144"/>
      <c r="EK87" s="144"/>
      <c r="EL87" s="144"/>
      <c r="EM87" s="144"/>
      <c r="EN87" s="144"/>
      <c r="EO87" s="144"/>
      <c r="EP87" s="144"/>
      <c r="EQ87" s="144"/>
      <c r="ER87" s="144"/>
      <c r="ES87" s="144"/>
      <c r="ET87" s="144"/>
      <c r="EU87" s="144"/>
      <c r="EV87" s="144"/>
      <c r="EW87" s="144"/>
      <c r="EX87" s="144"/>
      <c r="EY87" s="144"/>
      <c r="EZ87" s="144"/>
      <c r="FA87" s="144"/>
      <c r="FB87" s="144"/>
      <c r="FC87" s="144"/>
      <c r="FD87" s="144"/>
      <c r="FE87" s="144"/>
      <c r="FF87" s="144"/>
      <c r="FG87" s="144"/>
      <c r="FH87" s="144"/>
      <c r="FI87" s="144"/>
      <c r="FJ87" s="144"/>
      <c r="FK87" s="144"/>
      <c r="FL87" s="144"/>
      <c r="FM87" s="144"/>
      <c r="FN87" s="144"/>
      <c r="FO87" s="144"/>
      <c r="FP87" s="144"/>
      <c r="FQ87" s="144"/>
      <c r="FR87" s="144"/>
      <c r="FS87" s="144"/>
      <c r="FT87" s="144"/>
      <c r="FU87" s="144"/>
      <c r="FV87" s="144"/>
      <c r="FW87" s="144"/>
      <c r="FX87" s="144"/>
    </row>
    <row r="88" spans="1:180" s="56" customFormat="1" x14ac:dyDescent="0.2">
      <c r="A88" s="67"/>
      <c r="B88" s="66"/>
      <c r="C88" s="65">
        <f t="shared" si="15"/>
        <v>0</v>
      </c>
      <c r="D88" s="93"/>
      <c r="E88" s="65">
        <f t="shared" si="14"/>
        <v>0</v>
      </c>
      <c r="H88" s="57"/>
      <c r="I88" s="57"/>
      <c r="J88" s="57"/>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4"/>
      <c r="BB88" s="144"/>
      <c r="BC88" s="144"/>
      <c r="BD88" s="144"/>
      <c r="BE88" s="144"/>
      <c r="BF88" s="144"/>
      <c r="BG88" s="144"/>
      <c r="BH88" s="144"/>
      <c r="BI88" s="144"/>
      <c r="BJ88" s="144"/>
      <c r="BK88" s="144"/>
      <c r="BL88" s="144"/>
      <c r="BM88" s="144"/>
      <c r="BN88" s="144"/>
      <c r="BO88" s="144"/>
      <c r="BP88" s="144"/>
      <c r="BQ88" s="144"/>
      <c r="BR88" s="144"/>
      <c r="BS88" s="144"/>
      <c r="BT88" s="144"/>
      <c r="BU88" s="144"/>
      <c r="BV88" s="144"/>
      <c r="BW88" s="144"/>
      <c r="BX88" s="144"/>
      <c r="BY88" s="144"/>
      <c r="BZ88" s="144"/>
      <c r="CA88" s="144"/>
      <c r="CB88" s="144"/>
      <c r="CC88" s="144"/>
      <c r="CD88" s="144"/>
      <c r="CE88" s="144"/>
      <c r="CF88" s="144"/>
      <c r="CG88" s="144"/>
      <c r="CH88" s="144"/>
      <c r="CI88" s="144"/>
      <c r="CJ88" s="144"/>
      <c r="CK88" s="144"/>
      <c r="CL88" s="144"/>
      <c r="CM88" s="144"/>
      <c r="CN88" s="144"/>
      <c r="CO88" s="144"/>
      <c r="CP88" s="144"/>
      <c r="CQ88" s="144"/>
      <c r="CR88" s="144"/>
      <c r="CS88" s="144"/>
      <c r="CT88" s="144"/>
      <c r="CU88" s="144"/>
      <c r="CV88" s="144"/>
      <c r="CW88" s="144"/>
      <c r="CX88" s="144"/>
      <c r="CY88" s="144"/>
      <c r="CZ88" s="144"/>
      <c r="DA88" s="144"/>
      <c r="DB88" s="144"/>
      <c r="DC88" s="144"/>
      <c r="DD88" s="144"/>
      <c r="DE88" s="144"/>
      <c r="DF88" s="144"/>
      <c r="DG88" s="144"/>
      <c r="DH88" s="144"/>
      <c r="DI88" s="144"/>
      <c r="DJ88" s="144"/>
      <c r="DK88" s="144"/>
      <c r="DL88" s="144"/>
      <c r="DM88" s="144"/>
      <c r="DN88" s="144"/>
      <c r="DO88" s="144"/>
      <c r="DP88" s="144"/>
      <c r="DQ88" s="144"/>
      <c r="DR88" s="144"/>
      <c r="DS88" s="144"/>
      <c r="DT88" s="144"/>
      <c r="DU88" s="144"/>
      <c r="DV88" s="144"/>
      <c r="DW88" s="144"/>
      <c r="DX88" s="144"/>
      <c r="DY88" s="144"/>
      <c r="DZ88" s="144"/>
      <c r="EA88" s="144"/>
      <c r="EB88" s="144"/>
      <c r="EC88" s="144"/>
      <c r="ED88" s="144"/>
      <c r="EE88" s="144"/>
      <c r="EF88" s="144"/>
      <c r="EG88" s="144"/>
      <c r="EH88" s="144"/>
      <c r="EI88" s="144"/>
      <c r="EJ88" s="144"/>
      <c r="EK88" s="144"/>
      <c r="EL88" s="144"/>
      <c r="EM88" s="144"/>
      <c r="EN88" s="144"/>
      <c r="EO88" s="144"/>
      <c r="EP88" s="144"/>
      <c r="EQ88" s="144"/>
      <c r="ER88" s="144"/>
      <c r="ES88" s="144"/>
      <c r="ET88" s="144"/>
      <c r="EU88" s="144"/>
      <c r="EV88" s="144"/>
      <c r="EW88" s="144"/>
      <c r="EX88" s="144"/>
      <c r="EY88" s="144"/>
      <c r="EZ88" s="144"/>
      <c r="FA88" s="144"/>
      <c r="FB88" s="144"/>
      <c r="FC88" s="144"/>
      <c r="FD88" s="144"/>
      <c r="FE88" s="144"/>
      <c r="FF88" s="144"/>
      <c r="FG88" s="144"/>
      <c r="FH88" s="144"/>
      <c r="FI88" s="144"/>
      <c r="FJ88" s="144"/>
      <c r="FK88" s="144"/>
      <c r="FL88" s="144"/>
      <c r="FM88" s="144"/>
      <c r="FN88" s="144"/>
      <c r="FO88" s="144"/>
      <c r="FP88" s="144"/>
      <c r="FQ88" s="144"/>
      <c r="FR88" s="144"/>
      <c r="FS88" s="144"/>
      <c r="FT88" s="144"/>
      <c r="FU88" s="144"/>
      <c r="FV88" s="144"/>
      <c r="FW88" s="144"/>
      <c r="FX88" s="144"/>
    </row>
    <row r="89" spans="1:180" s="56" customFormat="1" x14ac:dyDescent="0.2">
      <c r="A89" s="67"/>
      <c r="B89" s="66"/>
      <c r="C89" s="65">
        <f t="shared" si="15"/>
        <v>0</v>
      </c>
      <c r="D89" s="93"/>
      <c r="E89" s="65">
        <f t="shared" si="14"/>
        <v>0</v>
      </c>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4"/>
      <c r="AR89" s="144"/>
      <c r="AS89" s="144"/>
      <c r="AT89" s="144"/>
      <c r="AU89" s="144"/>
      <c r="AV89" s="144"/>
      <c r="AW89" s="144"/>
      <c r="AX89" s="144"/>
      <c r="AY89" s="144"/>
      <c r="AZ89" s="144"/>
      <c r="BA89" s="144"/>
      <c r="BB89" s="144"/>
      <c r="BC89" s="144"/>
      <c r="BD89" s="144"/>
      <c r="BE89" s="144"/>
      <c r="BF89" s="144"/>
      <c r="BG89" s="144"/>
      <c r="BH89" s="144"/>
      <c r="BI89" s="144"/>
      <c r="BJ89" s="144"/>
      <c r="BK89" s="144"/>
      <c r="BL89" s="144"/>
      <c r="BM89" s="144"/>
      <c r="BN89" s="144"/>
      <c r="BO89" s="144"/>
      <c r="BP89" s="144"/>
      <c r="BQ89" s="144"/>
      <c r="BR89" s="144"/>
      <c r="BS89" s="144"/>
      <c r="BT89" s="144"/>
      <c r="BU89" s="144"/>
      <c r="BV89" s="144"/>
      <c r="BW89" s="144"/>
      <c r="BX89" s="144"/>
      <c r="BY89" s="144"/>
      <c r="BZ89" s="144"/>
      <c r="CA89" s="144"/>
      <c r="CB89" s="144"/>
      <c r="CC89" s="144"/>
      <c r="CD89" s="144"/>
      <c r="CE89" s="144"/>
      <c r="CF89" s="144"/>
      <c r="CG89" s="144"/>
      <c r="CH89" s="144"/>
      <c r="CI89" s="144"/>
      <c r="CJ89" s="144"/>
      <c r="CK89" s="144"/>
      <c r="CL89" s="144"/>
      <c r="CM89" s="144"/>
      <c r="CN89" s="144"/>
      <c r="CO89" s="144"/>
      <c r="CP89" s="144"/>
      <c r="CQ89" s="144"/>
      <c r="CR89" s="144"/>
      <c r="CS89" s="144"/>
      <c r="CT89" s="144"/>
      <c r="CU89" s="144"/>
      <c r="CV89" s="144"/>
      <c r="CW89" s="144"/>
      <c r="CX89" s="144"/>
      <c r="CY89" s="144"/>
      <c r="CZ89" s="144"/>
      <c r="DA89" s="144"/>
      <c r="DB89" s="144"/>
      <c r="DC89" s="144"/>
      <c r="DD89" s="144"/>
      <c r="DE89" s="144"/>
      <c r="DF89" s="144"/>
      <c r="DG89" s="144"/>
      <c r="DH89" s="144"/>
      <c r="DI89" s="144"/>
      <c r="DJ89" s="144"/>
      <c r="DK89" s="144"/>
      <c r="DL89" s="144"/>
      <c r="DM89" s="144"/>
      <c r="DN89" s="144"/>
      <c r="DO89" s="144"/>
      <c r="DP89" s="144"/>
      <c r="DQ89" s="144"/>
      <c r="DR89" s="144"/>
      <c r="DS89" s="144"/>
      <c r="DT89" s="144"/>
      <c r="DU89" s="144"/>
      <c r="DV89" s="144"/>
      <c r="DW89" s="144"/>
      <c r="DX89" s="144"/>
      <c r="DY89" s="144"/>
      <c r="DZ89" s="144"/>
      <c r="EA89" s="144"/>
      <c r="EB89" s="144"/>
      <c r="EC89" s="144"/>
      <c r="ED89" s="144"/>
      <c r="EE89" s="144"/>
      <c r="EF89" s="144"/>
      <c r="EG89" s="144"/>
      <c r="EH89" s="144"/>
      <c r="EI89" s="144"/>
      <c r="EJ89" s="144"/>
      <c r="EK89" s="144"/>
      <c r="EL89" s="144"/>
      <c r="EM89" s="144"/>
      <c r="EN89" s="144"/>
      <c r="EO89" s="144"/>
      <c r="EP89" s="144"/>
      <c r="EQ89" s="144"/>
      <c r="ER89" s="144"/>
      <c r="ES89" s="144"/>
      <c r="ET89" s="144"/>
      <c r="EU89" s="144"/>
      <c r="EV89" s="144"/>
      <c r="EW89" s="144"/>
      <c r="EX89" s="144"/>
      <c r="EY89" s="144"/>
      <c r="EZ89" s="144"/>
      <c r="FA89" s="144"/>
      <c r="FB89" s="144"/>
      <c r="FC89" s="144"/>
      <c r="FD89" s="144"/>
      <c r="FE89" s="144"/>
      <c r="FF89" s="144"/>
      <c r="FG89" s="144"/>
      <c r="FH89" s="144"/>
      <c r="FI89" s="144"/>
      <c r="FJ89" s="144"/>
      <c r="FK89" s="144"/>
      <c r="FL89" s="144"/>
      <c r="FM89" s="144"/>
      <c r="FN89" s="144"/>
      <c r="FO89" s="144"/>
      <c r="FP89" s="144"/>
      <c r="FQ89" s="144"/>
      <c r="FR89" s="144"/>
      <c r="FS89" s="144"/>
      <c r="FT89" s="144"/>
      <c r="FU89" s="144"/>
      <c r="FV89" s="144"/>
      <c r="FW89" s="144"/>
      <c r="FX89" s="144"/>
    </row>
    <row r="90" spans="1:180" s="56" customFormat="1" x14ac:dyDescent="0.2">
      <c r="A90" s="67"/>
      <c r="B90" s="66"/>
      <c r="C90" s="101">
        <f t="shared" si="15"/>
        <v>0</v>
      </c>
      <c r="D90" s="37"/>
      <c r="E90" s="101">
        <f t="shared" si="14"/>
        <v>0</v>
      </c>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4"/>
      <c r="AX90" s="144"/>
      <c r="AY90" s="144"/>
      <c r="AZ90" s="144"/>
      <c r="BA90" s="144"/>
      <c r="BB90" s="144"/>
      <c r="BC90" s="144"/>
      <c r="BD90" s="144"/>
      <c r="BE90" s="144"/>
      <c r="BF90" s="144"/>
      <c r="BG90" s="144"/>
      <c r="BH90" s="144"/>
      <c r="BI90" s="144"/>
      <c r="BJ90" s="144"/>
      <c r="BK90" s="144"/>
      <c r="BL90" s="144"/>
      <c r="BM90" s="144"/>
      <c r="BN90" s="144"/>
      <c r="BO90" s="144"/>
      <c r="BP90" s="144"/>
      <c r="BQ90" s="144"/>
      <c r="BR90" s="144"/>
      <c r="BS90" s="144"/>
      <c r="BT90" s="144"/>
      <c r="BU90" s="144"/>
      <c r="BV90" s="144"/>
      <c r="BW90" s="144"/>
      <c r="BX90" s="144"/>
      <c r="BY90" s="144"/>
      <c r="BZ90" s="144"/>
      <c r="CA90" s="144"/>
      <c r="CB90" s="144"/>
      <c r="CC90" s="144"/>
      <c r="CD90" s="144"/>
      <c r="CE90" s="144"/>
      <c r="CF90" s="144"/>
      <c r="CG90" s="144"/>
      <c r="CH90" s="144"/>
      <c r="CI90" s="144"/>
      <c r="CJ90" s="144"/>
      <c r="CK90" s="144"/>
      <c r="CL90" s="144"/>
      <c r="CM90" s="144"/>
      <c r="CN90" s="144"/>
      <c r="CO90" s="144"/>
      <c r="CP90" s="144"/>
      <c r="CQ90" s="144"/>
      <c r="CR90" s="144"/>
      <c r="CS90" s="144"/>
      <c r="CT90" s="144"/>
      <c r="CU90" s="144"/>
      <c r="CV90" s="144"/>
      <c r="CW90" s="144"/>
      <c r="CX90" s="144"/>
      <c r="CY90" s="144"/>
      <c r="CZ90" s="144"/>
      <c r="DA90" s="144"/>
      <c r="DB90" s="144"/>
      <c r="DC90" s="144"/>
      <c r="DD90" s="144"/>
      <c r="DE90" s="144"/>
      <c r="DF90" s="144"/>
      <c r="DG90" s="144"/>
      <c r="DH90" s="144"/>
      <c r="DI90" s="144"/>
      <c r="DJ90" s="144"/>
      <c r="DK90" s="144"/>
      <c r="DL90" s="144"/>
      <c r="DM90" s="144"/>
      <c r="DN90" s="144"/>
      <c r="DO90" s="144"/>
      <c r="DP90" s="144"/>
      <c r="DQ90" s="144"/>
      <c r="DR90" s="144"/>
      <c r="DS90" s="144"/>
      <c r="DT90" s="144"/>
      <c r="DU90" s="144"/>
      <c r="DV90" s="144"/>
      <c r="DW90" s="144"/>
      <c r="DX90" s="144"/>
      <c r="DY90" s="144"/>
      <c r="DZ90" s="144"/>
      <c r="EA90" s="144"/>
      <c r="EB90" s="144"/>
      <c r="EC90" s="144"/>
      <c r="ED90" s="144"/>
      <c r="EE90" s="144"/>
      <c r="EF90" s="144"/>
      <c r="EG90" s="144"/>
      <c r="EH90" s="144"/>
      <c r="EI90" s="144"/>
      <c r="EJ90" s="144"/>
      <c r="EK90" s="144"/>
      <c r="EL90" s="144"/>
      <c r="EM90" s="144"/>
      <c r="EN90" s="144"/>
      <c r="EO90" s="144"/>
      <c r="EP90" s="144"/>
      <c r="EQ90" s="144"/>
      <c r="ER90" s="144"/>
      <c r="ES90" s="144"/>
      <c r="ET90" s="144"/>
      <c r="EU90" s="144"/>
      <c r="EV90" s="144"/>
      <c r="EW90" s="144"/>
      <c r="EX90" s="144"/>
      <c r="EY90" s="144"/>
      <c r="EZ90" s="144"/>
      <c r="FA90" s="144"/>
      <c r="FB90" s="144"/>
      <c r="FC90" s="144"/>
      <c r="FD90" s="144"/>
      <c r="FE90" s="144"/>
      <c r="FF90" s="144"/>
      <c r="FG90" s="144"/>
      <c r="FH90" s="144"/>
      <c r="FI90" s="144"/>
      <c r="FJ90" s="144"/>
      <c r="FK90" s="144"/>
      <c r="FL90" s="144"/>
      <c r="FM90" s="144"/>
      <c r="FN90" s="144"/>
      <c r="FO90" s="144"/>
      <c r="FP90" s="144"/>
      <c r="FQ90" s="144"/>
      <c r="FR90" s="144"/>
      <c r="FS90" s="144"/>
      <c r="FT90" s="144"/>
      <c r="FU90" s="144"/>
      <c r="FV90" s="144"/>
      <c r="FW90" s="144"/>
      <c r="FX90" s="144"/>
    </row>
    <row r="91" spans="1:180" s="56" customFormat="1" x14ac:dyDescent="0.2">
      <c r="A91" s="67"/>
      <c r="B91" s="66"/>
      <c r="C91" s="65">
        <f t="shared" si="15"/>
        <v>0</v>
      </c>
      <c r="D91" s="93"/>
      <c r="E91" s="65">
        <f t="shared" si="14"/>
        <v>0</v>
      </c>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4"/>
      <c r="AX91" s="144"/>
      <c r="AY91" s="144"/>
      <c r="AZ91" s="144"/>
      <c r="BA91" s="144"/>
      <c r="BB91" s="144"/>
      <c r="BC91" s="144"/>
      <c r="BD91" s="144"/>
      <c r="BE91" s="144"/>
      <c r="BF91" s="144"/>
      <c r="BG91" s="144"/>
      <c r="BH91" s="144"/>
      <c r="BI91" s="144"/>
      <c r="BJ91" s="144"/>
      <c r="BK91" s="144"/>
      <c r="BL91" s="144"/>
      <c r="BM91" s="144"/>
      <c r="BN91" s="144"/>
      <c r="BO91" s="144"/>
      <c r="BP91" s="144"/>
      <c r="BQ91" s="144"/>
      <c r="BR91" s="144"/>
      <c r="BS91" s="144"/>
      <c r="BT91" s="144"/>
      <c r="BU91" s="144"/>
      <c r="BV91" s="144"/>
      <c r="BW91" s="144"/>
      <c r="BX91" s="144"/>
      <c r="BY91" s="144"/>
      <c r="BZ91" s="144"/>
      <c r="CA91" s="144"/>
      <c r="CB91" s="144"/>
      <c r="CC91" s="144"/>
      <c r="CD91" s="144"/>
      <c r="CE91" s="144"/>
      <c r="CF91" s="144"/>
      <c r="CG91" s="144"/>
      <c r="CH91" s="144"/>
      <c r="CI91" s="144"/>
      <c r="CJ91" s="144"/>
      <c r="CK91" s="144"/>
      <c r="CL91" s="144"/>
      <c r="CM91" s="144"/>
      <c r="CN91" s="144"/>
      <c r="CO91" s="144"/>
      <c r="CP91" s="144"/>
      <c r="CQ91" s="144"/>
      <c r="CR91" s="144"/>
      <c r="CS91" s="144"/>
      <c r="CT91" s="144"/>
      <c r="CU91" s="144"/>
      <c r="CV91" s="144"/>
      <c r="CW91" s="144"/>
      <c r="CX91" s="144"/>
      <c r="CY91" s="144"/>
      <c r="CZ91" s="144"/>
      <c r="DA91" s="144"/>
      <c r="DB91" s="144"/>
      <c r="DC91" s="144"/>
      <c r="DD91" s="144"/>
      <c r="DE91" s="144"/>
      <c r="DF91" s="144"/>
      <c r="DG91" s="144"/>
      <c r="DH91" s="144"/>
      <c r="DI91" s="144"/>
      <c r="DJ91" s="144"/>
      <c r="DK91" s="144"/>
      <c r="DL91" s="144"/>
      <c r="DM91" s="144"/>
      <c r="DN91" s="144"/>
      <c r="DO91" s="144"/>
      <c r="DP91" s="144"/>
      <c r="DQ91" s="144"/>
      <c r="DR91" s="144"/>
      <c r="DS91" s="144"/>
      <c r="DT91" s="144"/>
      <c r="DU91" s="144"/>
      <c r="DV91" s="144"/>
      <c r="DW91" s="144"/>
      <c r="DX91" s="144"/>
      <c r="DY91" s="144"/>
      <c r="DZ91" s="144"/>
      <c r="EA91" s="144"/>
      <c r="EB91" s="144"/>
      <c r="EC91" s="144"/>
      <c r="ED91" s="144"/>
      <c r="EE91" s="144"/>
      <c r="EF91" s="144"/>
      <c r="EG91" s="144"/>
      <c r="EH91" s="144"/>
      <c r="EI91" s="144"/>
      <c r="EJ91" s="144"/>
      <c r="EK91" s="144"/>
      <c r="EL91" s="144"/>
      <c r="EM91" s="144"/>
      <c r="EN91" s="144"/>
      <c r="EO91" s="144"/>
      <c r="EP91" s="144"/>
      <c r="EQ91" s="144"/>
      <c r="ER91" s="144"/>
      <c r="ES91" s="144"/>
      <c r="ET91" s="144"/>
      <c r="EU91" s="144"/>
      <c r="EV91" s="144"/>
      <c r="EW91" s="144"/>
      <c r="EX91" s="144"/>
      <c r="EY91" s="144"/>
      <c r="EZ91" s="144"/>
      <c r="FA91" s="144"/>
      <c r="FB91" s="144"/>
      <c r="FC91" s="144"/>
      <c r="FD91" s="144"/>
      <c r="FE91" s="144"/>
      <c r="FF91" s="144"/>
      <c r="FG91" s="144"/>
      <c r="FH91" s="144"/>
      <c r="FI91" s="144"/>
      <c r="FJ91" s="144"/>
      <c r="FK91" s="144"/>
      <c r="FL91" s="144"/>
      <c r="FM91" s="144"/>
      <c r="FN91" s="144"/>
      <c r="FO91" s="144"/>
      <c r="FP91" s="144"/>
      <c r="FQ91" s="144"/>
      <c r="FR91" s="144"/>
      <c r="FS91" s="144"/>
      <c r="FT91" s="144"/>
      <c r="FU91" s="144"/>
      <c r="FV91" s="144"/>
      <c r="FW91" s="144"/>
      <c r="FX91" s="144"/>
    </row>
    <row r="92" spans="1:180" s="56" customFormat="1" x14ac:dyDescent="0.2">
      <c r="A92" s="67"/>
      <c r="B92" s="66"/>
      <c r="C92" s="65">
        <f t="shared" si="15"/>
        <v>0</v>
      </c>
      <c r="D92" s="93"/>
      <c r="E92" s="101">
        <f t="shared" si="14"/>
        <v>0</v>
      </c>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4"/>
      <c r="AL92" s="144"/>
      <c r="AM92" s="144"/>
      <c r="AN92" s="144"/>
      <c r="AO92" s="144"/>
      <c r="AP92" s="144"/>
      <c r="AQ92" s="144"/>
      <c r="AR92" s="144"/>
      <c r="AS92" s="144"/>
      <c r="AT92" s="144"/>
      <c r="AU92" s="144"/>
      <c r="AV92" s="144"/>
      <c r="AW92" s="144"/>
      <c r="AX92" s="144"/>
      <c r="AY92" s="144"/>
      <c r="AZ92" s="144"/>
      <c r="BA92" s="144"/>
      <c r="BB92" s="144"/>
      <c r="BC92" s="144"/>
      <c r="BD92" s="144"/>
      <c r="BE92" s="144"/>
      <c r="BF92" s="144"/>
      <c r="BG92" s="144"/>
      <c r="BH92" s="144"/>
      <c r="BI92" s="144"/>
      <c r="BJ92" s="144"/>
      <c r="BK92" s="144"/>
      <c r="BL92" s="144"/>
      <c r="BM92" s="144"/>
      <c r="BN92" s="144"/>
      <c r="BO92" s="144"/>
      <c r="BP92" s="144"/>
      <c r="BQ92" s="144"/>
      <c r="BR92" s="144"/>
      <c r="BS92" s="144"/>
      <c r="BT92" s="144"/>
      <c r="BU92" s="144"/>
      <c r="BV92" s="144"/>
      <c r="BW92" s="144"/>
      <c r="BX92" s="144"/>
      <c r="BY92" s="144"/>
      <c r="BZ92" s="144"/>
      <c r="CA92" s="144"/>
      <c r="CB92" s="144"/>
      <c r="CC92" s="144"/>
      <c r="CD92" s="144"/>
      <c r="CE92" s="144"/>
      <c r="CF92" s="144"/>
      <c r="CG92" s="144"/>
      <c r="CH92" s="144"/>
      <c r="CI92" s="144"/>
      <c r="CJ92" s="144"/>
      <c r="CK92" s="144"/>
      <c r="CL92" s="144"/>
      <c r="CM92" s="144"/>
      <c r="CN92" s="144"/>
      <c r="CO92" s="144"/>
      <c r="CP92" s="144"/>
      <c r="CQ92" s="144"/>
      <c r="CR92" s="144"/>
      <c r="CS92" s="144"/>
      <c r="CT92" s="144"/>
      <c r="CU92" s="144"/>
      <c r="CV92" s="144"/>
      <c r="CW92" s="144"/>
      <c r="CX92" s="144"/>
      <c r="CY92" s="144"/>
      <c r="CZ92" s="144"/>
      <c r="DA92" s="144"/>
      <c r="DB92" s="144"/>
      <c r="DC92" s="144"/>
      <c r="DD92" s="144"/>
      <c r="DE92" s="144"/>
      <c r="DF92" s="144"/>
      <c r="DG92" s="144"/>
      <c r="DH92" s="144"/>
      <c r="DI92" s="144"/>
      <c r="DJ92" s="144"/>
      <c r="DK92" s="144"/>
      <c r="DL92" s="144"/>
      <c r="DM92" s="144"/>
      <c r="DN92" s="144"/>
      <c r="DO92" s="144"/>
      <c r="DP92" s="144"/>
      <c r="DQ92" s="144"/>
      <c r="DR92" s="144"/>
      <c r="DS92" s="144"/>
      <c r="DT92" s="144"/>
      <c r="DU92" s="144"/>
      <c r="DV92" s="144"/>
      <c r="DW92" s="144"/>
      <c r="DX92" s="144"/>
      <c r="DY92" s="144"/>
      <c r="DZ92" s="144"/>
      <c r="EA92" s="144"/>
      <c r="EB92" s="144"/>
      <c r="EC92" s="144"/>
      <c r="ED92" s="144"/>
      <c r="EE92" s="144"/>
      <c r="EF92" s="144"/>
      <c r="EG92" s="144"/>
      <c r="EH92" s="144"/>
      <c r="EI92" s="144"/>
      <c r="EJ92" s="144"/>
      <c r="EK92" s="144"/>
      <c r="EL92" s="144"/>
      <c r="EM92" s="144"/>
      <c r="EN92" s="144"/>
      <c r="EO92" s="144"/>
      <c r="EP92" s="144"/>
      <c r="EQ92" s="144"/>
      <c r="ER92" s="144"/>
      <c r="ES92" s="144"/>
      <c r="ET92" s="144"/>
      <c r="EU92" s="144"/>
      <c r="EV92" s="144"/>
      <c r="EW92" s="144"/>
      <c r="EX92" s="144"/>
      <c r="EY92" s="144"/>
      <c r="EZ92" s="144"/>
      <c r="FA92" s="144"/>
      <c r="FB92" s="144"/>
      <c r="FC92" s="144"/>
      <c r="FD92" s="144"/>
      <c r="FE92" s="144"/>
      <c r="FF92" s="144"/>
      <c r="FG92" s="144"/>
      <c r="FH92" s="144"/>
      <c r="FI92" s="144"/>
      <c r="FJ92" s="144"/>
      <c r="FK92" s="144"/>
      <c r="FL92" s="144"/>
      <c r="FM92" s="144"/>
      <c r="FN92" s="144"/>
      <c r="FO92" s="144"/>
      <c r="FP92" s="144"/>
      <c r="FQ92" s="144"/>
      <c r="FR92" s="144"/>
      <c r="FS92" s="144"/>
      <c r="FT92" s="144"/>
      <c r="FU92" s="144"/>
      <c r="FV92" s="144"/>
      <c r="FW92" s="144"/>
      <c r="FX92" s="144"/>
    </row>
    <row r="93" spans="1:180" s="56" customFormat="1" x14ac:dyDescent="0.2">
      <c r="A93" s="67"/>
      <c r="B93" s="66"/>
      <c r="C93" s="101">
        <f t="shared" si="15"/>
        <v>0</v>
      </c>
      <c r="D93" s="93"/>
      <c r="E93" s="101">
        <f t="shared" si="14"/>
        <v>0</v>
      </c>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c r="AI93" s="144"/>
      <c r="AJ93" s="144"/>
      <c r="AK93" s="144"/>
      <c r="AL93" s="144"/>
      <c r="AM93" s="144"/>
      <c r="AN93" s="144"/>
      <c r="AO93" s="144"/>
      <c r="AP93" s="144"/>
      <c r="AQ93" s="144"/>
      <c r="AR93" s="144"/>
      <c r="AS93" s="144"/>
      <c r="AT93" s="144"/>
      <c r="AU93" s="144"/>
      <c r="AV93" s="144"/>
      <c r="AW93" s="144"/>
      <c r="AX93" s="144"/>
      <c r="AY93" s="144"/>
      <c r="AZ93" s="144"/>
      <c r="BA93" s="144"/>
      <c r="BB93" s="144"/>
      <c r="BC93" s="144"/>
      <c r="BD93" s="144"/>
      <c r="BE93" s="144"/>
      <c r="BF93" s="144"/>
      <c r="BG93" s="144"/>
      <c r="BH93" s="144"/>
      <c r="BI93" s="144"/>
      <c r="BJ93" s="144"/>
      <c r="BK93" s="144"/>
      <c r="BL93" s="144"/>
      <c r="BM93" s="144"/>
      <c r="BN93" s="144"/>
      <c r="BO93" s="144"/>
      <c r="BP93" s="144"/>
      <c r="BQ93" s="144"/>
      <c r="BR93" s="144"/>
      <c r="BS93" s="144"/>
      <c r="BT93" s="144"/>
      <c r="BU93" s="144"/>
      <c r="BV93" s="144"/>
      <c r="BW93" s="144"/>
      <c r="BX93" s="144"/>
      <c r="BY93" s="144"/>
      <c r="BZ93" s="144"/>
      <c r="CA93" s="144"/>
      <c r="CB93" s="144"/>
      <c r="CC93" s="144"/>
      <c r="CD93" s="144"/>
      <c r="CE93" s="144"/>
      <c r="CF93" s="144"/>
      <c r="CG93" s="144"/>
      <c r="CH93" s="144"/>
      <c r="CI93" s="144"/>
      <c r="CJ93" s="144"/>
      <c r="CK93" s="144"/>
      <c r="CL93" s="144"/>
      <c r="CM93" s="144"/>
      <c r="CN93" s="144"/>
      <c r="CO93" s="144"/>
      <c r="CP93" s="144"/>
      <c r="CQ93" s="144"/>
      <c r="CR93" s="144"/>
      <c r="CS93" s="144"/>
      <c r="CT93" s="144"/>
      <c r="CU93" s="144"/>
      <c r="CV93" s="144"/>
      <c r="CW93" s="144"/>
      <c r="CX93" s="144"/>
      <c r="CY93" s="144"/>
      <c r="CZ93" s="144"/>
      <c r="DA93" s="144"/>
      <c r="DB93" s="144"/>
      <c r="DC93" s="144"/>
      <c r="DD93" s="144"/>
      <c r="DE93" s="144"/>
      <c r="DF93" s="144"/>
      <c r="DG93" s="144"/>
      <c r="DH93" s="144"/>
      <c r="DI93" s="144"/>
      <c r="DJ93" s="144"/>
      <c r="DK93" s="144"/>
      <c r="DL93" s="144"/>
      <c r="DM93" s="144"/>
      <c r="DN93" s="144"/>
      <c r="DO93" s="144"/>
      <c r="DP93" s="144"/>
      <c r="DQ93" s="144"/>
      <c r="DR93" s="144"/>
      <c r="DS93" s="144"/>
      <c r="DT93" s="144"/>
      <c r="DU93" s="144"/>
      <c r="DV93" s="144"/>
      <c r="DW93" s="144"/>
      <c r="DX93" s="144"/>
      <c r="DY93" s="144"/>
      <c r="DZ93" s="144"/>
      <c r="EA93" s="144"/>
      <c r="EB93" s="144"/>
      <c r="EC93" s="144"/>
      <c r="ED93" s="144"/>
      <c r="EE93" s="144"/>
      <c r="EF93" s="144"/>
      <c r="EG93" s="144"/>
      <c r="EH93" s="144"/>
      <c r="EI93" s="144"/>
      <c r="EJ93" s="144"/>
      <c r="EK93" s="144"/>
      <c r="EL93" s="144"/>
      <c r="EM93" s="144"/>
      <c r="EN93" s="144"/>
      <c r="EO93" s="144"/>
      <c r="EP93" s="144"/>
      <c r="EQ93" s="144"/>
      <c r="ER93" s="144"/>
      <c r="ES93" s="144"/>
      <c r="ET93" s="144"/>
      <c r="EU93" s="144"/>
      <c r="EV93" s="144"/>
      <c r="EW93" s="144"/>
      <c r="EX93" s="144"/>
      <c r="EY93" s="144"/>
      <c r="EZ93" s="144"/>
      <c r="FA93" s="144"/>
      <c r="FB93" s="144"/>
      <c r="FC93" s="144"/>
      <c r="FD93" s="144"/>
      <c r="FE93" s="144"/>
      <c r="FF93" s="144"/>
      <c r="FG93" s="144"/>
      <c r="FH93" s="144"/>
      <c r="FI93" s="144"/>
      <c r="FJ93" s="144"/>
      <c r="FK93" s="144"/>
      <c r="FL93" s="144"/>
      <c r="FM93" s="144"/>
      <c r="FN93" s="144"/>
      <c r="FO93" s="144"/>
      <c r="FP93" s="144"/>
      <c r="FQ93" s="144"/>
      <c r="FR93" s="144"/>
      <c r="FS93" s="144"/>
      <c r="FT93" s="144"/>
      <c r="FU93" s="144"/>
      <c r="FV93" s="144"/>
      <c r="FW93" s="144"/>
      <c r="FX93" s="144"/>
    </row>
    <row r="94" spans="1:180" s="56" customFormat="1" x14ac:dyDescent="0.2">
      <c r="A94" s="67"/>
      <c r="B94" s="66"/>
      <c r="C94" s="65">
        <f t="shared" si="15"/>
        <v>0</v>
      </c>
      <c r="D94" s="93"/>
      <c r="E94" s="101">
        <f t="shared" si="14"/>
        <v>0</v>
      </c>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c r="AX94" s="144"/>
      <c r="AY94" s="144"/>
      <c r="AZ94" s="144"/>
      <c r="BA94" s="144"/>
      <c r="BB94" s="144"/>
      <c r="BC94" s="144"/>
      <c r="BD94" s="144"/>
      <c r="BE94" s="144"/>
      <c r="BF94" s="144"/>
      <c r="BG94" s="144"/>
      <c r="BH94" s="144"/>
      <c r="BI94" s="144"/>
      <c r="BJ94" s="144"/>
      <c r="BK94" s="144"/>
      <c r="BL94" s="144"/>
      <c r="BM94" s="144"/>
      <c r="BN94" s="144"/>
      <c r="BO94" s="144"/>
      <c r="BP94" s="144"/>
      <c r="BQ94" s="144"/>
      <c r="BR94" s="144"/>
      <c r="BS94" s="144"/>
      <c r="BT94" s="144"/>
      <c r="BU94" s="144"/>
      <c r="BV94" s="144"/>
      <c r="BW94" s="144"/>
      <c r="BX94" s="144"/>
      <c r="BY94" s="144"/>
      <c r="BZ94" s="144"/>
      <c r="CA94" s="144"/>
      <c r="CB94" s="144"/>
      <c r="CC94" s="144"/>
      <c r="CD94" s="144"/>
      <c r="CE94" s="144"/>
      <c r="CF94" s="144"/>
      <c r="CG94" s="144"/>
      <c r="CH94" s="144"/>
      <c r="CI94" s="144"/>
      <c r="CJ94" s="144"/>
      <c r="CK94" s="144"/>
      <c r="CL94" s="144"/>
      <c r="CM94" s="144"/>
      <c r="CN94" s="144"/>
      <c r="CO94" s="144"/>
      <c r="CP94" s="144"/>
      <c r="CQ94" s="144"/>
      <c r="CR94" s="144"/>
      <c r="CS94" s="144"/>
      <c r="CT94" s="144"/>
      <c r="CU94" s="144"/>
      <c r="CV94" s="144"/>
      <c r="CW94" s="144"/>
      <c r="CX94" s="144"/>
      <c r="CY94" s="144"/>
      <c r="CZ94" s="144"/>
      <c r="DA94" s="144"/>
      <c r="DB94" s="144"/>
      <c r="DC94" s="144"/>
      <c r="DD94" s="144"/>
      <c r="DE94" s="144"/>
      <c r="DF94" s="144"/>
      <c r="DG94" s="144"/>
      <c r="DH94" s="144"/>
      <c r="DI94" s="144"/>
      <c r="DJ94" s="144"/>
      <c r="DK94" s="144"/>
      <c r="DL94" s="144"/>
      <c r="DM94" s="144"/>
      <c r="DN94" s="144"/>
      <c r="DO94" s="144"/>
      <c r="DP94" s="144"/>
      <c r="DQ94" s="144"/>
      <c r="DR94" s="144"/>
      <c r="DS94" s="144"/>
      <c r="DT94" s="144"/>
      <c r="DU94" s="144"/>
      <c r="DV94" s="144"/>
      <c r="DW94" s="144"/>
      <c r="DX94" s="144"/>
      <c r="DY94" s="144"/>
      <c r="DZ94" s="144"/>
      <c r="EA94" s="144"/>
      <c r="EB94" s="144"/>
      <c r="EC94" s="144"/>
      <c r="ED94" s="144"/>
      <c r="EE94" s="144"/>
      <c r="EF94" s="144"/>
      <c r="EG94" s="144"/>
      <c r="EH94" s="144"/>
      <c r="EI94" s="144"/>
      <c r="EJ94" s="144"/>
      <c r="EK94" s="144"/>
      <c r="EL94" s="144"/>
      <c r="EM94" s="144"/>
      <c r="EN94" s="144"/>
      <c r="EO94" s="144"/>
      <c r="EP94" s="144"/>
      <c r="EQ94" s="144"/>
      <c r="ER94" s="144"/>
      <c r="ES94" s="144"/>
      <c r="ET94" s="144"/>
      <c r="EU94" s="144"/>
      <c r="EV94" s="144"/>
      <c r="EW94" s="144"/>
      <c r="EX94" s="144"/>
      <c r="EY94" s="144"/>
      <c r="EZ94" s="144"/>
      <c r="FA94" s="144"/>
      <c r="FB94" s="144"/>
      <c r="FC94" s="144"/>
      <c r="FD94" s="144"/>
      <c r="FE94" s="144"/>
      <c r="FF94" s="144"/>
      <c r="FG94" s="144"/>
      <c r="FH94" s="144"/>
      <c r="FI94" s="144"/>
      <c r="FJ94" s="144"/>
      <c r="FK94" s="144"/>
      <c r="FL94" s="144"/>
      <c r="FM94" s="144"/>
      <c r="FN94" s="144"/>
      <c r="FO94" s="144"/>
      <c r="FP94" s="144"/>
      <c r="FQ94" s="144"/>
      <c r="FR94" s="144"/>
      <c r="FS94" s="144"/>
      <c r="FT94" s="144"/>
      <c r="FU94" s="144"/>
      <c r="FV94" s="144"/>
      <c r="FW94" s="144"/>
      <c r="FX94" s="144"/>
    </row>
    <row r="95" spans="1:180" s="56" customFormat="1" x14ac:dyDescent="0.2">
      <c r="A95" s="67"/>
      <c r="B95" s="66"/>
      <c r="C95" s="101">
        <f t="shared" si="15"/>
        <v>0</v>
      </c>
      <c r="D95" s="93"/>
      <c r="E95" s="101">
        <f t="shared" si="14"/>
        <v>0</v>
      </c>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c r="AH95" s="144"/>
      <c r="AI95" s="144"/>
      <c r="AJ95" s="144"/>
      <c r="AK95" s="144"/>
      <c r="AL95" s="144"/>
      <c r="AM95" s="144"/>
      <c r="AN95" s="144"/>
      <c r="AO95" s="144"/>
      <c r="AP95" s="144"/>
      <c r="AQ95" s="144"/>
      <c r="AR95" s="144"/>
      <c r="AS95" s="144"/>
      <c r="AT95" s="144"/>
      <c r="AU95" s="144"/>
      <c r="AV95" s="144"/>
      <c r="AW95" s="144"/>
      <c r="AX95" s="144"/>
      <c r="AY95" s="144"/>
      <c r="AZ95" s="144"/>
      <c r="BA95" s="144"/>
      <c r="BB95" s="144"/>
      <c r="BC95" s="144"/>
      <c r="BD95" s="144"/>
      <c r="BE95" s="144"/>
      <c r="BF95" s="144"/>
      <c r="BG95" s="144"/>
      <c r="BH95" s="144"/>
      <c r="BI95" s="144"/>
      <c r="BJ95" s="144"/>
      <c r="BK95" s="144"/>
      <c r="BL95" s="144"/>
      <c r="BM95" s="144"/>
      <c r="BN95" s="144"/>
      <c r="BO95" s="144"/>
      <c r="BP95" s="144"/>
      <c r="BQ95" s="144"/>
      <c r="BR95" s="144"/>
      <c r="BS95" s="144"/>
      <c r="BT95" s="144"/>
      <c r="BU95" s="144"/>
      <c r="BV95" s="144"/>
      <c r="BW95" s="144"/>
      <c r="BX95" s="144"/>
      <c r="BY95" s="144"/>
      <c r="BZ95" s="144"/>
      <c r="CA95" s="144"/>
      <c r="CB95" s="144"/>
      <c r="CC95" s="144"/>
      <c r="CD95" s="144"/>
      <c r="CE95" s="144"/>
      <c r="CF95" s="144"/>
      <c r="CG95" s="144"/>
      <c r="CH95" s="144"/>
      <c r="CI95" s="144"/>
      <c r="CJ95" s="144"/>
      <c r="CK95" s="144"/>
      <c r="CL95" s="144"/>
      <c r="CM95" s="144"/>
      <c r="CN95" s="144"/>
      <c r="CO95" s="144"/>
      <c r="CP95" s="144"/>
      <c r="CQ95" s="144"/>
      <c r="CR95" s="144"/>
      <c r="CS95" s="144"/>
      <c r="CT95" s="144"/>
      <c r="CU95" s="144"/>
      <c r="CV95" s="144"/>
      <c r="CW95" s="144"/>
      <c r="CX95" s="144"/>
      <c r="CY95" s="144"/>
      <c r="CZ95" s="144"/>
      <c r="DA95" s="144"/>
      <c r="DB95" s="144"/>
      <c r="DC95" s="144"/>
      <c r="DD95" s="144"/>
      <c r="DE95" s="144"/>
      <c r="DF95" s="144"/>
      <c r="DG95" s="144"/>
      <c r="DH95" s="144"/>
      <c r="DI95" s="144"/>
      <c r="DJ95" s="144"/>
      <c r="DK95" s="144"/>
      <c r="DL95" s="144"/>
      <c r="DM95" s="144"/>
      <c r="DN95" s="144"/>
      <c r="DO95" s="144"/>
      <c r="DP95" s="144"/>
      <c r="DQ95" s="144"/>
      <c r="DR95" s="144"/>
      <c r="DS95" s="144"/>
      <c r="DT95" s="144"/>
      <c r="DU95" s="144"/>
      <c r="DV95" s="144"/>
      <c r="DW95" s="144"/>
      <c r="DX95" s="144"/>
      <c r="DY95" s="144"/>
      <c r="DZ95" s="144"/>
      <c r="EA95" s="144"/>
      <c r="EB95" s="144"/>
      <c r="EC95" s="144"/>
      <c r="ED95" s="144"/>
      <c r="EE95" s="144"/>
      <c r="EF95" s="144"/>
      <c r="EG95" s="144"/>
      <c r="EH95" s="144"/>
      <c r="EI95" s="144"/>
      <c r="EJ95" s="144"/>
      <c r="EK95" s="144"/>
      <c r="EL95" s="144"/>
      <c r="EM95" s="144"/>
      <c r="EN95" s="144"/>
      <c r="EO95" s="144"/>
      <c r="EP95" s="144"/>
      <c r="EQ95" s="144"/>
      <c r="ER95" s="144"/>
      <c r="ES95" s="144"/>
      <c r="ET95" s="144"/>
      <c r="EU95" s="144"/>
      <c r="EV95" s="144"/>
      <c r="EW95" s="144"/>
      <c r="EX95" s="144"/>
      <c r="EY95" s="144"/>
      <c r="EZ95" s="144"/>
      <c r="FA95" s="144"/>
      <c r="FB95" s="144"/>
      <c r="FC95" s="144"/>
      <c r="FD95" s="144"/>
      <c r="FE95" s="144"/>
      <c r="FF95" s="144"/>
      <c r="FG95" s="144"/>
      <c r="FH95" s="144"/>
      <c r="FI95" s="144"/>
      <c r="FJ95" s="144"/>
      <c r="FK95" s="144"/>
      <c r="FL95" s="144"/>
      <c r="FM95" s="144"/>
      <c r="FN95" s="144"/>
      <c r="FO95" s="144"/>
      <c r="FP95" s="144"/>
      <c r="FQ95" s="144"/>
      <c r="FR95" s="144"/>
      <c r="FS95" s="144"/>
      <c r="FT95" s="144"/>
      <c r="FU95" s="144"/>
      <c r="FV95" s="144"/>
      <c r="FW95" s="144"/>
      <c r="FX95" s="144"/>
    </row>
    <row r="96" spans="1:180" s="56" customFormat="1" x14ac:dyDescent="0.2">
      <c r="A96" s="67"/>
      <c r="B96" s="66"/>
      <c r="C96" s="65">
        <f t="shared" si="15"/>
        <v>0</v>
      </c>
      <c r="D96" s="93"/>
      <c r="E96" s="101">
        <f t="shared" si="14"/>
        <v>0</v>
      </c>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c r="AX96" s="144"/>
      <c r="AY96" s="144"/>
      <c r="AZ96" s="144"/>
      <c r="BA96" s="144"/>
      <c r="BB96" s="144"/>
      <c r="BC96" s="144"/>
      <c r="BD96" s="144"/>
      <c r="BE96" s="144"/>
      <c r="BF96" s="144"/>
      <c r="BG96" s="144"/>
      <c r="BH96" s="144"/>
      <c r="BI96" s="144"/>
      <c r="BJ96" s="144"/>
      <c r="BK96" s="144"/>
      <c r="BL96" s="144"/>
      <c r="BM96" s="144"/>
      <c r="BN96" s="144"/>
      <c r="BO96" s="144"/>
      <c r="BP96" s="144"/>
      <c r="BQ96" s="144"/>
      <c r="BR96" s="144"/>
      <c r="BS96" s="144"/>
      <c r="BT96" s="144"/>
      <c r="BU96" s="144"/>
      <c r="BV96" s="144"/>
      <c r="BW96" s="144"/>
      <c r="BX96" s="144"/>
      <c r="BY96" s="144"/>
      <c r="BZ96" s="144"/>
      <c r="CA96" s="144"/>
      <c r="CB96" s="144"/>
      <c r="CC96" s="144"/>
      <c r="CD96" s="144"/>
      <c r="CE96" s="144"/>
      <c r="CF96" s="144"/>
      <c r="CG96" s="144"/>
      <c r="CH96" s="144"/>
      <c r="CI96" s="144"/>
      <c r="CJ96" s="144"/>
      <c r="CK96" s="144"/>
      <c r="CL96" s="144"/>
      <c r="CM96" s="144"/>
      <c r="CN96" s="144"/>
      <c r="CO96" s="144"/>
      <c r="CP96" s="144"/>
      <c r="CQ96" s="144"/>
      <c r="CR96" s="144"/>
      <c r="CS96" s="144"/>
      <c r="CT96" s="144"/>
      <c r="CU96" s="144"/>
      <c r="CV96" s="144"/>
      <c r="CW96" s="144"/>
      <c r="CX96" s="144"/>
      <c r="CY96" s="144"/>
      <c r="CZ96" s="144"/>
      <c r="DA96" s="144"/>
      <c r="DB96" s="144"/>
      <c r="DC96" s="144"/>
      <c r="DD96" s="144"/>
      <c r="DE96" s="144"/>
      <c r="DF96" s="144"/>
      <c r="DG96" s="144"/>
      <c r="DH96" s="144"/>
      <c r="DI96" s="144"/>
      <c r="DJ96" s="144"/>
      <c r="DK96" s="144"/>
      <c r="DL96" s="144"/>
      <c r="DM96" s="144"/>
      <c r="DN96" s="144"/>
      <c r="DO96" s="144"/>
      <c r="DP96" s="144"/>
      <c r="DQ96" s="144"/>
      <c r="DR96" s="144"/>
      <c r="DS96" s="144"/>
      <c r="DT96" s="144"/>
      <c r="DU96" s="144"/>
      <c r="DV96" s="144"/>
      <c r="DW96" s="144"/>
      <c r="DX96" s="144"/>
      <c r="DY96" s="144"/>
      <c r="DZ96" s="144"/>
      <c r="EA96" s="144"/>
      <c r="EB96" s="144"/>
      <c r="EC96" s="144"/>
      <c r="ED96" s="144"/>
      <c r="EE96" s="144"/>
      <c r="EF96" s="144"/>
      <c r="EG96" s="144"/>
      <c r="EH96" s="144"/>
      <c r="EI96" s="144"/>
      <c r="EJ96" s="144"/>
      <c r="EK96" s="144"/>
      <c r="EL96" s="144"/>
      <c r="EM96" s="144"/>
      <c r="EN96" s="144"/>
      <c r="EO96" s="144"/>
      <c r="EP96" s="144"/>
      <c r="EQ96" s="144"/>
      <c r="ER96" s="144"/>
      <c r="ES96" s="144"/>
      <c r="ET96" s="144"/>
      <c r="EU96" s="144"/>
      <c r="EV96" s="144"/>
      <c r="EW96" s="144"/>
      <c r="EX96" s="144"/>
      <c r="EY96" s="144"/>
      <c r="EZ96" s="144"/>
      <c r="FA96" s="144"/>
      <c r="FB96" s="144"/>
      <c r="FC96" s="144"/>
      <c r="FD96" s="144"/>
      <c r="FE96" s="144"/>
      <c r="FF96" s="144"/>
      <c r="FG96" s="144"/>
      <c r="FH96" s="144"/>
      <c r="FI96" s="144"/>
      <c r="FJ96" s="144"/>
      <c r="FK96" s="144"/>
      <c r="FL96" s="144"/>
      <c r="FM96" s="144"/>
      <c r="FN96" s="144"/>
      <c r="FO96" s="144"/>
      <c r="FP96" s="144"/>
      <c r="FQ96" s="144"/>
      <c r="FR96" s="144"/>
      <c r="FS96" s="144"/>
      <c r="FT96" s="144"/>
      <c r="FU96" s="144"/>
      <c r="FV96" s="144"/>
      <c r="FW96" s="144"/>
      <c r="FX96" s="144"/>
    </row>
    <row r="97" spans="1:180" s="56" customFormat="1" x14ac:dyDescent="0.2">
      <c r="A97" s="67"/>
      <c r="B97" s="66"/>
      <c r="C97" s="101">
        <f t="shared" si="15"/>
        <v>0</v>
      </c>
      <c r="D97" s="93"/>
      <c r="E97" s="101">
        <f t="shared" ref="E97:E128" si="16">SUM(G97:HQ97)</f>
        <v>0</v>
      </c>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c r="AX97" s="144"/>
      <c r="AY97" s="144"/>
      <c r="AZ97" s="144"/>
      <c r="BA97" s="144"/>
      <c r="BB97" s="144"/>
      <c r="BC97" s="144"/>
      <c r="BD97" s="144"/>
      <c r="BE97" s="144"/>
      <c r="BF97" s="144"/>
      <c r="BG97" s="144"/>
      <c r="BH97" s="144"/>
      <c r="BI97" s="144"/>
      <c r="BJ97" s="144"/>
      <c r="BK97" s="144"/>
      <c r="BL97" s="144"/>
      <c r="BM97" s="144"/>
      <c r="BN97" s="144"/>
      <c r="BO97" s="144"/>
      <c r="BP97" s="144"/>
      <c r="BQ97" s="144"/>
      <c r="BR97" s="144"/>
      <c r="BS97" s="144"/>
      <c r="BT97" s="144"/>
      <c r="BU97" s="144"/>
      <c r="BV97" s="144"/>
      <c r="BW97" s="144"/>
      <c r="BX97" s="144"/>
      <c r="BY97" s="144"/>
      <c r="BZ97" s="144"/>
      <c r="CA97" s="144"/>
      <c r="CB97" s="144"/>
      <c r="CC97" s="144"/>
      <c r="CD97" s="144"/>
      <c r="CE97" s="144"/>
      <c r="CF97" s="144"/>
      <c r="CG97" s="144"/>
      <c r="CH97" s="144"/>
      <c r="CI97" s="144"/>
      <c r="CJ97" s="144"/>
      <c r="CK97" s="144"/>
      <c r="CL97" s="144"/>
      <c r="CM97" s="144"/>
      <c r="CN97" s="144"/>
      <c r="CO97" s="144"/>
      <c r="CP97" s="144"/>
      <c r="CQ97" s="144"/>
      <c r="CR97" s="144"/>
      <c r="CS97" s="144"/>
      <c r="CT97" s="144"/>
      <c r="CU97" s="144"/>
      <c r="CV97" s="144"/>
      <c r="CW97" s="144"/>
      <c r="CX97" s="144"/>
      <c r="CY97" s="144"/>
      <c r="CZ97" s="144"/>
      <c r="DA97" s="144"/>
      <c r="DB97" s="144"/>
      <c r="DC97" s="144"/>
      <c r="DD97" s="144"/>
      <c r="DE97" s="144"/>
      <c r="DF97" s="144"/>
      <c r="DG97" s="144"/>
      <c r="DH97" s="144"/>
      <c r="DI97" s="144"/>
      <c r="DJ97" s="144"/>
      <c r="DK97" s="144"/>
      <c r="DL97" s="144"/>
      <c r="DM97" s="144"/>
      <c r="DN97" s="144"/>
      <c r="DO97" s="144"/>
      <c r="DP97" s="144"/>
      <c r="DQ97" s="144"/>
      <c r="DR97" s="144"/>
      <c r="DS97" s="144"/>
      <c r="DT97" s="144"/>
      <c r="DU97" s="144"/>
      <c r="DV97" s="144"/>
      <c r="DW97" s="144"/>
      <c r="DX97" s="144"/>
      <c r="DY97" s="144"/>
      <c r="DZ97" s="144"/>
      <c r="EA97" s="144"/>
      <c r="EB97" s="144"/>
      <c r="EC97" s="144"/>
      <c r="ED97" s="144"/>
      <c r="EE97" s="144"/>
      <c r="EF97" s="144"/>
      <c r="EG97" s="144"/>
      <c r="EH97" s="144"/>
      <c r="EI97" s="144"/>
      <c r="EJ97" s="144"/>
      <c r="EK97" s="144"/>
      <c r="EL97" s="144"/>
      <c r="EM97" s="144"/>
      <c r="EN97" s="144"/>
      <c r="EO97" s="144"/>
      <c r="EP97" s="144"/>
      <c r="EQ97" s="144"/>
      <c r="ER97" s="144"/>
      <c r="ES97" s="144"/>
      <c r="ET97" s="144"/>
      <c r="EU97" s="144"/>
      <c r="EV97" s="144"/>
      <c r="EW97" s="144"/>
      <c r="EX97" s="144"/>
      <c r="EY97" s="144"/>
      <c r="EZ97" s="144"/>
      <c r="FA97" s="144"/>
      <c r="FB97" s="144"/>
      <c r="FC97" s="144"/>
      <c r="FD97" s="144"/>
      <c r="FE97" s="144"/>
      <c r="FF97" s="144"/>
      <c r="FG97" s="144"/>
      <c r="FH97" s="144"/>
      <c r="FI97" s="144"/>
      <c r="FJ97" s="144"/>
      <c r="FK97" s="144"/>
      <c r="FL97" s="144"/>
      <c r="FM97" s="144"/>
      <c r="FN97" s="144"/>
      <c r="FO97" s="144"/>
      <c r="FP97" s="144"/>
      <c r="FQ97" s="144"/>
      <c r="FR97" s="144"/>
      <c r="FS97" s="144"/>
      <c r="FT97" s="144"/>
      <c r="FU97" s="144"/>
      <c r="FV97" s="144"/>
      <c r="FW97" s="144"/>
      <c r="FX97" s="144"/>
    </row>
    <row r="98" spans="1:180" s="56" customFormat="1" x14ac:dyDescent="0.2">
      <c r="A98" s="67"/>
      <c r="B98" s="66"/>
      <c r="C98" s="65">
        <f t="shared" si="15"/>
        <v>0</v>
      </c>
      <c r="D98" s="93"/>
      <c r="E98" s="65">
        <f t="shared" si="16"/>
        <v>0</v>
      </c>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c r="AI98" s="144"/>
      <c r="AJ98" s="144"/>
      <c r="AK98" s="144"/>
      <c r="AL98" s="144"/>
      <c r="AM98" s="144"/>
      <c r="AN98" s="144"/>
      <c r="AO98" s="144"/>
      <c r="AP98" s="144"/>
      <c r="AQ98" s="144"/>
      <c r="AR98" s="144"/>
      <c r="AS98" s="144"/>
      <c r="AT98" s="144"/>
      <c r="AU98" s="144"/>
      <c r="AV98" s="144"/>
      <c r="AW98" s="144"/>
      <c r="AX98" s="144"/>
      <c r="AY98" s="144"/>
      <c r="AZ98" s="144"/>
      <c r="BA98" s="144"/>
      <c r="BB98" s="144"/>
      <c r="BC98" s="144"/>
      <c r="BD98" s="144"/>
      <c r="BE98" s="144"/>
      <c r="BF98" s="144"/>
      <c r="BG98" s="144"/>
      <c r="BH98" s="144"/>
      <c r="BI98" s="144"/>
      <c r="BJ98" s="144"/>
      <c r="BK98" s="144"/>
      <c r="BL98" s="144"/>
      <c r="BM98" s="144"/>
      <c r="BN98" s="144"/>
      <c r="BO98" s="144"/>
      <c r="BP98" s="144"/>
      <c r="BQ98" s="144"/>
      <c r="BR98" s="144"/>
      <c r="BS98" s="144"/>
      <c r="BT98" s="144"/>
      <c r="BU98" s="144"/>
      <c r="BV98" s="144"/>
      <c r="BW98" s="144"/>
      <c r="BX98" s="144"/>
      <c r="BY98" s="144"/>
      <c r="BZ98" s="144"/>
      <c r="CA98" s="144"/>
      <c r="CB98" s="144"/>
      <c r="CC98" s="144"/>
      <c r="CD98" s="144"/>
      <c r="CE98" s="144"/>
      <c r="CF98" s="144"/>
      <c r="CG98" s="144"/>
      <c r="CH98" s="144"/>
      <c r="CI98" s="144"/>
      <c r="CJ98" s="144"/>
      <c r="CK98" s="144"/>
      <c r="CL98" s="144"/>
      <c r="CM98" s="144"/>
      <c r="CN98" s="144"/>
      <c r="CO98" s="144"/>
      <c r="CP98" s="144"/>
      <c r="CQ98" s="144"/>
      <c r="CR98" s="144"/>
      <c r="CS98" s="144"/>
      <c r="CT98" s="144"/>
      <c r="CU98" s="144"/>
      <c r="CV98" s="144"/>
      <c r="CW98" s="144"/>
      <c r="CX98" s="144"/>
      <c r="CY98" s="144"/>
      <c r="CZ98" s="144"/>
      <c r="DA98" s="144"/>
      <c r="DB98" s="144"/>
      <c r="DC98" s="144"/>
      <c r="DD98" s="144"/>
      <c r="DE98" s="144"/>
      <c r="DF98" s="144"/>
      <c r="DG98" s="144"/>
      <c r="DH98" s="144"/>
      <c r="DI98" s="144"/>
      <c r="DJ98" s="144"/>
      <c r="DK98" s="144"/>
      <c r="DL98" s="144"/>
      <c r="DM98" s="144"/>
      <c r="DN98" s="144"/>
      <c r="DO98" s="144"/>
      <c r="DP98" s="144"/>
      <c r="DQ98" s="144"/>
      <c r="DR98" s="144"/>
      <c r="DS98" s="144"/>
      <c r="DT98" s="144"/>
      <c r="DU98" s="144"/>
      <c r="DV98" s="144"/>
      <c r="DW98" s="144"/>
      <c r="DX98" s="144"/>
      <c r="DY98" s="144"/>
      <c r="DZ98" s="144"/>
      <c r="EA98" s="144"/>
      <c r="EB98" s="144"/>
      <c r="EC98" s="144"/>
      <c r="ED98" s="144"/>
      <c r="EE98" s="144"/>
      <c r="EF98" s="144"/>
      <c r="EG98" s="144"/>
      <c r="EH98" s="144"/>
      <c r="EI98" s="144"/>
      <c r="EJ98" s="144"/>
      <c r="EK98" s="144"/>
      <c r="EL98" s="144"/>
      <c r="EM98" s="144"/>
      <c r="EN98" s="144"/>
      <c r="EO98" s="144"/>
      <c r="EP98" s="144"/>
      <c r="EQ98" s="144"/>
      <c r="ER98" s="144"/>
      <c r="ES98" s="144"/>
      <c r="ET98" s="144"/>
      <c r="EU98" s="144"/>
      <c r="EV98" s="144"/>
      <c r="EW98" s="144"/>
      <c r="EX98" s="144"/>
      <c r="EY98" s="144"/>
      <c r="EZ98" s="144"/>
      <c r="FA98" s="144"/>
      <c r="FB98" s="144"/>
      <c r="FC98" s="144"/>
      <c r="FD98" s="144"/>
      <c r="FE98" s="144"/>
      <c r="FF98" s="144"/>
      <c r="FG98" s="144"/>
      <c r="FH98" s="144"/>
      <c r="FI98" s="144"/>
      <c r="FJ98" s="144"/>
      <c r="FK98" s="144"/>
      <c r="FL98" s="144"/>
      <c r="FM98" s="144"/>
      <c r="FN98" s="144"/>
      <c r="FO98" s="144"/>
      <c r="FP98" s="144"/>
      <c r="FQ98" s="144"/>
      <c r="FR98" s="144"/>
      <c r="FS98" s="144"/>
      <c r="FT98" s="144"/>
      <c r="FU98" s="144"/>
      <c r="FV98" s="144"/>
      <c r="FW98" s="144"/>
      <c r="FX98" s="144"/>
    </row>
    <row r="99" spans="1:180" s="56" customFormat="1" x14ac:dyDescent="0.2">
      <c r="A99" s="67"/>
      <c r="B99" s="66"/>
      <c r="C99" s="65">
        <f t="shared" si="15"/>
        <v>0</v>
      </c>
      <c r="D99" s="93"/>
      <c r="E99" s="65">
        <f t="shared" si="16"/>
        <v>0</v>
      </c>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4"/>
      <c r="BS99" s="144"/>
      <c r="BT99" s="144"/>
      <c r="BU99" s="144"/>
      <c r="BV99" s="144"/>
      <c r="BW99" s="144"/>
      <c r="BX99" s="144"/>
      <c r="BY99" s="144"/>
      <c r="BZ99" s="144"/>
      <c r="CA99" s="144"/>
      <c r="CB99" s="144"/>
      <c r="CC99" s="144"/>
      <c r="CD99" s="144"/>
      <c r="CE99" s="144"/>
      <c r="CF99" s="144"/>
      <c r="CG99" s="144"/>
      <c r="CH99" s="144"/>
      <c r="CI99" s="144"/>
      <c r="CJ99" s="144"/>
      <c r="CK99" s="144"/>
      <c r="CL99" s="144"/>
      <c r="CM99" s="144"/>
      <c r="CN99" s="144"/>
      <c r="CO99" s="144"/>
      <c r="CP99" s="144"/>
      <c r="CQ99" s="144"/>
      <c r="CR99" s="144"/>
      <c r="CS99" s="144"/>
      <c r="CT99" s="144"/>
      <c r="CU99" s="144"/>
      <c r="CV99" s="144"/>
      <c r="CW99" s="144"/>
      <c r="CX99" s="144"/>
      <c r="CY99" s="144"/>
      <c r="CZ99" s="144"/>
      <c r="DA99" s="144"/>
      <c r="DB99" s="144"/>
      <c r="DC99" s="144"/>
      <c r="DD99" s="144"/>
      <c r="DE99" s="144"/>
      <c r="DF99" s="144"/>
      <c r="DG99" s="144"/>
      <c r="DH99" s="144"/>
      <c r="DI99" s="144"/>
      <c r="DJ99" s="144"/>
      <c r="DK99" s="144"/>
      <c r="DL99" s="144"/>
      <c r="DM99" s="144"/>
      <c r="DN99" s="144"/>
      <c r="DO99" s="144"/>
      <c r="DP99" s="144"/>
      <c r="DQ99" s="144"/>
      <c r="DR99" s="144"/>
      <c r="DS99" s="144"/>
      <c r="DT99" s="144"/>
      <c r="DU99" s="144"/>
      <c r="DV99" s="144"/>
      <c r="DW99" s="144"/>
      <c r="DX99" s="144"/>
      <c r="DY99" s="144"/>
      <c r="DZ99" s="144"/>
      <c r="EA99" s="144"/>
      <c r="EB99" s="144"/>
      <c r="EC99" s="144"/>
      <c r="ED99" s="144"/>
      <c r="EE99" s="144"/>
      <c r="EF99" s="144"/>
      <c r="EG99" s="144"/>
      <c r="EH99" s="144"/>
      <c r="EI99" s="144"/>
      <c r="EJ99" s="144"/>
      <c r="EK99" s="144"/>
      <c r="EL99" s="144"/>
      <c r="EM99" s="144"/>
      <c r="EN99" s="144"/>
      <c r="EO99" s="144"/>
      <c r="EP99" s="144"/>
      <c r="EQ99" s="144"/>
      <c r="ER99" s="144"/>
      <c r="ES99" s="144"/>
      <c r="ET99" s="144"/>
      <c r="EU99" s="144"/>
      <c r="EV99" s="144"/>
      <c r="EW99" s="144"/>
      <c r="EX99" s="144"/>
      <c r="EY99" s="144"/>
      <c r="EZ99" s="144"/>
      <c r="FA99" s="144"/>
      <c r="FB99" s="144"/>
      <c r="FC99" s="144"/>
      <c r="FD99" s="144"/>
      <c r="FE99" s="144"/>
      <c r="FF99" s="144"/>
      <c r="FG99" s="144"/>
      <c r="FH99" s="144"/>
      <c r="FI99" s="144"/>
      <c r="FJ99" s="144"/>
      <c r="FK99" s="144"/>
      <c r="FL99" s="144"/>
      <c r="FM99" s="144"/>
      <c r="FN99" s="144"/>
      <c r="FO99" s="144"/>
      <c r="FP99" s="144"/>
      <c r="FQ99" s="144"/>
      <c r="FR99" s="144"/>
      <c r="FS99" s="144"/>
      <c r="FT99" s="144"/>
      <c r="FU99" s="144"/>
      <c r="FV99" s="144"/>
      <c r="FW99" s="144"/>
      <c r="FX99" s="144"/>
    </row>
    <row r="100" spans="1:180" s="56" customFormat="1" x14ac:dyDescent="0.2">
      <c r="A100" s="67"/>
      <c r="B100" s="66"/>
      <c r="C100" s="65">
        <f t="shared" si="15"/>
        <v>0</v>
      </c>
      <c r="D100" s="93"/>
      <c r="E100" s="65">
        <f t="shared" si="16"/>
        <v>0</v>
      </c>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c r="AX100" s="144"/>
      <c r="AY100" s="144"/>
      <c r="AZ100" s="144"/>
      <c r="BA100" s="144"/>
      <c r="BB100" s="144"/>
      <c r="BC100" s="144"/>
      <c r="BD100" s="144"/>
      <c r="BE100" s="144"/>
      <c r="BF100" s="144"/>
      <c r="BG100" s="144"/>
      <c r="BH100" s="144"/>
      <c r="BI100" s="144"/>
      <c r="BJ100" s="144"/>
      <c r="BK100" s="144"/>
      <c r="BL100" s="144"/>
      <c r="BM100" s="144"/>
      <c r="BN100" s="144"/>
      <c r="BO100" s="144"/>
      <c r="BP100" s="144"/>
      <c r="BQ100" s="144"/>
      <c r="BR100" s="144"/>
      <c r="BS100" s="144"/>
      <c r="BT100" s="144"/>
      <c r="BU100" s="144"/>
      <c r="BV100" s="144"/>
      <c r="BW100" s="144"/>
      <c r="BX100" s="144"/>
      <c r="BY100" s="144"/>
      <c r="BZ100" s="144"/>
      <c r="CA100" s="144"/>
      <c r="CB100" s="144"/>
      <c r="CC100" s="144"/>
      <c r="CD100" s="144"/>
      <c r="CE100" s="144"/>
      <c r="CF100" s="144"/>
      <c r="CG100" s="144"/>
      <c r="CH100" s="144"/>
      <c r="CI100" s="144"/>
      <c r="CJ100" s="144"/>
      <c r="CK100" s="144"/>
      <c r="CL100" s="144"/>
      <c r="CM100" s="144"/>
      <c r="CN100" s="144"/>
      <c r="CO100" s="144"/>
      <c r="CP100" s="144"/>
      <c r="CQ100" s="144"/>
      <c r="CR100" s="144"/>
      <c r="CS100" s="144"/>
      <c r="CT100" s="144"/>
      <c r="CU100" s="144"/>
      <c r="CV100" s="144"/>
      <c r="CW100" s="144"/>
      <c r="CX100" s="144"/>
      <c r="CY100" s="144"/>
      <c r="CZ100" s="144"/>
      <c r="DA100" s="144"/>
      <c r="DB100" s="144"/>
      <c r="DC100" s="144"/>
      <c r="DD100" s="144"/>
      <c r="DE100" s="144"/>
      <c r="DF100" s="144"/>
      <c r="DG100" s="144"/>
      <c r="DH100" s="144"/>
      <c r="DI100" s="144"/>
      <c r="DJ100" s="144"/>
      <c r="DK100" s="144"/>
      <c r="DL100" s="144"/>
      <c r="DM100" s="144"/>
      <c r="DN100" s="144"/>
      <c r="DO100" s="144"/>
      <c r="DP100" s="144"/>
      <c r="DQ100" s="144"/>
      <c r="DR100" s="144"/>
      <c r="DS100" s="144"/>
      <c r="DT100" s="144"/>
      <c r="DU100" s="144"/>
      <c r="DV100" s="144"/>
      <c r="DW100" s="144"/>
      <c r="DX100" s="144"/>
      <c r="DY100" s="144"/>
      <c r="DZ100" s="144"/>
      <c r="EA100" s="144"/>
      <c r="EB100" s="144"/>
      <c r="EC100" s="144"/>
      <c r="ED100" s="144"/>
      <c r="EE100" s="144"/>
      <c r="EF100" s="144"/>
      <c r="EG100" s="144"/>
      <c r="EH100" s="144"/>
      <c r="EI100" s="144"/>
      <c r="EJ100" s="144"/>
      <c r="EK100" s="144"/>
      <c r="EL100" s="144"/>
      <c r="EM100" s="144"/>
      <c r="EN100" s="144"/>
      <c r="EO100" s="144"/>
      <c r="EP100" s="144"/>
      <c r="EQ100" s="144"/>
      <c r="ER100" s="144"/>
      <c r="ES100" s="144"/>
      <c r="ET100" s="144"/>
      <c r="EU100" s="144"/>
      <c r="EV100" s="144"/>
      <c r="EW100" s="144"/>
      <c r="EX100" s="144"/>
      <c r="EY100" s="144"/>
      <c r="EZ100" s="144"/>
      <c r="FA100" s="144"/>
      <c r="FB100" s="144"/>
      <c r="FC100" s="144"/>
      <c r="FD100" s="144"/>
      <c r="FE100" s="144"/>
      <c r="FF100" s="144"/>
      <c r="FG100" s="144"/>
      <c r="FH100" s="144"/>
      <c r="FI100" s="144"/>
      <c r="FJ100" s="144"/>
      <c r="FK100" s="144"/>
      <c r="FL100" s="144"/>
      <c r="FM100" s="144"/>
      <c r="FN100" s="144"/>
      <c r="FO100" s="144"/>
      <c r="FP100" s="144"/>
      <c r="FQ100" s="144"/>
      <c r="FR100" s="144"/>
      <c r="FS100" s="144"/>
      <c r="FT100" s="144"/>
      <c r="FU100" s="144"/>
      <c r="FV100" s="144"/>
      <c r="FW100" s="144"/>
      <c r="FX100" s="144"/>
    </row>
    <row r="101" spans="1:180" s="56" customFormat="1" x14ac:dyDescent="0.2">
      <c r="A101" s="67"/>
      <c r="B101" s="66"/>
      <c r="C101" s="65">
        <f t="shared" si="15"/>
        <v>0</v>
      </c>
      <c r="D101" s="37"/>
      <c r="E101" s="65">
        <f t="shared" si="16"/>
        <v>0</v>
      </c>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c r="AX101" s="144"/>
      <c r="AY101" s="144"/>
      <c r="AZ101" s="144"/>
      <c r="BA101" s="144"/>
      <c r="BB101" s="144"/>
      <c r="BC101" s="144"/>
      <c r="BD101" s="144"/>
      <c r="BE101" s="144"/>
      <c r="BF101" s="144"/>
      <c r="BG101" s="144"/>
      <c r="BH101" s="144"/>
      <c r="BI101" s="144"/>
      <c r="BJ101" s="144"/>
      <c r="BK101" s="144"/>
      <c r="BL101" s="144"/>
      <c r="BM101" s="144"/>
      <c r="BN101" s="144"/>
      <c r="BO101" s="144"/>
      <c r="BP101" s="144"/>
      <c r="BQ101" s="144"/>
      <c r="BR101" s="144"/>
      <c r="BS101" s="144"/>
      <c r="BT101" s="144"/>
      <c r="BU101" s="144"/>
      <c r="BV101" s="144"/>
      <c r="BW101" s="144"/>
      <c r="BX101" s="144"/>
      <c r="BY101" s="144"/>
      <c r="BZ101" s="144"/>
      <c r="CA101" s="144"/>
      <c r="CB101" s="144"/>
      <c r="CC101" s="144"/>
      <c r="CD101" s="144"/>
      <c r="CE101" s="144"/>
      <c r="CF101" s="144"/>
      <c r="CG101" s="144"/>
      <c r="CH101" s="144"/>
      <c r="CI101" s="144"/>
      <c r="CJ101" s="144"/>
      <c r="CK101" s="144"/>
      <c r="CL101" s="144"/>
      <c r="CM101" s="144"/>
      <c r="CN101" s="144"/>
      <c r="CO101" s="144"/>
      <c r="CP101" s="144"/>
      <c r="CQ101" s="144"/>
      <c r="CR101" s="144"/>
      <c r="CS101" s="144"/>
      <c r="CT101" s="144"/>
      <c r="CU101" s="144"/>
      <c r="CV101" s="144"/>
      <c r="CW101" s="144"/>
      <c r="CX101" s="144"/>
      <c r="CY101" s="144"/>
      <c r="CZ101" s="144"/>
      <c r="DA101" s="144"/>
      <c r="DB101" s="144"/>
      <c r="DC101" s="144"/>
      <c r="DD101" s="144"/>
      <c r="DE101" s="144"/>
      <c r="DF101" s="144"/>
      <c r="DG101" s="144"/>
      <c r="DH101" s="144"/>
      <c r="DI101" s="144"/>
      <c r="DJ101" s="144"/>
      <c r="DK101" s="144"/>
      <c r="DL101" s="144"/>
      <c r="DM101" s="144"/>
      <c r="DN101" s="144"/>
      <c r="DO101" s="144"/>
      <c r="DP101" s="144"/>
      <c r="DQ101" s="144"/>
      <c r="DR101" s="144"/>
      <c r="DS101" s="144"/>
      <c r="DT101" s="144"/>
      <c r="DU101" s="144"/>
      <c r="DV101" s="144"/>
      <c r="DW101" s="144"/>
      <c r="DX101" s="144"/>
      <c r="DY101" s="144"/>
      <c r="DZ101" s="144"/>
      <c r="EA101" s="144"/>
      <c r="EB101" s="144"/>
      <c r="EC101" s="144"/>
      <c r="ED101" s="144"/>
      <c r="EE101" s="144"/>
      <c r="EF101" s="144"/>
      <c r="EG101" s="144"/>
      <c r="EH101" s="144"/>
      <c r="EI101" s="144"/>
      <c r="EJ101" s="144"/>
      <c r="EK101" s="144"/>
      <c r="EL101" s="144"/>
      <c r="EM101" s="144"/>
      <c r="EN101" s="144"/>
      <c r="EO101" s="144"/>
      <c r="EP101" s="144"/>
      <c r="EQ101" s="144"/>
      <c r="ER101" s="144"/>
      <c r="ES101" s="144"/>
      <c r="ET101" s="144"/>
      <c r="EU101" s="144"/>
      <c r="EV101" s="144"/>
      <c r="EW101" s="144"/>
      <c r="EX101" s="144"/>
      <c r="EY101" s="144"/>
      <c r="EZ101" s="144"/>
      <c r="FA101" s="144"/>
      <c r="FB101" s="144"/>
      <c r="FC101" s="144"/>
      <c r="FD101" s="144"/>
      <c r="FE101" s="144"/>
      <c r="FF101" s="144"/>
      <c r="FG101" s="144"/>
      <c r="FH101" s="144"/>
      <c r="FI101" s="144"/>
      <c r="FJ101" s="144"/>
      <c r="FK101" s="144"/>
      <c r="FL101" s="144"/>
      <c r="FM101" s="144"/>
      <c r="FN101" s="144"/>
      <c r="FO101" s="144"/>
      <c r="FP101" s="144"/>
      <c r="FQ101" s="144"/>
      <c r="FR101" s="144"/>
      <c r="FS101" s="144"/>
      <c r="FT101" s="144"/>
      <c r="FU101" s="144"/>
      <c r="FV101" s="144"/>
      <c r="FW101" s="144"/>
      <c r="FX101" s="144"/>
    </row>
    <row r="102" spans="1:180" s="56" customFormat="1" x14ac:dyDescent="0.2">
      <c r="A102" s="67"/>
      <c r="B102" s="66"/>
      <c r="C102" s="65">
        <f t="shared" si="15"/>
        <v>0</v>
      </c>
      <c r="D102" s="37"/>
      <c r="E102" s="65">
        <f t="shared" si="16"/>
        <v>0</v>
      </c>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c r="AX102" s="144"/>
      <c r="AY102" s="144"/>
      <c r="AZ102" s="144"/>
      <c r="BA102" s="144"/>
      <c r="BB102" s="144"/>
      <c r="BC102" s="144"/>
      <c r="BD102" s="144"/>
      <c r="BE102" s="144"/>
      <c r="BF102" s="144"/>
      <c r="BG102" s="144"/>
      <c r="BH102" s="144"/>
      <c r="BI102" s="144"/>
      <c r="BJ102" s="144"/>
      <c r="BK102" s="144"/>
      <c r="BL102" s="144"/>
      <c r="BM102" s="144"/>
      <c r="BN102" s="144"/>
      <c r="BO102" s="144"/>
      <c r="BP102" s="144"/>
      <c r="BQ102" s="144"/>
      <c r="BR102" s="144"/>
      <c r="BS102" s="144"/>
      <c r="BT102" s="144"/>
      <c r="BU102" s="144"/>
      <c r="BV102" s="144"/>
      <c r="BW102" s="144"/>
      <c r="BX102" s="144"/>
      <c r="BY102" s="144"/>
      <c r="BZ102" s="144"/>
      <c r="CA102" s="144"/>
      <c r="CB102" s="144"/>
      <c r="CC102" s="144"/>
      <c r="CD102" s="144"/>
      <c r="CE102" s="144"/>
      <c r="CF102" s="144"/>
      <c r="CG102" s="144"/>
      <c r="CH102" s="144"/>
      <c r="CI102" s="144"/>
      <c r="CJ102" s="144"/>
      <c r="CK102" s="144"/>
      <c r="CL102" s="144"/>
      <c r="CM102" s="144"/>
      <c r="CN102" s="144"/>
      <c r="CO102" s="144"/>
      <c r="CP102" s="144"/>
      <c r="CQ102" s="144"/>
      <c r="CR102" s="144"/>
      <c r="CS102" s="144"/>
      <c r="CT102" s="144"/>
      <c r="CU102" s="144"/>
      <c r="CV102" s="144"/>
      <c r="CW102" s="144"/>
      <c r="CX102" s="144"/>
      <c r="CY102" s="144"/>
      <c r="CZ102" s="144"/>
      <c r="DA102" s="144"/>
      <c r="DB102" s="144"/>
      <c r="DC102" s="144"/>
      <c r="DD102" s="144"/>
      <c r="DE102" s="144"/>
      <c r="DF102" s="144"/>
      <c r="DG102" s="144"/>
      <c r="DH102" s="144"/>
      <c r="DI102" s="144"/>
      <c r="DJ102" s="144"/>
      <c r="DK102" s="144"/>
      <c r="DL102" s="144"/>
      <c r="DM102" s="144"/>
      <c r="DN102" s="144"/>
      <c r="DO102" s="144"/>
      <c r="DP102" s="144"/>
      <c r="DQ102" s="144"/>
      <c r="DR102" s="144"/>
      <c r="DS102" s="144"/>
      <c r="DT102" s="144"/>
      <c r="DU102" s="144"/>
      <c r="DV102" s="144"/>
      <c r="DW102" s="144"/>
      <c r="DX102" s="144"/>
      <c r="DY102" s="144"/>
      <c r="DZ102" s="144"/>
      <c r="EA102" s="144"/>
      <c r="EB102" s="144"/>
      <c r="EC102" s="144"/>
      <c r="ED102" s="144"/>
      <c r="EE102" s="144"/>
      <c r="EF102" s="144"/>
      <c r="EG102" s="144"/>
      <c r="EH102" s="144"/>
      <c r="EI102" s="144"/>
      <c r="EJ102" s="144"/>
      <c r="EK102" s="144"/>
      <c r="EL102" s="144"/>
      <c r="EM102" s="144"/>
      <c r="EN102" s="144"/>
      <c r="EO102" s="144"/>
      <c r="EP102" s="144"/>
      <c r="EQ102" s="144"/>
      <c r="ER102" s="144"/>
      <c r="ES102" s="144"/>
      <c r="ET102" s="144"/>
      <c r="EU102" s="144"/>
      <c r="EV102" s="144"/>
      <c r="EW102" s="144"/>
      <c r="EX102" s="144"/>
      <c r="EY102" s="144"/>
      <c r="EZ102" s="144"/>
      <c r="FA102" s="144"/>
      <c r="FB102" s="144"/>
      <c r="FC102" s="144"/>
      <c r="FD102" s="144"/>
      <c r="FE102" s="144"/>
      <c r="FF102" s="144"/>
      <c r="FG102" s="144"/>
      <c r="FH102" s="144"/>
      <c r="FI102" s="144"/>
      <c r="FJ102" s="144"/>
      <c r="FK102" s="144"/>
      <c r="FL102" s="144"/>
      <c r="FM102" s="144"/>
      <c r="FN102" s="144"/>
      <c r="FO102" s="144"/>
      <c r="FP102" s="144"/>
      <c r="FQ102" s="144"/>
      <c r="FR102" s="144"/>
      <c r="FS102" s="144"/>
      <c r="FT102" s="144"/>
      <c r="FU102" s="144"/>
      <c r="FV102" s="144"/>
      <c r="FW102" s="144"/>
      <c r="FX102" s="144"/>
    </row>
    <row r="103" spans="1:180" s="56" customFormat="1" x14ac:dyDescent="0.2">
      <c r="A103" s="67"/>
      <c r="B103" s="66"/>
      <c r="C103" s="65">
        <f t="shared" si="15"/>
        <v>0</v>
      </c>
      <c r="D103" s="49"/>
      <c r="E103" s="65">
        <f t="shared" si="16"/>
        <v>0</v>
      </c>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4"/>
      <c r="AU103" s="144"/>
      <c r="AV103" s="144"/>
      <c r="AW103" s="144"/>
      <c r="AX103" s="144"/>
      <c r="AY103" s="144"/>
      <c r="AZ103" s="144"/>
      <c r="BA103" s="144"/>
      <c r="BB103" s="144"/>
      <c r="BC103" s="144"/>
      <c r="BD103" s="144"/>
      <c r="BE103" s="144"/>
      <c r="BF103" s="144"/>
      <c r="BG103" s="144"/>
      <c r="BH103" s="144"/>
      <c r="BI103" s="144"/>
      <c r="BJ103" s="144"/>
      <c r="BK103" s="144"/>
      <c r="BL103" s="144"/>
      <c r="BM103" s="144"/>
      <c r="BN103" s="144"/>
      <c r="BO103" s="144"/>
      <c r="BP103" s="144"/>
      <c r="BQ103" s="144"/>
      <c r="BR103" s="144"/>
      <c r="BS103" s="144"/>
      <c r="BT103" s="144"/>
      <c r="BU103" s="144"/>
      <c r="BV103" s="144"/>
      <c r="BW103" s="144"/>
      <c r="BX103" s="144"/>
      <c r="BY103" s="144"/>
      <c r="BZ103" s="144"/>
      <c r="CA103" s="144"/>
      <c r="CB103" s="144"/>
      <c r="CC103" s="144"/>
      <c r="CD103" s="144"/>
      <c r="CE103" s="144"/>
      <c r="CF103" s="144"/>
      <c r="CG103" s="144"/>
      <c r="CH103" s="144"/>
      <c r="CI103" s="144"/>
      <c r="CJ103" s="144"/>
      <c r="CK103" s="144"/>
      <c r="CL103" s="144"/>
      <c r="CM103" s="144"/>
      <c r="CN103" s="144"/>
      <c r="CO103" s="144"/>
      <c r="CP103" s="144"/>
      <c r="CQ103" s="144"/>
      <c r="CR103" s="144"/>
      <c r="CS103" s="144"/>
      <c r="CT103" s="144"/>
      <c r="CU103" s="144"/>
      <c r="CV103" s="144"/>
      <c r="CW103" s="144"/>
      <c r="CX103" s="144"/>
      <c r="CY103" s="144"/>
      <c r="CZ103" s="144"/>
      <c r="DA103" s="144"/>
      <c r="DB103" s="144"/>
      <c r="DC103" s="144"/>
      <c r="DD103" s="144"/>
      <c r="DE103" s="144"/>
      <c r="DF103" s="144"/>
      <c r="DG103" s="144"/>
      <c r="DH103" s="144"/>
      <c r="DI103" s="144"/>
      <c r="DJ103" s="144"/>
      <c r="DK103" s="144"/>
      <c r="DL103" s="144"/>
      <c r="DM103" s="144"/>
      <c r="DN103" s="144"/>
      <c r="DO103" s="144"/>
      <c r="DP103" s="144"/>
      <c r="DQ103" s="144"/>
      <c r="DR103" s="144"/>
      <c r="DS103" s="144"/>
      <c r="DT103" s="144"/>
      <c r="DU103" s="144"/>
      <c r="DV103" s="144"/>
      <c r="DW103" s="144"/>
      <c r="DX103" s="144"/>
      <c r="DY103" s="144"/>
      <c r="DZ103" s="144"/>
      <c r="EA103" s="144"/>
      <c r="EB103" s="144"/>
      <c r="EC103" s="144"/>
      <c r="ED103" s="144"/>
      <c r="EE103" s="144"/>
      <c r="EF103" s="144"/>
      <c r="EG103" s="144"/>
      <c r="EH103" s="144"/>
      <c r="EI103" s="144"/>
      <c r="EJ103" s="144"/>
      <c r="EK103" s="144"/>
      <c r="EL103" s="144"/>
      <c r="EM103" s="144"/>
      <c r="EN103" s="144"/>
      <c r="EO103" s="144"/>
      <c r="EP103" s="144"/>
      <c r="EQ103" s="144"/>
      <c r="ER103" s="144"/>
      <c r="ES103" s="144"/>
      <c r="ET103" s="144"/>
      <c r="EU103" s="144"/>
      <c r="EV103" s="144"/>
      <c r="EW103" s="144"/>
      <c r="EX103" s="144"/>
      <c r="EY103" s="144"/>
      <c r="EZ103" s="144"/>
      <c r="FA103" s="144"/>
      <c r="FB103" s="144"/>
      <c r="FC103" s="144"/>
      <c r="FD103" s="144"/>
      <c r="FE103" s="144"/>
      <c r="FF103" s="144"/>
      <c r="FG103" s="144"/>
      <c r="FH103" s="144"/>
      <c r="FI103" s="144"/>
      <c r="FJ103" s="144"/>
      <c r="FK103" s="144"/>
      <c r="FL103" s="144"/>
      <c r="FM103" s="144"/>
      <c r="FN103" s="144"/>
      <c r="FO103" s="144"/>
      <c r="FP103" s="144"/>
      <c r="FQ103" s="144"/>
      <c r="FR103" s="144"/>
      <c r="FS103" s="144"/>
      <c r="FT103" s="144"/>
      <c r="FU103" s="144"/>
      <c r="FV103" s="144"/>
      <c r="FW103" s="144"/>
      <c r="FX103" s="144"/>
    </row>
    <row r="104" spans="1:180" s="56" customFormat="1" x14ac:dyDescent="0.2">
      <c r="A104" s="67"/>
      <c r="B104" s="66"/>
      <c r="C104" s="65">
        <f t="shared" si="15"/>
        <v>0</v>
      </c>
      <c r="D104" s="49"/>
      <c r="E104" s="65">
        <f t="shared" si="16"/>
        <v>0</v>
      </c>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4"/>
      <c r="AT104" s="144"/>
      <c r="AU104" s="144"/>
      <c r="AV104" s="144"/>
      <c r="AW104" s="144"/>
      <c r="AX104" s="144"/>
      <c r="AY104" s="144"/>
      <c r="AZ104" s="144"/>
      <c r="BA104" s="144"/>
      <c r="BB104" s="144"/>
      <c r="BC104" s="144"/>
      <c r="BD104" s="144"/>
      <c r="BE104" s="144"/>
      <c r="BF104" s="144"/>
      <c r="BG104" s="144"/>
      <c r="BH104" s="144"/>
      <c r="BI104" s="144"/>
      <c r="BJ104" s="144"/>
      <c r="BK104" s="144"/>
      <c r="BL104" s="144"/>
      <c r="BM104" s="144"/>
      <c r="BN104" s="144"/>
      <c r="BO104" s="144"/>
      <c r="BP104" s="144"/>
      <c r="BQ104" s="144"/>
      <c r="BR104" s="144"/>
      <c r="BS104" s="144"/>
      <c r="BT104" s="144"/>
      <c r="BU104" s="144"/>
      <c r="BV104" s="144"/>
      <c r="BW104" s="144"/>
      <c r="BX104" s="144"/>
      <c r="BY104" s="144"/>
      <c r="BZ104" s="144"/>
      <c r="CA104" s="144"/>
      <c r="CB104" s="144"/>
      <c r="CC104" s="144"/>
      <c r="CD104" s="144"/>
      <c r="CE104" s="144"/>
      <c r="CF104" s="144"/>
      <c r="CG104" s="144"/>
      <c r="CH104" s="144"/>
      <c r="CI104" s="144"/>
      <c r="CJ104" s="144"/>
      <c r="CK104" s="144"/>
      <c r="CL104" s="144"/>
      <c r="CM104" s="144"/>
      <c r="CN104" s="144"/>
      <c r="CO104" s="144"/>
      <c r="CP104" s="144"/>
      <c r="CQ104" s="144"/>
      <c r="CR104" s="144"/>
      <c r="CS104" s="144"/>
      <c r="CT104" s="144"/>
      <c r="CU104" s="144"/>
      <c r="CV104" s="144"/>
      <c r="CW104" s="144"/>
      <c r="CX104" s="144"/>
      <c r="CY104" s="144"/>
      <c r="CZ104" s="144"/>
      <c r="DA104" s="144"/>
      <c r="DB104" s="144"/>
      <c r="DC104" s="144"/>
      <c r="DD104" s="144"/>
      <c r="DE104" s="144"/>
      <c r="DF104" s="144"/>
      <c r="DG104" s="144"/>
      <c r="DH104" s="144"/>
      <c r="DI104" s="144"/>
      <c r="DJ104" s="144"/>
      <c r="DK104" s="144"/>
      <c r="DL104" s="144"/>
      <c r="DM104" s="144"/>
      <c r="DN104" s="144"/>
      <c r="DO104" s="144"/>
      <c r="DP104" s="144"/>
      <c r="DQ104" s="144"/>
      <c r="DR104" s="144"/>
      <c r="DS104" s="144"/>
      <c r="DT104" s="144"/>
      <c r="DU104" s="144"/>
      <c r="DV104" s="144"/>
      <c r="DW104" s="144"/>
      <c r="DX104" s="144"/>
      <c r="DY104" s="144"/>
      <c r="DZ104" s="144"/>
      <c r="EA104" s="144"/>
      <c r="EB104" s="144"/>
      <c r="EC104" s="144"/>
      <c r="ED104" s="144"/>
      <c r="EE104" s="144"/>
      <c r="EF104" s="144"/>
      <c r="EG104" s="144"/>
      <c r="EH104" s="144"/>
      <c r="EI104" s="144"/>
      <c r="EJ104" s="144"/>
      <c r="EK104" s="144"/>
      <c r="EL104" s="144"/>
      <c r="EM104" s="144"/>
      <c r="EN104" s="144"/>
      <c r="EO104" s="144"/>
      <c r="EP104" s="144"/>
      <c r="EQ104" s="144"/>
      <c r="ER104" s="144"/>
      <c r="ES104" s="144"/>
      <c r="ET104" s="144"/>
      <c r="EU104" s="144"/>
      <c r="EV104" s="144"/>
      <c r="EW104" s="144"/>
      <c r="EX104" s="144"/>
      <c r="EY104" s="144"/>
      <c r="EZ104" s="144"/>
      <c r="FA104" s="144"/>
      <c r="FB104" s="144"/>
      <c r="FC104" s="144"/>
      <c r="FD104" s="144"/>
      <c r="FE104" s="144"/>
      <c r="FF104" s="144"/>
      <c r="FG104" s="144"/>
      <c r="FH104" s="144"/>
      <c r="FI104" s="144"/>
      <c r="FJ104" s="144"/>
      <c r="FK104" s="144"/>
      <c r="FL104" s="144"/>
      <c r="FM104" s="144"/>
      <c r="FN104" s="144"/>
      <c r="FO104" s="144"/>
      <c r="FP104" s="144"/>
      <c r="FQ104" s="144"/>
      <c r="FR104" s="144"/>
      <c r="FS104" s="144"/>
      <c r="FT104" s="144"/>
      <c r="FU104" s="144"/>
      <c r="FV104" s="144"/>
      <c r="FW104" s="144"/>
      <c r="FX104" s="144"/>
    </row>
    <row r="105" spans="1:180" s="56" customFormat="1" x14ac:dyDescent="0.2">
      <c r="A105" s="67"/>
      <c r="B105" s="66"/>
      <c r="C105" s="65">
        <f t="shared" si="15"/>
        <v>0</v>
      </c>
      <c r="D105" s="49"/>
      <c r="E105" s="65">
        <f t="shared" si="16"/>
        <v>0</v>
      </c>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44"/>
      <c r="AS105" s="144"/>
      <c r="AT105" s="144"/>
      <c r="AU105" s="144"/>
      <c r="AV105" s="144"/>
      <c r="AW105" s="144"/>
      <c r="AX105" s="144"/>
      <c r="AY105" s="144"/>
      <c r="AZ105" s="144"/>
      <c r="BA105" s="144"/>
      <c r="BB105" s="144"/>
      <c r="BC105" s="144"/>
      <c r="BD105" s="144"/>
      <c r="BE105" s="144"/>
      <c r="BF105" s="144"/>
      <c r="BG105" s="144"/>
      <c r="BH105" s="144"/>
      <c r="BI105" s="144"/>
      <c r="BJ105" s="144"/>
      <c r="BK105" s="144"/>
      <c r="BL105" s="144"/>
      <c r="BM105" s="144"/>
      <c r="BN105" s="144"/>
      <c r="BO105" s="144"/>
      <c r="BP105" s="144"/>
      <c r="BQ105" s="144"/>
      <c r="BR105" s="144"/>
      <c r="BS105" s="144"/>
      <c r="BT105" s="144"/>
      <c r="BU105" s="144"/>
      <c r="BV105" s="144"/>
      <c r="BW105" s="144"/>
      <c r="BX105" s="144"/>
      <c r="BY105" s="144"/>
      <c r="BZ105" s="144"/>
      <c r="CA105" s="144"/>
      <c r="CB105" s="144"/>
      <c r="CC105" s="144"/>
      <c r="CD105" s="144"/>
      <c r="CE105" s="144"/>
      <c r="CF105" s="144"/>
      <c r="CG105" s="144"/>
      <c r="CH105" s="144"/>
      <c r="CI105" s="144"/>
      <c r="CJ105" s="144"/>
      <c r="CK105" s="144"/>
      <c r="CL105" s="144"/>
      <c r="CM105" s="144"/>
      <c r="CN105" s="144"/>
      <c r="CO105" s="144"/>
      <c r="CP105" s="144"/>
      <c r="CQ105" s="144"/>
      <c r="CR105" s="144"/>
      <c r="CS105" s="144"/>
      <c r="CT105" s="144"/>
      <c r="CU105" s="144"/>
      <c r="CV105" s="144"/>
      <c r="CW105" s="144"/>
      <c r="CX105" s="144"/>
      <c r="CY105" s="144"/>
      <c r="CZ105" s="144"/>
      <c r="DA105" s="144"/>
      <c r="DB105" s="144"/>
      <c r="DC105" s="144"/>
      <c r="DD105" s="144"/>
      <c r="DE105" s="144"/>
      <c r="DF105" s="144"/>
      <c r="DG105" s="144"/>
      <c r="DH105" s="144"/>
      <c r="DI105" s="144"/>
      <c r="DJ105" s="144"/>
      <c r="DK105" s="144"/>
      <c r="DL105" s="144"/>
      <c r="DM105" s="144"/>
      <c r="DN105" s="144"/>
      <c r="DO105" s="144"/>
      <c r="DP105" s="144"/>
      <c r="DQ105" s="144"/>
      <c r="DR105" s="144"/>
      <c r="DS105" s="144"/>
      <c r="DT105" s="144"/>
      <c r="DU105" s="144"/>
      <c r="DV105" s="144"/>
      <c r="DW105" s="144"/>
      <c r="DX105" s="144"/>
      <c r="DY105" s="144"/>
      <c r="DZ105" s="144"/>
      <c r="EA105" s="144"/>
      <c r="EB105" s="144"/>
      <c r="EC105" s="144"/>
      <c r="ED105" s="144"/>
      <c r="EE105" s="144"/>
      <c r="EF105" s="144"/>
      <c r="EG105" s="144"/>
      <c r="EH105" s="144"/>
      <c r="EI105" s="144"/>
      <c r="EJ105" s="144"/>
      <c r="EK105" s="144"/>
      <c r="EL105" s="144"/>
      <c r="EM105" s="144"/>
      <c r="EN105" s="144"/>
      <c r="EO105" s="144"/>
      <c r="EP105" s="144"/>
      <c r="EQ105" s="144"/>
      <c r="ER105" s="144"/>
      <c r="ES105" s="144"/>
      <c r="ET105" s="144"/>
      <c r="EU105" s="144"/>
      <c r="EV105" s="144"/>
      <c r="EW105" s="144"/>
      <c r="EX105" s="144"/>
      <c r="EY105" s="144"/>
      <c r="EZ105" s="144"/>
      <c r="FA105" s="144"/>
      <c r="FB105" s="144"/>
      <c r="FC105" s="144"/>
      <c r="FD105" s="144"/>
      <c r="FE105" s="144"/>
      <c r="FF105" s="144"/>
      <c r="FG105" s="144"/>
      <c r="FH105" s="144"/>
      <c r="FI105" s="144"/>
      <c r="FJ105" s="144"/>
      <c r="FK105" s="144"/>
      <c r="FL105" s="144"/>
      <c r="FM105" s="144"/>
      <c r="FN105" s="144"/>
      <c r="FO105" s="144"/>
      <c r="FP105" s="144"/>
      <c r="FQ105" s="144"/>
      <c r="FR105" s="144"/>
      <c r="FS105" s="144"/>
      <c r="FT105" s="144"/>
      <c r="FU105" s="144"/>
      <c r="FV105" s="144"/>
      <c r="FW105" s="144"/>
      <c r="FX105" s="144"/>
    </row>
    <row r="106" spans="1:180" s="56" customFormat="1" x14ac:dyDescent="0.2">
      <c r="A106" s="67"/>
      <c r="B106" s="66"/>
      <c r="C106" s="65">
        <f t="shared" si="15"/>
        <v>0</v>
      </c>
      <c r="D106" s="49"/>
      <c r="E106" s="65">
        <f t="shared" si="16"/>
        <v>0</v>
      </c>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4"/>
      <c r="AU106" s="144"/>
      <c r="AV106" s="144"/>
      <c r="AW106" s="144"/>
      <c r="AX106" s="144"/>
      <c r="AY106" s="144"/>
      <c r="AZ106" s="144"/>
      <c r="BA106" s="144"/>
      <c r="BB106" s="144"/>
      <c r="BC106" s="144"/>
      <c r="BD106" s="144"/>
      <c r="BE106" s="144"/>
      <c r="BF106" s="144"/>
      <c r="BG106" s="144"/>
      <c r="BH106" s="144"/>
      <c r="BI106" s="144"/>
      <c r="BJ106" s="144"/>
      <c r="BK106" s="144"/>
      <c r="BL106" s="144"/>
      <c r="BM106" s="144"/>
      <c r="BN106" s="144"/>
      <c r="BO106" s="144"/>
      <c r="BP106" s="144"/>
      <c r="BQ106" s="144"/>
      <c r="BR106" s="144"/>
      <c r="BS106" s="144"/>
      <c r="BT106" s="144"/>
      <c r="BU106" s="144"/>
      <c r="BV106" s="144"/>
      <c r="BW106" s="144"/>
      <c r="BX106" s="144"/>
      <c r="BY106" s="144"/>
      <c r="BZ106" s="144"/>
      <c r="CA106" s="144"/>
      <c r="CB106" s="144"/>
      <c r="CC106" s="144"/>
      <c r="CD106" s="144"/>
      <c r="CE106" s="144"/>
      <c r="CF106" s="144"/>
      <c r="CG106" s="144"/>
      <c r="CH106" s="144"/>
      <c r="CI106" s="144"/>
      <c r="CJ106" s="144"/>
      <c r="CK106" s="144"/>
      <c r="CL106" s="144"/>
      <c r="CM106" s="144"/>
      <c r="CN106" s="144"/>
      <c r="CO106" s="144"/>
      <c r="CP106" s="144"/>
      <c r="CQ106" s="144"/>
      <c r="CR106" s="144"/>
      <c r="CS106" s="144"/>
      <c r="CT106" s="144"/>
      <c r="CU106" s="144"/>
      <c r="CV106" s="144"/>
      <c r="CW106" s="144"/>
      <c r="CX106" s="144"/>
      <c r="CY106" s="144"/>
      <c r="CZ106" s="144"/>
      <c r="DA106" s="144"/>
      <c r="DB106" s="144"/>
      <c r="DC106" s="144"/>
      <c r="DD106" s="144"/>
      <c r="DE106" s="144"/>
      <c r="DF106" s="144"/>
      <c r="DG106" s="144"/>
      <c r="DH106" s="144"/>
      <c r="DI106" s="144"/>
      <c r="DJ106" s="144"/>
      <c r="DK106" s="144"/>
      <c r="DL106" s="144"/>
      <c r="DM106" s="144"/>
      <c r="DN106" s="144"/>
      <c r="DO106" s="144"/>
      <c r="DP106" s="144"/>
      <c r="DQ106" s="144"/>
      <c r="DR106" s="144"/>
      <c r="DS106" s="144"/>
      <c r="DT106" s="144"/>
      <c r="DU106" s="144"/>
      <c r="DV106" s="144"/>
      <c r="DW106" s="144"/>
      <c r="DX106" s="144"/>
      <c r="DY106" s="144"/>
      <c r="DZ106" s="144"/>
      <c r="EA106" s="144"/>
      <c r="EB106" s="144"/>
      <c r="EC106" s="144"/>
      <c r="ED106" s="144"/>
      <c r="EE106" s="144"/>
      <c r="EF106" s="144"/>
      <c r="EG106" s="144"/>
      <c r="EH106" s="144"/>
      <c r="EI106" s="144"/>
      <c r="EJ106" s="144"/>
      <c r="EK106" s="144"/>
      <c r="EL106" s="144"/>
      <c r="EM106" s="144"/>
      <c r="EN106" s="144"/>
      <c r="EO106" s="144"/>
      <c r="EP106" s="144"/>
      <c r="EQ106" s="144"/>
      <c r="ER106" s="144"/>
      <c r="ES106" s="144"/>
      <c r="ET106" s="144"/>
      <c r="EU106" s="144"/>
      <c r="EV106" s="144"/>
      <c r="EW106" s="144"/>
      <c r="EX106" s="144"/>
      <c r="EY106" s="144"/>
      <c r="EZ106" s="144"/>
      <c r="FA106" s="144"/>
      <c r="FB106" s="144"/>
      <c r="FC106" s="144"/>
      <c r="FD106" s="144"/>
      <c r="FE106" s="144"/>
      <c r="FF106" s="144"/>
      <c r="FG106" s="144"/>
      <c r="FH106" s="144"/>
      <c r="FI106" s="144"/>
      <c r="FJ106" s="144"/>
      <c r="FK106" s="144"/>
      <c r="FL106" s="144"/>
      <c r="FM106" s="144"/>
      <c r="FN106" s="144"/>
      <c r="FO106" s="144"/>
      <c r="FP106" s="144"/>
      <c r="FQ106" s="144"/>
      <c r="FR106" s="144"/>
      <c r="FS106" s="144"/>
      <c r="FT106" s="144"/>
      <c r="FU106" s="144"/>
      <c r="FV106" s="144"/>
      <c r="FW106" s="144"/>
      <c r="FX106" s="144"/>
    </row>
    <row r="107" spans="1:180" s="56" customFormat="1" x14ac:dyDescent="0.2">
      <c r="A107" s="67"/>
      <c r="B107" s="66"/>
      <c r="C107" s="65">
        <f t="shared" si="15"/>
        <v>0</v>
      </c>
      <c r="D107" s="49"/>
      <c r="E107" s="65">
        <f t="shared" si="16"/>
        <v>0</v>
      </c>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c r="AX107" s="144"/>
      <c r="AY107" s="144"/>
      <c r="AZ107" s="144"/>
      <c r="BA107" s="144"/>
      <c r="BB107" s="144"/>
      <c r="BC107" s="144"/>
      <c r="BD107" s="144"/>
      <c r="BE107" s="144"/>
      <c r="BF107" s="144"/>
      <c r="BG107" s="144"/>
      <c r="BH107" s="144"/>
      <c r="BI107" s="144"/>
      <c r="BJ107" s="144"/>
      <c r="BK107" s="144"/>
      <c r="BL107" s="144"/>
      <c r="BM107" s="144"/>
      <c r="BN107" s="144"/>
      <c r="BO107" s="144"/>
      <c r="BP107" s="144"/>
      <c r="BQ107" s="144"/>
      <c r="BR107" s="144"/>
      <c r="BS107" s="144"/>
      <c r="BT107" s="144"/>
      <c r="BU107" s="144"/>
      <c r="BV107" s="144"/>
      <c r="BW107" s="144"/>
      <c r="BX107" s="144"/>
      <c r="BY107" s="144"/>
      <c r="BZ107" s="144"/>
      <c r="CA107" s="144"/>
      <c r="CB107" s="144"/>
      <c r="CC107" s="144"/>
      <c r="CD107" s="144"/>
      <c r="CE107" s="144"/>
      <c r="CF107" s="144"/>
      <c r="CG107" s="144"/>
      <c r="CH107" s="144"/>
      <c r="CI107" s="144"/>
      <c r="CJ107" s="144"/>
      <c r="CK107" s="144"/>
      <c r="CL107" s="144"/>
      <c r="CM107" s="144"/>
      <c r="CN107" s="144"/>
      <c r="CO107" s="144"/>
      <c r="CP107" s="144"/>
      <c r="CQ107" s="144"/>
      <c r="CR107" s="144"/>
      <c r="CS107" s="144"/>
      <c r="CT107" s="144"/>
      <c r="CU107" s="144"/>
      <c r="CV107" s="144"/>
      <c r="CW107" s="144"/>
      <c r="CX107" s="144"/>
      <c r="CY107" s="144"/>
      <c r="CZ107" s="144"/>
      <c r="DA107" s="144"/>
      <c r="DB107" s="144"/>
      <c r="DC107" s="144"/>
      <c r="DD107" s="144"/>
      <c r="DE107" s="144"/>
      <c r="DF107" s="144"/>
      <c r="DG107" s="144"/>
      <c r="DH107" s="144"/>
      <c r="DI107" s="144"/>
      <c r="DJ107" s="144"/>
      <c r="DK107" s="144"/>
      <c r="DL107" s="144"/>
      <c r="DM107" s="144"/>
      <c r="DN107" s="144"/>
      <c r="DO107" s="144"/>
      <c r="DP107" s="144"/>
      <c r="DQ107" s="144"/>
      <c r="DR107" s="144"/>
      <c r="DS107" s="144"/>
      <c r="DT107" s="144"/>
      <c r="DU107" s="144"/>
      <c r="DV107" s="144"/>
      <c r="DW107" s="144"/>
      <c r="DX107" s="144"/>
      <c r="DY107" s="144"/>
      <c r="DZ107" s="144"/>
      <c r="EA107" s="144"/>
      <c r="EB107" s="144"/>
      <c r="EC107" s="144"/>
      <c r="ED107" s="144"/>
      <c r="EE107" s="144"/>
      <c r="EF107" s="144"/>
      <c r="EG107" s="144"/>
      <c r="EH107" s="144"/>
      <c r="EI107" s="144"/>
      <c r="EJ107" s="144"/>
      <c r="EK107" s="144"/>
      <c r="EL107" s="144"/>
      <c r="EM107" s="144"/>
      <c r="EN107" s="144"/>
      <c r="EO107" s="144"/>
      <c r="EP107" s="144"/>
      <c r="EQ107" s="144"/>
      <c r="ER107" s="144"/>
      <c r="ES107" s="144"/>
      <c r="ET107" s="144"/>
      <c r="EU107" s="144"/>
      <c r="EV107" s="144"/>
      <c r="EW107" s="144"/>
      <c r="EX107" s="144"/>
      <c r="EY107" s="144"/>
      <c r="EZ107" s="144"/>
      <c r="FA107" s="144"/>
      <c r="FB107" s="144"/>
      <c r="FC107" s="144"/>
      <c r="FD107" s="144"/>
      <c r="FE107" s="144"/>
      <c r="FF107" s="144"/>
      <c r="FG107" s="144"/>
      <c r="FH107" s="144"/>
      <c r="FI107" s="144"/>
      <c r="FJ107" s="144"/>
      <c r="FK107" s="144"/>
      <c r="FL107" s="144"/>
      <c r="FM107" s="144"/>
      <c r="FN107" s="144"/>
      <c r="FO107" s="144"/>
      <c r="FP107" s="144"/>
      <c r="FQ107" s="144"/>
      <c r="FR107" s="144"/>
      <c r="FS107" s="144"/>
      <c r="FT107" s="144"/>
      <c r="FU107" s="144"/>
      <c r="FV107" s="144"/>
      <c r="FW107" s="144"/>
      <c r="FX107" s="144"/>
    </row>
    <row r="108" spans="1:180" s="56" customFormat="1" x14ac:dyDescent="0.2">
      <c r="A108" s="67"/>
      <c r="B108" s="66"/>
      <c r="C108" s="65">
        <f t="shared" ref="C108:C139" si="17">E108*D$5</f>
        <v>0</v>
      </c>
      <c r="D108" s="49"/>
      <c r="E108" s="65">
        <f t="shared" si="16"/>
        <v>0</v>
      </c>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4"/>
      <c r="AU108" s="144"/>
      <c r="AV108" s="144"/>
      <c r="AW108" s="144"/>
      <c r="AX108" s="144"/>
      <c r="AY108" s="144"/>
      <c r="AZ108" s="144"/>
      <c r="BA108" s="144"/>
      <c r="BB108" s="144"/>
      <c r="BC108" s="144"/>
      <c r="BD108" s="144"/>
      <c r="BE108" s="144"/>
      <c r="BF108" s="144"/>
      <c r="BG108" s="144"/>
      <c r="BH108" s="144"/>
      <c r="BI108" s="144"/>
      <c r="BJ108" s="144"/>
      <c r="BK108" s="144"/>
      <c r="BL108" s="144"/>
      <c r="BM108" s="144"/>
      <c r="BN108" s="144"/>
      <c r="BO108" s="144"/>
      <c r="BP108" s="144"/>
      <c r="BQ108" s="144"/>
      <c r="BR108" s="144"/>
      <c r="BS108" s="144"/>
      <c r="BT108" s="144"/>
      <c r="BU108" s="144"/>
      <c r="BV108" s="144"/>
      <c r="BW108" s="144"/>
      <c r="BX108" s="144"/>
      <c r="BY108" s="144"/>
      <c r="BZ108" s="144"/>
      <c r="CA108" s="144"/>
      <c r="CB108" s="144"/>
      <c r="CC108" s="144"/>
      <c r="CD108" s="144"/>
      <c r="CE108" s="144"/>
      <c r="CF108" s="144"/>
      <c r="CG108" s="144"/>
      <c r="CH108" s="144"/>
      <c r="CI108" s="144"/>
      <c r="CJ108" s="144"/>
      <c r="CK108" s="144"/>
      <c r="CL108" s="144"/>
      <c r="CM108" s="144"/>
      <c r="CN108" s="144"/>
      <c r="CO108" s="144"/>
      <c r="CP108" s="144"/>
      <c r="CQ108" s="144"/>
      <c r="CR108" s="144"/>
      <c r="CS108" s="144"/>
      <c r="CT108" s="144"/>
      <c r="CU108" s="144"/>
      <c r="CV108" s="144"/>
      <c r="CW108" s="144"/>
      <c r="CX108" s="144"/>
      <c r="CY108" s="144"/>
      <c r="CZ108" s="144"/>
      <c r="DA108" s="144"/>
      <c r="DB108" s="144"/>
      <c r="DC108" s="144"/>
      <c r="DD108" s="144"/>
      <c r="DE108" s="144"/>
      <c r="DF108" s="144"/>
      <c r="DG108" s="144"/>
      <c r="DH108" s="144"/>
      <c r="DI108" s="144"/>
      <c r="DJ108" s="144"/>
      <c r="DK108" s="144"/>
      <c r="DL108" s="144"/>
      <c r="DM108" s="144"/>
      <c r="DN108" s="144"/>
      <c r="DO108" s="144"/>
      <c r="DP108" s="144"/>
      <c r="DQ108" s="144"/>
      <c r="DR108" s="144"/>
      <c r="DS108" s="144"/>
      <c r="DT108" s="144"/>
      <c r="DU108" s="144"/>
      <c r="DV108" s="144"/>
      <c r="DW108" s="144"/>
      <c r="DX108" s="144"/>
      <c r="DY108" s="144"/>
      <c r="DZ108" s="144"/>
      <c r="EA108" s="144"/>
      <c r="EB108" s="144"/>
      <c r="EC108" s="144"/>
      <c r="ED108" s="144"/>
      <c r="EE108" s="144"/>
      <c r="EF108" s="144"/>
      <c r="EG108" s="144"/>
      <c r="EH108" s="144"/>
      <c r="EI108" s="144"/>
      <c r="EJ108" s="144"/>
      <c r="EK108" s="144"/>
      <c r="EL108" s="144"/>
      <c r="EM108" s="144"/>
      <c r="EN108" s="144"/>
      <c r="EO108" s="144"/>
      <c r="EP108" s="144"/>
      <c r="EQ108" s="144"/>
      <c r="ER108" s="144"/>
      <c r="ES108" s="144"/>
      <c r="ET108" s="144"/>
      <c r="EU108" s="144"/>
      <c r="EV108" s="144"/>
      <c r="EW108" s="144"/>
      <c r="EX108" s="144"/>
      <c r="EY108" s="144"/>
      <c r="EZ108" s="144"/>
      <c r="FA108" s="144"/>
      <c r="FB108" s="144"/>
      <c r="FC108" s="144"/>
      <c r="FD108" s="144"/>
      <c r="FE108" s="144"/>
      <c r="FF108" s="144"/>
      <c r="FG108" s="144"/>
      <c r="FH108" s="144"/>
      <c r="FI108" s="144"/>
      <c r="FJ108" s="144"/>
      <c r="FK108" s="144"/>
      <c r="FL108" s="144"/>
      <c r="FM108" s="144"/>
      <c r="FN108" s="144"/>
      <c r="FO108" s="144"/>
      <c r="FP108" s="144"/>
      <c r="FQ108" s="144"/>
      <c r="FR108" s="144"/>
      <c r="FS108" s="144"/>
      <c r="FT108" s="144"/>
      <c r="FU108" s="144"/>
      <c r="FV108" s="144"/>
      <c r="FW108" s="144"/>
      <c r="FX108" s="144"/>
    </row>
    <row r="109" spans="1:180" s="56" customFormat="1" x14ac:dyDescent="0.2">
      <c r="A109" s="67"/>
      <c r="B109" s="66"/>
      <c r="C109" s="65">
        <f t="shared" si="17"/>
        <v>0</v>
      </c>
      <c r="D109" s="49"/>
      <c r="E109" s="65">
        <f t="shared" si="16"/>
        <v>0</v>
      </c>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4"/>
      <c r="CA109" s="144"/>
      <c r="CB109" s="144"/>
      <c r="CC109" s="144"/>
      <c r="CD109" s="144"/>
      <c r="CE109" s="144"/>
      <c r="CF109" s="144"/>
      <c r="CG109" s="144"/>
      <c r="CH109" s="144"/>
      <c r="CI109" s="144"/>
      <c r="CJ109" s="144"/>
      <c r="CK109" s="144"/>
      <c r="CL109" s="144"/>
      <c r="CM109" s="144"/>
      <c r="CN109" s="144"/>
      <c r="CO109" s="144"/>
      <c r="CP109" s="144"/>
      <c r="CQ109" s="144"/>
      <c r="CR109" s="144"/>
      <c r="CS109" s="144"/>
      <c r="CT109" s="144"/>
      <c r="CU109" s="144"/>
      <c r="CV109" s="144"/>
      <c r="CW109" s="144"/>
      <c r="CX109" s="144"/>
      <c r="CY109" s="144"/>
      <c r="CZ109" s="144"/>
      <c r="DA109" s="144"/>
      <c r="DB109" s="144"/>
      <c r="DC109" s="144"/>
      <c r="DD109" s="144"/>
      <c r="DE109" s="144"/>
      <c r="DF109" s="144"/>
      <c r="DG109" s="144"/>
      <c r="DH109" s="144"/>
      <c r="DI109" s="144"/>
      <c r="DJ109" s="144"/>
      <c r="DK109" s="144"/>
      <c r="DL109" s="144"/>
      <c r="DM109" s="144"/>
      <c r="DN109" s="144"/>
      <c r="DO109" s="144"/>
      <c r="DP109" s="144"/>
      <c r="DQ109" s="144"/>
      <c r="DR109" s="144"/>
      <c r="DS109" s="144"/>
      <c r="DT109" s="144"/>
      <c r="DU109" s="144"/>
      <c r="DV109" s="144"/>
      <c r="DW109" s="144"/>
      <c r="DX109" s="144"/>
      <c r="DY109" s="144"/>
      <c r="DZ109" s="144"/>
      <c r="EA109" s="144"/>
      <c r="EB109" s="144"/>
      <c r="EC109" s="144"/>
      <c r="ED109" s="144"/>
      <c r="EE109" s="144"/>
      <c r="EF109" s="144"/>
      <c r="EG109" s="144"/>
      <c r="EH109" s="144"/>
      <c r="EI109" s="144"/>
      <c r="EJ109" s="144"/>
      <c r="EK109" s="144"/>
      <c r="EL109" s="144"/>
      <c r="EM109" s="144"/>
      <c r="EN109" s="144"/>
      <c r="EO109" s="144"/>
      <c r="EP109" s="144"/>
      <c r="EQ109" s="144"/>
      <c r="ER109" s="144"/>
      <c r="ES109" s="144"/>
      <c r="ET109" s="144"/>
      <c r="EU109" s="144"/>
      <c r="EV109" s="144"/>
      <c r="EW109" s="144"/>
      <c r="EX109" s="144"/>
      <c r="EY109" s="144"/>
      <c r="EZ109" s="144"/>
      <c r="FA109" s="144"/>
      <c r="FB109" s="144"/>
      <c r="FC109" s="144"/>
      <c r="FD109" s="144"/>
      <c r="FE109" s="144"/>
      <c r="FF109" s="144"/>
      <c r="FG109" s="144"/>
      <c r="FH109" s="144"/>
      <c r="FI109" s="144"/>
      <c r="FJ109" s="144"/>
      <c r="FK109" s="144"/>
      <c r="FL109" s="144"/>
      <c r="FM109" s="144"/>
      <c r="FN109" s="144"/>
      <c r="FO109" s="144"/>
      <c r="FP109" s="144"/>
      <c r="FQ109" s="144"/>
      <c r="FR109" s="144"/>
      <c r="FS109" s="144"/>
      <c r="FT109" s="144"/>
      <c r="FU109" s="144"/>
      <c r="FV109" s="144"/>
      <c r="FW109" s="144"/>
      <c r="FX109" s="144"/>
    </row>
    <row r="110" spans="1:180" s="56" customFormat="1" x14ac:dyDescent="0.2">
      <c r="A110" s="67"/>
      <c r="B110" s="66"/>
      <c r="C110" s="65">
        <f t="shared" si="17"/>
        <v>0</v>
      </c>
      <c r="D110" s="49"/>
      <c r="E110" s="65">
        <f t="shared" si="16"/>
        <v>0</v>
      </c>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c r="AH110" s="144"/>
      <c r="AI110" s="144"/>
      <c r="AJ110" s="144"/>
      <c r="AK110" s="144"/>
      <c r="AL110" s="144"/>
      <c r="AM110" s="144"/>
      <c r="AN110" s="144"/>
      <c r="AO110" s="144"/>
      <c r="AP110" s="144"/>
      <c r="AQ110" s="144"/>
      <c r="AR110" s="144"/>
      <c r="AS110" s="144"/>
      <c r="AT110" s="144"/>
      <c r="AU110" s="144"/>
      <c r="AV110" s="144"/>
      <c r="AW110" s="144"/>
      <c r="AX110" s="144"/>
      <c r="AY110" s="144"/>
      <c r="AZ110" s="144"/>
      <c r="BA110" s="144"/>
      <c r="BB110" s="144"/>
      <c r="BC110" s="144"/>
      <c r="BD110" s="144"/>
      <c r="BE110" s="144"/>
      <c r="BF110" s="144"/>
      <c r="BG110" s="144"/>
      <c r="BH110" s="144"/>
      <c r="BI110" s="144"/>
      <c r="BJ110" s="144"/>
      <c r="BK110" s="144"/>
      <c r="BL110" s="144"/>
      <c r="BM110" s="144"/>
      <c r="BN110" s="144"/>
      <c r="BO110" s="144"/>
      <c r="BP110" s="144"/>
      <c r="BQ110" s="144"/>
      <c r="BR110" s="144"/>
      <c r="BS110" s="144"/>
      <c r="BT110" s="144"/>
      <c r="BU110" s="144"/>
      <c r="BV110" s="144"/>
      <c r="BW110" s="144"/>
      <c r="BX110" s="144"/>
      <c r="BY110" s="144"/>
      <c r="BZ110" s="144"/>
      <c r="CA110" s="144"/>
      <c r="CB110" s="144"/>
      <c r="CC110" s="144"/>
      <c r="CD110" s="144"/>
      <c r="CE110" s="144"/>
      <c r="CF110" s="144"/>
      <c r="CG110" s="144"/>
      <c r="CH110" s="144"/>
      <c r="CI110" s="144"/>
      <c r="CJ110" s="144"/>
      <c r="CK110" s="144"/>
      <c r="CL110" s="144"/>
      <c r="CM110" s="144"/>
      <c r="CN110" s="144"/>
      <c r="CO110" s="144"/>
      <c r="CP110" s="144"/>
      <c r="CQ110" s="144"/>
      <c r="CR110" s="144"/>
      <c r="CS110" s="144"/>
      <c r="CT110" s="144"/>
      <c r="CU110" s="144"/>
      <c r="CV110" s="144"/>
      <c r="CW110" s="144"/>
      <c r="CX110" s="144"/>
      <c r="CY110" s="144"/>
      <c r="CZ110" s="144"/>
      <c r="DA110" s="144"/>
      <c r="DB110" s="144"/>
      <c r="DC110" s="144"/>
      <c r="DD110" s="144"/>
      <c r="DE110" s="144"/>
      <c r="DF110" s="144"/>
      <c r="DG110" s="144"/>
      <c r="DH110" s="144"/>
      <c r="DI110" s="144"/>
      <c r="DJ110" s="144"/>
      <c r="DK110" s="144"/>
      <c r="DL110" s="144"/>
      <c r="DM110" s="144"/>
      <c r="DN110" s="144"/>
      <c r="DO110" s="144"/>
      <c r="DP110" s="144"/>
      <c r="DQ110" s="144"/>
      <c r="DR110" s="144"/>
      <c r="DS110" s="144"/>
      <c r="DT110" s="144"/>
      <c r="DU110" s="144"/>
      <c r="DV110" s="144"/>
      <c r="DW110" s="144"/>
      <c r="DX110" s="144"/>
      <c r="DY110" s="144"/>
      <c r="DZ110" s="144"/>
      <c r="EA110" s="144"/>
      <c r="EB110" s="144"/>
      <c r="EC110" s="144"/>
      <c r="ED110" s="144"/>
      <c r="EE110" s="144"/>
      <c r="EF110" s="144"/>
      <c r="EG110" s="144"/>
      <c r="EH110" s="144"/>
      <c r="EI110" s="144"/>
      <c r="EJ110" s="144"/>
      <c r="EK110" s="144"/>
      <c r="EL110" s="144"/>
      <c r="EM110" s="144"/>
      <c r="EN110" s="144"/>
      <c r="EO110" s="144"/>
      <c r="EP110" s="144"/>
      <c r="EQ110" s="144"/>
      <c r="ER110" s="144"/>
      <c r="ES110" s="144"/>
      <c r="ET110" s="144"/>
      <c r="EU110" s="144"/>
      <c r="EV110" s="144"/>
      <c r="EW110" s="144"/>
      <c r="EX110" s="144"/>
      <c r="EY110" s="144"/>
      <c r="EZ110" s="144"/>
      <c r="FA110" s="144"/>
      <c r="FB110" s="144"/>
      <c r="FC110" s="144"/>
      <c r="FD110" s="144"/>
      <c r="FE110" s="144"/>
      <c r="FF110" s="144"/>
      <c r="FG110" s="144"/>
      <c r="FH110" s="144"/>
      <c r="FI110" s="144"/>
      <c r="FJ110" s="144"/>
      <c r="FK110" s="144"/>
      <c r="FL110" s="144"/>
      <c r="FM110" s="144"/>
      <c r="FN110" s="144"/>
      <c r="FO110" s="144"/>
      <c r="FP110" s="144"/>
      <c r="FQ110" s="144"/>
      <c r="FR110" s="144"/>
      <c r="FS110" s="144"/>
      <c r="FT110" s="144"/>
      <c r="FU110" s="144"/>
      <c r="FV110" s="144"/>
      <c r="FW110" s="144"/>
      <c r="FX110" s="144"/>
    </row>
    <row r="111" spans="1:180" s="56" customFormat="1" x14ac:dyDescent="0.2">
      <c r="A111" s="67"/>
      <c r="B111" s="66"/>
      <c r="C111" s="65">
        <f t="shared" si="17"/>
        <v>0</v>
      </c>
      <c r="D111" s="49"/>
      <c r="E111" s="65">
        <f t="shared" si="16"/>
        <v>0</v>
      </c>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c r="BC111" s="144"/>
      <c r="BD111" s="144"/>
      <c r="BE111" s="144"/>
      <c r="BF111" s="144"/>
      <c r="BG111" s="144"/>
      <c r="BH111" s="144"/>
      <c r="BI111" s="144"/>
      <c r="BJ111" s="144"/>
      <c r="BK111" s="144"/>
      <c r="BL111" s="144"/>
      <c r="BM111" s="144"/>
      <c r="BN111" s="144"/>
      <c r="BO111" s="144"/>
      <c r="BP111" s="144"/>
      <c r="BQ111" s="144"/>
      <c r="BR111" s="144"/>
      <c r="BS111" s="144"/>
      <c r="BT111" s="144"/>
      <c r="BU111" s="144"/>
      <c r="BV111" s="144"/>
      <c r="BW111" s="144"/>
      <c r="BX111" s="144"/>
      <c r="BY111" s="144"/>
      <c r="BZ111" s="144"/>
      <c r="CA111" s="144"/>
      <c r="CB111" s="144"/>
      <c r="CC111" s="144"/>
      <c r="CD111" s="144"/>
      <c r="CE111" s="144"/>
      <c r="CF111" s="144"/>
      <c r="CG111" s="144"/>
      <c r="CH111" s="144"/>
      <c r="CI111" s="144"/>
      <c r="CJ111" s="144"/>
      <c r="CK111" s="144"/>
      <c r="CL111" s="144"/>
      <c r="CM111" s="144"/>
      <c r="CN111" s="144"/>
      <c r="CO111" s="144"/>
      <c r="CP111" s="144"/>
      <c r="CQ111" s="144"/>
      <c r="CR111" s="144"/>
      <c r="CS111" s="144"/>
      <c r="CT111" s="144"/>
      <c r="CU111" s="144"/>
      <c r="CV111" s="144"/>
      <c r="CW111" s="144"/>
      <c r="CX111" s="144"/>
      <c r="CY111" s="144"/>
      <c r="CZ111" s="144"/>
      <c r="DA111" s="144"/>
      <c r="DB111" s="144"/>
      <c r="DC111" s="144"/>
      <c r="DD111" s="144"/>
      <c r="DE111" s="144"/>
      <c r="DF111" s="144"/>
      <c r="DG111" s="144"/>
      <c r="DH111" s="144"/>
      <c r="DI111" s="144"/>
      <c r="DJ111" s="144"/>
      <c r="DK111" s="144"/>
      <c r="DL111" s="144"/>
      <c r="DM111" s="144"/>
      <c r="DN111" s="144"/>
      <c r="DO111" s="144"/>
      <c r="DP111" s="144"/>
      <c r="DQ111" s="144"/>
      <c r="DR111" s="144"/>
      <c r="DS111" s="144"/>
      <c r="DT111" s="144"/>
      <c r="DU111" s="144"/>
      <c r="DV111" s="144"/>
      <c r="DW111" s="144"/>
      <c r="DX111" s="144"/>
      <c r="DY111" s="144"/>
      <c r="DZ111" s="144"/>
      <c r="EA111" s="144"/>
      <c r="EB111" s="144"/>
      <c r="EC111" s="144"/>
      <c r="ED111" s="144"/>
      <c r="EE111" s="144"/>
      <c r="EF111" s="144"/>
      <c r="EG111" s="144"/>
      <c r="EH111" s="144"/>
      <c r="EI111" s="144"/>
      <c r="EJ111" s="144"/>
      <c r="EK111" s="144"/>
      <c r="EL111" s="144"/>
      <c r="EM111" s="144"/>
      <c r="EN111" s="144"/>
      <c r="EO111" s="144"/>
      <c r="EP111" s="144"/>
      <c r="EQ111" s="144"/>
      <c r="ER111" s="144"/>
      <c r="ES111" s="144"/>
      <c r="ET111" s="144"/>
      <c r="EU111" s="144"/>
      <c r="EV111" s="144"/>
      <c r="EW111" s="144"/>
      <c r="EX111" s="144"/>
      <c r="EY111" s="144"/>
      <c r="EZ111" s="144"/>
      <c r="FA111" s="144"/>
      <c r="FB111" s="144"/>
      <c r="FC111" s="144"/>
      <c r="FD111" s="144"/>
      <c r="FE111" s="144"/>
      <c r="FF111" s="144"/>
      <c r="FG111" s="144"/>
      <c r="FH111" s="144"/>
      <c r="FI111" s="144"/>
      <c r="FJ111" s="144"/>
      <c r="FK111" s="144"/>
      <c r="FL111" s="144"/>
      <c r="FM111" s="144"/>
      <c r="FN111" s="144"/>
      <c r="FO111" s="144"/>
      <c r="FP111" s="144"/>
      <c r="FQ111" s="144"/>
      <c r="FR111" s="144"/>
      <c r="FS111" s="144"/>
      <c r="FT111" s="144"/>
      <c r="FU111" s="144"/>
      <c r="FV111" s="144"/>
      <c r="FW111" s="144"/>
      <c r="FX111" s="144"/>
    </row>
    <row r="112" spans="1:180" s="56" customFormat="1" x14ac:dyDescent="0.2">
      <c r="A112" s="67"/>
      <c r="B112" s="66"/>
      <c r="C112" s="65">
        <f t="shared" si="17"/>
        <v>0</v>
      </c>
      <c r="D112" s="49"/>
      <c r="E112" s="65">
        <f t="shared" si="16"/>
        <v>0</v>
      </c>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144"/>
      <c r="AM112" s="144"/>
      <c r="AN112" s="144"/>
      <c r="AO112" s="144"/>
      <c r="AP112" s="144"/>
      <c r="AQ112" s="144"/>
      <c r="AR112" s="144"/>
      <c r="AS112" s="144"/>
      <c r="AT112" s="144"/>
      <c r="AU112" s="144"/>
      <c r="AV112" s="144"/>
      <c r="AW112" s="144"/>
      <c r="AX112" s="144"/>
      <c r="AY112" s="144"/>
      <c r="AZ112" s="144"/>
      <c r="BA112" s="144"/>
      <c r="BB112" s="144"/>
      <c r="BC112" s="144"/>
      <c r="BD112" s="144"/>
      <c r="BE112" s="144"/>
      <c r="BF112" s="144"/>
      <c r="BG112" s="144"/>
      <c r="BH112" s="144"/>
      <c r="BI112" s="144"/>
      <c r="BJ112" s="144"/>
      <c r="BK112" s="144"/>
      <c r="BL112" s="144"/>
      <c r="BM112" s="144"/>
      <c r="BN112" s="144"/>
      <c r="BO112" s="144"/>
      <c r="BP112" s="144"/>
      <c r="BQ112" s="144"/>
      <c r="BR112" s="144"/>
      <c r="BS112" s="144"/>
      <c r="BT112" s="144"/>
      <c r="BU112" s="144"/>
      <c r="BV112" s="144"/>
      <c r="BW112" s="144"/>
      <c r="BX112" s="144"/>
      <c r="BY112" s="144"/>
      <c r="BZ112" s="144"/>
      <c r="CA112" s="144"/>
      <c r="CB112" s="144"/>
      <c r="CC112" s="144"/>
      <c r="CD112" s="144"/>
      <c r="CE112" s="144"/>
      <c r="CF112" s="144"/>
      <c r="CG112" s="144"/>
      <c r="CH112" s="144"/>
      <c r="CI112" s="144"/>
      <c r="CJ112" s="144"/>
      <c r="CK112" s="144"/>
      <c r="CL112" s="144"/>
      <c r="CM112" s="144"/>
      <c r="CN112" s="144"/>
      <c r="CO112" s="144"/>
      <c r="CP112" s="144"/>
      <c r="CQ112" s="144"/>
      <c r="CR112" s="144"/>
      <c r="CS112" s="144"/>
      <c r="CT112" s="144"/>
      <c r="CU112" s="144"/>
      <c r="CV112" s="144"/>
      <c r="CW112" s="144"/>
      <c r="CX112" s="144"/>
      <c r="CY112" s="144"/>
      <c r="CZ112" s="144"/>
      <c r="DA112" s="144"/>
      <c r="DB112" s="144"/>
      <c r="DC112" s="144"/>
      <c r="DD112" s="144"/>
      <c r="DE112" s="144"/>
      <c r="DF112" s="144"/>
      <c r="DG112" s="144"/>
      <c r="DH112" s="144"/>
      <c r="DI112" s="144"/>
      <c r="DJ112" s="144"/>
      <c r="DK112" s="144"/>
      <c r="DL112" s="144"/>
      <c r="DM112" s="144"/>
      <c r="DN112" s="144"/>
      <c r="DO112" s="144"/>
      <c r="DP112" s="144"/>
      <c r="DQ112" s="144"/>
      <c r="DR112" s="144"/>
      <c r="DS112" s="144"/>
      <c r="DT112" s="144"/>
      <c r="DU112" s="144"/>
      <c r="DV112" s="144"/>
      <c r="DW112" s="144"/>
      <c r="DX112" s="144"/>
      <c r="DY112" s="144"/>
      <c r="DZ112" s="144"/>
      <c r="EA112" s="144"/>
      <c r="EB112" s="144"/>
      <c r="EC112" s="144"/>
      <c r="ED112" s="144"/>
      <c r="EE112" s="144"/>
      <c r="EF112" s="144"/>
      <c r="EG112" s="144"/>
      <c r="EH112" s="144"/>
      <c r="EI112" s="144"/>
      <c r="EJ112" s="144"/>
      <c r="EK112" s="144"/>
      <c r="EL112" s="144"/>
      <c r="EM112" s="144"/>
      <c r="EN112" s="144"/>
      <c r="EO112" s="144"/>
      <c r="EP112" s="144"/>
      <c r="EQ112" s="144"/>
      <c r="ER112" s="144"/>
      <c r="ES112" s="144"/>
      <c r="ET112" s="144"/>
      <c r="EU112" s="144"/>
      <c r="EV112" s="144"/>
      <c r="EW112" s="144"/>
      <c r="EX112" s="144"/>
      <c r="EY112" s="144"/>
      <c r="EZ112" s="144"/>
      <c r="FA112" s="144"/>
      <c r="FB112" s="144"/>
      <c r="FC112" s="144"/>
      <c r="FD112" s="144"/>
      <c r="FE112" s="144"/>
      <c r="FF112" s="144"/>
      <c r="FG112" s="144"/>
      <c r="FH112" s="144"/>
      <c r="FI112" s="144"/>
      <c r="FJ112" s="144"/>
      <c r="FK112" s="144"/>
      <c r="FL112" s="144"/>
      <c r="FM112" s="144"/>
      <c r="FN112" s="144"/>
      <c r="FO112" s="144"/>
      <c r="FP112" s="144"/>
      <c r="FQ112" s="144"/>
      <c r="FR112" s="144"/>
      <c r="FS112" s="144"/>
      <c r="FT112" s="144"/>
      <c r="FU112" s="144"/>
      <c r="FV112" s="144"/>
      <c r="FW112" s="144"/>
      <c r="FX112" s="144"/>
    </row>
    <row r="113" spans="1:180" s="56" customFormat="1" x14ac:dyDescent="0.2">
      <c r="A113" s="67"/>
      <c r="B113" s="66"/>
      <c r="C113" s="65">
        <f t="shared" si="17"/>
        <v>0</v>
      </c>
      <c r="D113" s="49"/>
      <c r="E113" s="65">
        <f t="shared" si="16"/>
        <v>0</v>
      </c>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c r="AX113" s="144"/>
      <c r="AY113" s="144"/>
      <c r="AZ113" s="144"/>
      <c r="BA113" s="144"/>
      <c r="BB113" s="144"/>
      <c r="BC113" s="144"/>
      <c r="BD113" s="144"/>
      <c r="BE113" s="144"/>
      <c r="BF113" s="144"/>
      <c r="BG113" s="144"/>
      <c r="BH113" s="144"/>
      <c r="BI113" s="144"/>
      <c r="BJ113" s="144"/>
      <c r="BK113" s="144"/>
      <c r="BL113" s="144"/>
      <c r="BM113" s="144"/>
      <c r="BN113" s="144"/>
      <c r="BO113" s="144"/>
      <c r="BP113" s="144"/>
      <c r="BQ113" s="144"/>
      <c r="BR113" s="144"/>
      <c r="BS113" s="144"/>
      <c r="BT113" s="144"/>
      <c r="BU113" s="144"/>
      <c r="BV113" s="144"/>
      <c r="BW113" s="144"/>
      <c r="BX113" s="144"/>
      <c r="BY113" s="144"/>
      <c r="BZ113" s="144"/>
      <c r="CA113" s="144"/>
      <c r="CB113" s="144"/>
      <c r="CC113" s="144"/>
      <c r="CD113" s="144"/>
      <c r="CE113" s="144"/>
      <c r="CF113" s="144"/>
      <c r="CG113" s="144"/>
      <c r="CH113" s="144"/>
      <c r="CI113" s="144"/>
      <c r="CJ113" s="144"/>
      <c r="CK113" s="144"/>
      <c r="CL113" s="144"/>
      <c r="CM113" s="144"/>
      <c r="CN113" s="144"/>
      <c r="CO113" s="144"/>
      <c r="CP113" s="144"/>
      <c r="CQ113" s="144"/>
      <c r="CR113" s="144"/>
      <c r="CS113" s="144"/>
      <c r="CT113" s="144"/>
      <c r="CU113" s="144"/>
      <c r="CV113" s="144"/>
      <c r="CW113" s="144"/>
      <c r="CX113" s="144"/>
      <c r="CY113" s="144"/>
      <c r="CZ113" s="144"/>
      <c r="DA113" s="144"/>
      <c r="DB113" s="144"/>
      <c r="DC113" s="144"/>
      <c r="DD113" s="144"/>
      <c r="DE113" s="144"/>
      <c r="DF113" s="144"/>
      <c r="DG113" s="144"/>
      <c r="DH113" s="144"/>
      <c r="DI113" s="144"/>
      <c r="DJ113" s="144"/>
      <c r="DK113" s="144"/>
      <c r="DL113" s="144"/>
      <c r="DM113" s="144"/>
      <c r="DN113" s="144"/>
      <c r="DO113" s="144"/>
      <c r="DP113" s="144"/>
      <c r="DQ113" s="144"/>
      <c r="DR113" s="144"/>
      <c r="DS113" s="144"/>
      <c r="DT113" s="144"/>
      <c r="DU113" s="144"/>
      <c r="DV113" s="144"/>
      <c r="DW113" s="144"/>
      <c r="DX113" s="144"/>
      <c r="DY113" s="144"/>
      <c r="DZ113" s="144"/>
      <c r="EA113" s="144"/>
      <c r="EB113" s="144"/>
      <c r="EC113" s="144"/>
      <c r="ED113" s="144"/>
      <c r="EE113" s="144"/>
      <c r="EF113" s="144"/>
      <c r="EG113" s="144"/>
      <c r="EH113" s="144"/>
      <c r="EI113" s="144"/>
      <c r="EJ113" s="144"/>
      <c r="EK113" s="144"/>
      <c r="EL113" s="144"/>
      <c r="EM113" s="144"/>
      <c r="EN113" s="144"/>
      <c r="EO113" s="144"/>
      <c r="EP113" s="144"/>
      <c r="EQ113" s="144"/>
      <c r="ER113" s="144"/>
      <c r="ES113" s="144"/>
      <c r="ET113" s="144"/>
      <c r="EU113" s="144"/>
      <c r="EV113" s="144"/>
      <c r="EW113" s="144"/>
      <c r="EX113" s="144"/>
      <c r="EY113" s="144"/>
      <c r="EZ113" s="144"/>
      <c r="FA113" s="144"/>
      <c r="FB113" s="144"/>
      <c r="FC113" s="144"/>
      <c r="FD113" s="144"/>
      <c r="FE113" s="144"/>
      <c r="FF113" s="144"/>
      <c r="FG113" s="144"/>
      <c r="FH113" s="144"/>
      <c r="FI113" s="144"/>
      <c r="FJ113" s="144"/>
      <c r="FK113" s="144"/>
      <c r="FL113" s="144"/>
      <c r="FM113" s="144"/>
      <c r="FN113" s="144"/>
      <c r="FO113" s="144"/>
      <c r="FP113" s="144"/>
      <c r="FQ113" s="144"/>
      <c r="FR113" s="144"/>
      <c r="FS113" s="144"/>
      <c r="FT113" s="144"/>
      <c r="FU113" s="144"/>
      <c r="FV113" s="144"/>
      <c r="FW113" s="144"/>
      <c r="FX113" s="144"/>
    </row>
    <row r="114" spans="1:180" s="56" customFormat="1" x14ac:dyDescent="0.2">
      <c r="A114" s="67"/>
      <c r="B114" s="66"/>
      <c r="C114" s="65">
        <f t="shared" si="17"/>
        <v>0</v>
      </c>
      <c r="D114" s="49"/>
      <c r="E114" s="65">
        <f t="shared" si="16"/>
        <v>0</v>
      </c>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c r="BC114" s="144"/>
      <c r="BD114" s="144"/>
      <c r="BE114" s="144"/>
      <c r="BF114" s="144"/>
      <c r="BG114" s="144"/>
      <c r="BH114" s="144"/>
      <c r="BI114" s="144"/>
      <c r="BJ114" s="144"/>
      <c r="BK114" s="144"/>
      <c r="BL114" s="144"/>
      <c r="BM114" s="144"/>
      <c r="BN114" s="144"/>
      <c r="BO114" s="144"/>
      <c r="BP114" s="144"/>
      <c r="BQ114" s="144"/>
      <c r="BR114" s="144"/>
      <c r="BS114" s="144"/>
      <c r="BT114" s="144"/>
      <c r="BU114" s="144"/>
      <c r="BV114" s="144"/>
      <c r="BW114" s="144"/>
      <c r="BX114" s="144"/>
      <c r="BY114" s="144"/>
      <c r="BZ114" s="144"/>
      <c r="CA114" s="144"/>
      <c r="CB114" s="144"/>
      <c r="CC114" s="144"/>
      <c r="CD114" s="144"/>
      <c r="CE114" s="144"/>
      <c r="CF114" s="144"/>
      <c r="CG114" s="144"/>
      <c r="CH114" s="144"/>
      <c r="CI114" s="144"/>
      <c r="CJ114" s="144"/>
      <c r="CK114" s="144"/>
      <c r="CL114" s="144"/>
      <c r="CM114" s="144"/>
      <c r="CN114" s="144"/>
      <c r="CO114" s="144"/>
      <c r="CP114" s="144"/>
      <c r="CQ114" s="144"/>
      <c r="CR114" s="144"/>
      <c r="CS114" s="144"/>
      <c r="CT114" s="144"/>
      <c r="CU114" s="144"/>
      <c r="CV114" s="144"/>
      <c r="CW114" s="144"/>
      <c r="CX114" s="144"/>
      <c r="CY114" s="144"/>
      <c r="CZ114" s="144"/>
      <c r="DA114" s="144"/>
      <c r="DB114" s="144"/>
      <c r="DC114" s="144"/>
      <c r="DD114" s="144"/>
      <c r="DE114" s="144"/>
      <c r="DF114" s="144"/>
      <c r="DG114" s="144"/>
      <c r="DH114" s="144"/>
      <c r="DI114" s="144"/>
      <c r="DJ114" s="144"/>
      <c r="DK114" s="144"/>
      <c r="DL114" s="144"/>
      <c r="DM114" s="144"/>
      <c r="DN114" s="144"/>
      <c r="DO114" s="144"/>
      <c r="DP114" s="144"/>
      <c r="DQ114" s="144"/>
      <c r="DR114" s="144"/>
      <c r="DS114" s="144"/>
      <c r="DT114" s="144"/>
      <c r="DU114" s="144"/>
      <c r="DV114" s="144"/>
      <c r="DW114" s="144"/>
      <c r="DX114" s="144"/>
      <c r="DY114" s="144"/>
      <c r="DZ114" s="144"/>
      <c r="EA114" s="144"/>
      <c r="EB114" s="144"/>
      <c r="EC114" s="144"/>
      <c r="ED114" s="144"/>
      <c r="EE114" s="144"/>
      <c r="EF114" s="144"/>
      <c r="EG114" s="144"/>
      <c r="EH114" s="144"/>
      <c r="EI114" s="144"/>
      <c r="EJ114" s="144"/>
      <c r="EK114" s="144"/>
      <c r="EL114" s="144"/>
      <c r="EM114" s="144"/>
      <c r="EN114" s="144"/>
      <c r="EO114" s="144"/>
      <c r="EP114" s="144"/>
      <c r="EQ114" s="144"/>
      <c r="ER114" s="144"/>
      <c r="ES114" s="144"/>
      <c r="ET114" s="144"/>
      <c r="EU114" s="144"/>
      <c r="EV114" s="144"/>
      <c r="EW114" s="144"/>
      <c r="EX114" s="144"/>
      <c r="EY114" s="144"/>
      <c r="EZ114" s="144"/>
      <c r="FA114" s="144"/>
      <c r="FB114" s="144"/>
      <c r="FC114" s="144"/>
      <c r="FD114" s="144"/>
      <c r="FE114" s="144"/>
      <c r="FF114" s="144"/>
      <c r="FG114" s="144"/>
      <c r="FH114" s="144"/>
      <c r="FI114" s="144"/>
      <c r="FJ114" s="144"/>
      <c r="FK114" s="144"/>
      <c r="FL114" s="144"/>
      <c r="FM114" s="144"/>
      <c r="FN114" s="144"/>
      <c r="FO114" s="144"/>
      <c r="FP114" s="144"/>
      <c r="FQ114" s="144"/>
      <c r="FR114" s="144"/>
      <c r="FS114" s="144"/>
      <c r="FT114" s="144"/>
      <c r="FU114" s="144"/>
      <c r="FV114" s="144"/>
      <c r="FW114" s="144"/>
      <c r="FX114" s="144"/>
    </row>
    <row r="115" spans="1:180" s="56" customFormat="1" x14ac:dyDescent="0.2">
      <c r="A115" s="67"/>
      <c r="B115" s="66"/>
      <c r="C115" s="65">
        <f t="shared" si="17"/>
        <v>0</v>
      </c>
      <c r="D115" s="49"/>
      <c r="E115" s="65">
        <f t="shared" si="16"/>
        <v>0</v>
      </c>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c r="AX115" s="144"/>
      <c r="AY115" s="144"/>
      <c r="AZ115" s="144"/>
      <c r="BA115" s="144"/>
      <c r="BB115" s="144"/>
      <c r="BC115" s="144"/>
      <c r="BD115" s="144"/>
      <c r="BE115" s="144"/>
      <c r="BF115" s="144"/>
      <c r="BG115" s="144"/>
      <c r="BH115" s="144"/>
      <c r="BI115" s="144"/>
      <c r="BJ115" s="144"/>
      <c r="BK115" s="144"/>
      <c r="BL115" s="144"/>
      <c r="BM115" s="144"/>
      <c r="BN115" s="144"/>
      <c r="BO115" s="144"/>
      <c r="BP115" s="144"/>
      <c r="BQ115" s="144"/>
      <c r="BR115" s="144"/>
      <c r="BS115" s="144"/>
      <c r="BT115" s="144"/>
      <c r="BU115" s="144"/>
      <c r="BV115" s="144"/>
      <c r="BW115" s="144"/>
      <c r="BX115" s="144"/>
      <c r="BY115" s="144"/>
      <c r="BZ115" s="144"/>
      <c r="CA115" s="144"/>
      <c r="CB115" s="144"/>
      <c r="CC115" s="144"/>
      <c r="CD115" s="144"/>
      <c r="CE115" s="144"/>
      <c r="CF115" s="144"/>
      <c r="CG115" s="144"/>
      <c r="CH115" s="144"/>
      <c r="CI115" s="144"/>
      <c r="CJ115" s="144"/>
      <c r="CK115" s="144"/>
      <c r="CL115" s="144"/>
      <c r="CM115" s="144"/>
      <c r="CN115" s="144"/>
      <c r="CO115" s="144"/>
      <c r="CP115" s="144"/>
      <c r="CQ115" s="144"/>
      <c r="CR115" s="144"/>
      <c r="CS115" s="144"/>
      <c r="CT115" s="144"/>
      <c r="CU115" s="144"/>
      <c r="CV115" s="144"/>
      <c r="CW115" s="144"/>
      <c r="CX115" s="144"/>
      <c r="CY115" s="144"/>
      <c r="CZ115" s="144"/>
      <c r="DA115" s="144"/>
      <c r="DB115" s="144"/>
      <c r="DC115" s="144"/>
      <c r="DD115" s="144"/>
      <c r="DE115" s="144"/>
      <c r="DF115" s="144"/>
      <c r="DG115" s="144"/>
      <c r="DH115" s="144"/>
      <c r="DI115" s="144"/>
      <c r="DJ115" s="144"/>
      <c r="DK115" s="144"/>
      <c r="DL115" s="144"/>
      <c r="DM115" s="144"/>
      <c r="DN115" s="144"/>
      <c r="DO115" s="144"/>
      <c r="DP115" s="144"/>
      <c r="DQ115" s="144"/>
      <c r="DR115" s="144"/>
      <c r="DS115" s="144"/>
      <c r="DT115" s="144"/>
      <c r="DU115" s="144"/>
      <c r="DV115" s="144"/>
      <c r="DW115" s="144"/>
      <c r="DX115" s="144"/>
      <c r="DY115" s="144"/>
      <c r="DZ115" s="144"/>
      <c r="EA115" s="144"/>
      <c r="EB115" s="144"/>
      <c r="EC115" s="144"/>
      <c r="ED115" s="144"/>
      <c r="EE115" s="144"/>
      <c r="EF115" s="144"/>
      <c r="EG115" s="144"/>
      <c r="EH115" s="144"/>
      <c r="EI115" s="144"/>
      <c r="EJ115" s="144"/>
      <c r="EK115" s="144"/>
      <c r="EL115" s="144"/>
      <c r="EM115" s="144"/>
      <c r="EN115" s="144"/>
      <c r="EO115" s="144"/>
      <c r="EP115" s="144"/>
      <c r="EQ115" s="144"/>
      <c r="ER115" s="144"/>
      <c r="ES115" s="144"/>
      <c r="ET115" s="144"/>
      <c r="EU115" s="144"/>
      <c r="EV115" s="144"/>
      <c r="EW115" s="144"/>
      <c r="EX115" s="144"/>
      <c r="EY115" s="144"/>
      <c r="EZ115" s="144"/>
      <c r="FA115" s="144"/>
      <c r="FB115" s="144"/>
      <c r="FC115" s="144"/>
      <c r="FD115" s="144"/>
      <c r="FE115" s="144"/>
      <c r="FF115" s="144"/>
      <c r="FG115" s="144"/>
      <c r="FH115" s="144"/>
      <c r="FI115" s="144"/>
      <c r="FJ115" s="144"/>
      <c r="FK115" s="144"/>
      <c r="FL115" s="144"/>
      <c r="FM115" s="144"/>
      <c r="FN115" s="144"/>
      <c r="FO115" s="144"/>
      <c r="FP115" s="144"/>
      <c r="FQ115" s="144"/>
      <c r="FR115" s="144"/>
      <c r="FS115" s="144"/>
      <c r="FT115" s="144"/>
      <c r="FU115" s="144"/>
      <c r="FV115" s="144"/>
      <c r="FW115" s="144"/>
      <c r="FX115" s="144"/>
    </row>
    <row r="116" spans="1:180" s="56" customFormat="1" x14ac:dyDescent="0.2">
      <c r="A116" s="67"/>
      <c r="B116" s="66"/>
      <c r="C116" s="65">
        <f t="shared" si="17"/>
        <v>0</v>
      </c>
      <c r="D116" s="49"/>
      <c r="E116" s="65">
        <f t="shared" si="16"/>
        <v>0</v>
      </c>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c r="AX116" s="144"/>
      <c r="AY116" s="144"/>
      <c r="AZ116" s="144"/>
      <c r="BA116" s="144"/>
      <c r="BB116" s="144"/>
      <c r="BC116" s="144"/>
      <c r="BD116" s="144"/>
      <c r="BE116" s="144"/>
      <c r="BF116" s="144"/>
      <c r="BG116" s="144"/>
      <c r="BH116" s="144"/>
      <c r="BI116" s="144"/>
      <c r="BJ116" s="144"/>
      <c r="BK116" s="144"/>
      <c r="BL116" s="144"/>
      <c r="BM116" s="144"/>
      <c r="BN116" s="144"/>
      <c r="BO116" s="144"/>
      <c r="BP116" s="144"/>
      <c r="BQ116" s="144"/>
      <c r="BR116" s="144"/>
      <c r="BS116" s="144"/>
      <c r="BT116" s="144"/>
      <c r="BU116" s="144"/>
      <c r="BV116" s="144"/>
      <c r="BW116" s="144"/>
      <c r="BX116" s="144"/>
      <c r="BY116" s="144"/>
      <c r="BZ116" s="144"/>
      <c r="CA116" s="144"/>
      <c r="CB116" s="144"/>
      <c r="CC116" s="144"/>
      <c r="CD116" s="144"/>
      <c r="CE116" s="144"/>
      <c r="CF116" s="144"/>
      <c r="CG116" s="144"/>
      <c r="CH116" s="144"/>
      <c r="CI116" s="144"/>
      <c r="CJ116" s="144"/>
      <c r="CK116" s="144"/>
      <c r="CL116" s="144"/>
      <c r="CM116" s="144"/>
      <c r="CN116" s="144"/>
      <c r="CO116" s="144"/>
      <c r="CP116" s="144"/>
      <c r="CQ116" s="144"/>
      <c r="CR116" s="144"/>
      <c r="CS116" s="144"/>
      <c r="CT116" s="144"/>
      <c r="CU116" s="144"/>
      <c r="CV116" s="144"/>
      <c r="CW116" s="144"/>
      <c r="CX116" s="144"/>
      <c r="CY116" s="144"/>
      <c r="CZ116" s="144"/>
      <c r="DA116" s="144"/>
      <c r="DB116" s="144"/>
      <c r="DC116" s="144"/>
      <c r="DD116" s="144"/>
      <c r="DE116" s="144"/>
      <c r="DF116" s="144"/>
      <c r="DG116" s="144"/>
      <c r="DH116" s="144"/>
      <c r="DI116" s="144"/>
      <c r="DJ116" s="144"/>
      <c r="DK116" s="144"/>
      <c r="DL116" s="144"/>
      <c r="DM116" s="144"/>
      <c r="DN116" s="144"/>
      <c r="DO116" s="144"/>
      <c r="DP116" s="144"/>
      <c r="DQ116" s="144"/>
      <c r="DR116" s="144"/>
      <c r="DS116" s="144"/>
      <c r="DT116" s="144"/>
      <c r="DU116" s="144"/>
      <c r="DV116" s="144"/>
      <c r="DW116" s="144"/>
      <c r="DX116" s="144"/>
      <c r="DY116" s="144"/>
      <c r="DZ116" s="144"/>
      <c r="EA116" s="144"/>
      <c r="EB116" s="144"/>
      <c r="EC116" s="144"/>
      <c r="ED116" s="144"/>
      <c r="EE116" s="144"/>
      <c r="EF116" s="144"/>
      <c r="EG116" s="144"/>
      <c r="EH116" s="144"/>
      <c r="EI116" s="144"/>
      <c r="EJ116" s="144"/>
      <c r="EK116" s="144"/>
      <c r="EL116" s="144"/>
      <c r="EM116" s="144"/>
      <c r="EN116" s="144"/>
      <c r="EO116" s="144"/>
      <c r="EP116" s="144"/>
      <c r="EQ116" s="144"/>
      <c r="ER116" s="144"/>
      <c r="ES116" s="144"/>
      <c r="ET116" s="144"/>
      <c r="EU116" s="144"/>
      <c r="EV116" s="144"/>
      <c r="EW116" s="144"/>
      <c r="EX116" s="144"/>
      <c r="EY116" s="144"/>
      <c r="EZ116" s="144"/>
      <c r="FA116" s="144"/>
      <c r="FB116" s="144"/>
      <c r="FC116" s="144"/>
      <c r="FD116" s="144"/>
      <c r="FE116" s="144"/>
      <c r="FF116" s="144"/>
      <c r="FG116" s="144"/>
      <c r="FH116" s="144"/>
      <c r="FI116" s="144"/>
      <c r="FJ116" s="144"/>
      <c r="FK116" s="144"/>
      <c r="FL116" s="144"/>
      <c r="FM116" s="144"/>
      <c r="FN116" s="144"/>
      <c r="FO116" s="144"/>
      <c r="FP116" s="144"/>
      <c r="FQ116" s="144"/>
      <c r="FR116" s="144"/>
      <c r="FS116" s="144"/>
      <c r="FT116" s="144"/>
      <c r="FU116" s="144"/>
      <c r="FV116" s="144"/>
      <c r="FW116" s="144"/>
      <c r="FX116" s="144"/>
    </row>
    <row r="117" spans="1:180" s="56" customFormat="1" x14ac:dyDescent="0.2">
      <c r="A117" s="67"/>
      <c r="B117" s="66"/>
      <c r="C117" s="65">
        <f t="shared" si="17"/>
        <v>0</v>
      </c>
      <c r="D117" s="49"/>
      <c r="E117" s="65">
        <f t="shared" si="16"/>
        <v>0</v>
      </c>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c r="AX117" s="144"/>
      <c r="AY117" s="144"/>
      <c r="AZ117" s="144"/>
      <c r="BA117" s="144"/>
      <c r="BB117" s="144"/>
      <c r="BC117" s="144"/>
      <c r="BD117" s="144"/>
      <c r="BE117" s="144"/>
      <c r="BF117" s="144"/>
      <c r="BG117" s="144"/>
      <c r="BH117" s="144"/>
      <c r="BI117" s="144"/>
      <c r="BJ117" s="144"/>
      <c r="BK117" s="144"/>
      <c r="BL117" s="144"/>
      <c r="BM117" s="144"/>
      <c r="BN117" s="144"/>
      <c r="BO117" s="144"/>
      <c r="BP117" s="144"/>
      <c r="BQ117" s="144"/>
      <c r="BR117" s="144"/>
      <c r="BS117" s="144"/>
      <c r="BT117" s="144"/>
      <c r="BU117" s="144"/>
      <c r="BV117" s="144"/>
      <c r="BW117" s="144"/>
      <c r="BX117" s="144"/>
      <c r="BY117" s="144"/>
      <c r="BZ117" s="144"/>
      <c r="CA117" s="144"/>
      <c r="CB117" s="144"/>
      <c r="CC117" s="144"/>
      <c r="CD117" s="144"/>
      <c r="CE117" s="144"/>
      <c r="CF117" s="144"/>
      <c r="CG117" s="144"/>
      <c r="CH117" s="144"/>
      <c r="CI117" s="144"/>
      <c r="CJ117" s="144"/>
      <c r="CK117" s="144"/>
      <c r="CL117" s="144"/>
      <c r="CM117" s="144"/>
      <c r="CN117" s="144"/>
      <c r="CO117" s="144"/>
      <c r="CP117" s="144"/>
      <c r="CQ117" s="144"/>
      <c r="CR117" s="144"/>
      <c r="CS117" s="144"/>
      <c r="CT117" s="144"/>
      <c r="CU117" s="144"/>
      <c r="CV117" s="144"/>
      <c r="CW117" s="144"/>
      <c r="CX117" s="144"/>
      <c r="CY117" s="144"/>
      <c r="CZ117" s="144"/>
      <c r="DA117" s="144"/>
      <c r="DB117" s="144"/>
      <c r="DC117" s="144"/>
      <c r="DD117" s="144"/>
      <c r="DE117" s="144"/>
      <c r="DF117" s="144"/>
      <c r="DG117" s="144"/>
      <c r="DH117" s="144"/>
      <c r="DI117" s="144"/>
      <c r="DJ117" s="144"/>
      <c r="DK117" s="144"/>
      <c r="DL117" s="144"/>
      <c r="DM117" s="144"/>
      <c r="DN117" s="144"/>
      <c r="DO117" s="144"/>
      <c r="DP117" s="144"/>
      <c r="DQ117" s="144"/>
      <c r="DR117" s="144"/>
      <c r="DS117" s="144"/>
      <c r="DT117" s="144"/>
      <c r="DU117" s="144"/>
      <c r="DV117" s="144"/>
      <c r="DW117" s="144"/>
      <c r="DX117" s="144"/>
      <c r="DY117" s="144"/>
      <c r="DZ117" s="144"/>
      <c r="EA117" s="144"/>
      <c r="EB117" s="144"/>
      <c r="EC117" s="144"/>
      <c r="ED117" s="144"/>
      <c r="EE117" s="144"/>
      <c r="EF117" s="144"/>
      <c r="EG117" s="144"/>
      <c r="EH117" s="144"/>
      <c r="EI117" s="144"/>
      <c r="EJ117" s="144"/>
      <c r="EK117" s="144"/>
      <c r="EL117" s="144"/>
      <c r="EM117" s="144"/>
      <c r="EN117" s="144"/>
      <c r="EO117" s="144"/>
      <c r="EP117" s="144"/>
      <c r="EQ117" s="144"/>
      <c r="ER117" s="144"/>
      <c r="ES117" s="144"/>
      <c r="ET117" s="144"/>
      <c r="EU117" s="144"/>
      <c r="EV117" s="144"/>
      <c r="EW117" s="144"/>
      <c r="EX117" s="144"/>
      <c r="EY117" s="144"/>
      <c r="EZ117" s="144"/>
      <c r="FA117" s="144"/>
      <c r="FB117" s="144"/>
      <c r="FC117" s="144"/>
      <c r="FD117" s="144"/>
      <c r="FE117" s="144"/>
      <c r="FF117" s="144"/>
      <c r="FG117" s="144"/>
      <c r="FH117" s="144"/>
      <c r="FI117" s="144"/>
      <c r="FJ117" s="144"/>
      <c r="FK117" s="144"/>
      <c r="FL117" s="144"/>
      <c r="FM117" s="144"/>
      <c r="FN117" s="144"/>
      <c r="FO117" s="144"/>
      <c r="FP117" s="144"/>
      <c r="FQ117" s="144"/>
      <c r="FR117" s="144"/>
      <c r="FS117" s="144"/>
      <c r="FT117" s="144"/>
      <c r="FU117" s="144"/>
      <c r="FV117" s="144"/>
      <c r="FW117" s="144"/>
      <c r="FX117" s="144"/>
    </row>
    <row r="118" spans="1:180" s="56" customFormat="1" x14ac:dyDescent="0.2">
      <c r="A118" s="67"/>
      <c r="B118" s="66"/>
      <c r="C118" s="65">
        <f t="shared" si="17"/>
        <v>0</v>
      </c>
      <c r="D118" s="49"/>
      <c r="E118" s="65">
        <f t="shared" si="16"/>
        <v>0</v>
      </c>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144"/>
      <c r="BC118" s="144"/>
      <c r="BD118" s="144"/>
      <c r="BE118" s="144"/>
      <c r="BF118" s="144"/>
      <c r="BG118" s="144"/>
      <c r="BH118" s="144"/>
      <c r="BI118" s="144"/>
      <c r="BJ118" s="144"/>
      <c r="BK118" s="144"/>
      <c r="BL118" s="144"/>
      <c r="BM118" s="144"/>
      <c r="BN118" s="144"/>
      <c r="BO118" s="144"/>
      <c r="BP118" s="144"/>
      <c r="BQ118" s="144"/>
      <c r="BR118" s="144"/>
      <c r="BS118" s="144"/>
      <c r="BT118" s="144"/>
      <c r="BU118" s="144"/>
      <c r="BV118" s="144"/>
      <c r="BW118" s="144"/>
      <c r="BX118" s="144"/>
      <c r="BY118" s="144"/>
      <c r="BZ118" s="144"/>
      <c r="CA118" s="144"/>
      <c r="CB118" s="144"/>
      <c r="CC118" s="144"/>
      <c r="CD118" s="144"/>
      <c r="CE118" s="144"/>
      <c r="CF118" s="144"/>
      <c r="CG118" s="144"/>
      <c r="CH118" s="144"/>
      <c r="CI118" s="144"/>
      <c r="CJ118" s="144"/>
      <c r="CK118" s="144"/>
      <c r="CL118" s="144"/>
      <c r="CM118" s="144"/>
      <c r="CN118" s="144"/>
      <c r="CO118" s="144"/>
      <c r="CP118" s="144"/>
      <c r="CQ118" s="144"/>
      <c r="CR118" s="144"/>
      <c r="CS118" s="144"/>
      <c r="CT118" s="144"/>
      <c r="CU118" s="144"/>
      <c r="CV118" s="144"/>
      <c r="CW118" s="144"/>
      <c r="CX118" s="144"/>
      <c r="CY118" s="144"/>
      <c r="CZ118" s="144"/>
      <c r="DA118" s="144"/>
      <c r="DB118" s="144"/>
      <c r="DC118" s="144"/>
      <c r="DD118" s="144"/>
      <c r="DE118" s="144"/>
      <c r="DF118" s="144"/>
      <c r="DG118" s="144"/>
      <c r="DH118" s="144"/>
      <c r="DI118" s="144"/>
      <c r="DJ118" s="144"/>
      <c r="DK118" s="144"/>
      <c r="DL118" s="144"/>
      <c r="DM118" s="144"/>
      <c r="DN118" s="144"/>
      <c r="DO118" s="144"/>
      <c r="DP118" s="144"/>
      <c r="DQ118" s="144"/>
      <c r="DR118" s="144"/>
      <c r="DS118" s="144"/>
      <c r="DT118" s="144"/>
      <c r="DU118" s="144"/>
      <c r="DV118" s="144"/>
      <c r="DW118" s="144"/>
      <c r="DX118" s="144"/>
      <c r="DY118" s="144"/>
      <c r="DZ118" s="144"/>
      <c r="EA118" s="144"/>
      <c r="EB118" s="144"/>
      <c r="EC118" s="144"/>
      <c r="ED118" s="144"/>
      <c r="EE118" s="144"/>
      <c r="EF118" s="144"/>
      <c r="EG118" s="144"/>
      <c r="EH118" s="144"/>
      <c r="EI118" s="144"/>
      <c r="EJ118" s="144"/>
      <c r="EK118" s="144"/>
      <c r="EL118" s="144"/>
      <c r="EM118" s="144"/>
      <c r="EN118" s="144"/>
      <c r="EO118" s="144"/>
      <c r="EP118" s="144"/>
      <c r="EQ118" s="144"/>
      <c r="ER118" s="144"/>
      <c r="ES118" s="144"/>
      <c r="ET118" s="144"/>
      <c r="EU118" s="144"/>
      <c r="EV118" s="144"/>
      <c r="EW118" s="144"/>
      <c r="EX118" s="144"/>
      <c r="EY118" s="144"/>
      <c r="EZ118" s="144"/>
      <c r="FA118" s="144"/>
      <c r="FB118" s="144"/>
      <c r="FC118" s="144"/>
      <c r="FD118" s="144"/>
      <c r="FE118" s="144"/>
      <c r="FF118" s="144"/>
      <c r="FG118" s="144"/>
      <c r="FH118" s="144"/>
      <c r="FI118" s="144"/>
      <c r="FJ118" s="144"/>
      <c r="FK118" s="144"/>
      <c r="FL118" s="144"/>
      <c r="FM118" s="144"/>
      <c r="FN118" s="144"/>
      <c r="FO118" s="144"/>
      <c r="FP118" s="144"/>
      <c r="FQ118" s="144"/>
      <c r="FR118" s="144"/>
      <c r="FS118" s="144"/>
      <c r="FT118" s="144"/>
      <c r="FU118" s="144"/>
      <c r="FV118" s="144"/>
      <c r="FW118" s="144"/>
      <c r="FX118" s="144"/>
    </row>
    <row r="119" spans="1:180" s="56" customFormat="1" x14ac:dyDescent="0.2">
      <c r="A119" s="67"/>
      <c r="B119" s="66"/>
      <c r="C119" s="65">
        <f t="shared" si="17"/>
        <v>0</v>
      </c>
      <c r="D119" s="49"/>
      <c r="E119" s="65">
        <f t="shared" si="16"/>
        <v>0</v>
      </c>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c r="AX119" s="144"/>
      <c r="AY119" s="144"/>
      <c r="AZ119" s="144"/>
      <c r="BA119" s="144"/>
      <c r="BB119" s="144"/>
      <c r="BC119" s="144"/>
      <c r="BD119" s="144"/>
      <c r="BE119" s="144"/>
      <c r="BF119" s="144"/>
      <c r="BG119" s="144"/>
      <c r="BH119" s="144"/>
      <c r="BI119" s="144"/>
      <c r="BJ119" s="144"/>
      <c r="BK119" s="144"/>
      <c r="BL119" s="144"/>
      <c r="BM119" s="144"/>
      <c r="BN119" s="144"/>
      <c r="BO119" s="144"/>
      <c r="BP119" s="144"/>
      <c r="BQ119" s="144"/>
      <c r="BR119" s="144"/>
      <c r="BS119" s="144"/>
      <c r="BT119" s="144"/>
      <c r="BU119" s="144"/>
      <c r="BV119" s="144"/>
      <c r="BW119" s="144"/>
      <c r="BX119" s="144"/>
      <c r="BY119" s="144"/>
      <c r="BZ119" s="144"/>
      <c r="CA119" s="144"/>
      <c r="CB119" s="144"/>
      <c r="CC119" s="144"/>
      <c r="CD119" s="144"/>
      <c r="CE119" s="144"/>
      <c r="CF119" s="144"/>
      <c r="CG119" s="144"/>
      <c r="CH119" s="144"/>
      <c r="CI119" s="144"/>
      <c r="CJ119" s="144"/>
      <c r="CK119" s="144"/>
      <c r="CL119" s="144"/>
      <c r="CM119" s="144"/>
      <c r="CN119" s="144"/>
      <c r="CO119" s="144"/>
      <c r="CP119" s="144"/>
      <c r="CQ119" s="144"/>
      <c r="CR119" s="144"/>
      <c r="CS119" s="144"/>
      <c r="CT119" s="144"/>
      <c r="CU119" s="144"/>
      <c r="CV119" s="144"/>
      <c r="CW119" s="144"/>
      <c r="CX119" s="144"/>
      <c r="CY119" s="144"/>
      <c r="CZ119" s="144"/>
      <c r="DA119" s="144"/>
      <c r="DB119" s="144"/>
      <c r="DC119" s="144"/>
      <c r="DD119" s="144"/>
      <c r="DE119" s="144"/>
      <c r="DF119" s="144"/>
      <c r="DG119" s="144"/>
      <c r="DH119" s="144"/>
      <c r="DI119" s="144"/>
      <c r="DJ119" s="144"/>
      <c r="DK119" s="144"/>
      <c r="DL119" s="144"/>
      <c r="DM119" s="144"/>
      <c r="DN119" s="144"/>
      <c r="DO119" s="144"/>
      <c r="DP119" s="144"/>
      <c r="DQ119" s="144"/>
      <c r="DR119" s="144"/>
      <c r="DS119" s="144"/>
      <c r="DT119" s="144"/>
      <c r="DU119" s="144"/>
      <c r="DV119" s="144"/>
      <c r="DW119" s="144"/>
      <c r="DX119" s="144"/>
      <c r="DY119" s="144"/>
      <c r="DZ119" s="144"/>
      <c r="EA119" s="144"/>
      <c r="EB119" s="144"/>
      <c r="EC119" s="144"/>
      <c r="ED119" s="144"/>
      <c r="EE119" s="144"/>
      <c r="EF119" s="144"/>
      <c r="EG119" s="144"/>
      <c r="EH119" s="144"/>
      <c r="EI119" s="144"/>
      <c r="EJ119" s="144"/>
      <c r="EK119" s="144"/>
      <c r="EL119" s="144"/>
      <c r="EM119" s="144"/>
      <c r="EN119" s="144"/>
      <c r="EO119" s="144"/>
      <c r="EP119" s="144"/>
      <c r="EQ119" s="144"/>
      <c r="ER119" s="144"/>
      <c r="ES119" s="144"/>
      <c r="ET119" s="144"/>
      <c r="EU119" s="144"/>
      <c r="EV119" s="144"/>
      <c r="EW119" s="144"/>
      <c r="EX119" s="144"/>
      <c r="EY119" s="144"/>
      <c r="EZ119" s="144"/>
      <c r="FA119" s="144"/>
      <c r="FB119" s="144"/>
      <c r="FC119" s="144"/>
      <c r="FD119" s="144"/>
      <c r="FE119" s="144"/>
      <c r="FF119" s="144"/>
      <c r="FG119" s="144"/>
      <c r="FH119" s="144"/>
      <c r="FI119" s="144"/>
      <c r="FJ119" s="144"/>
      <c r="FK119" s="144"/>
      <c r="FL119" s="144"/>
      <c r="FM119" s="144"/>
      <c r="FN119" s="144"/>
      <c r="FO119" s="144"/>
      <c r="FP119" s="144"/>
      <c r="FQ119" s="144"/>
      <c r="FR119" s="144"/>
      <c r="FS119" s="144"/>
      <c r="FT119" s="144"/>
      <c r="FU119" s="144"/>
      <c r="FV119" s="144"/>
      <c r="FW119" s="144"/>
      <c r="FX119" s="144"/>
    </row>
    <row r="120" spans="1:180" s="56" customFormat="1" x14ac:dyDescent="0.2">
      <c r="A120" s="67"/>
      <c r="B120" s="66"/>
      <c r="C120" s="65">
        <f t="shared" si="17"/>
        <v>0</v>
      </c>
      <c r="D120" s="49"/>
      <c r="E120" s="65">
        <f t="shared" si="16"/>
        <v>0</v>
      </c>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c r="BC120" s="144"/>
      <c r="BD120" s="144"/>
      <c r="BE120" s="144"/>
      <c r="BF120" s="144"/>
      <c r="BG120" s="144"/>
      <c r="BH120" s="144"/>
      <c r="BI120" s="144"/>
      <c r="BJ120" s="144"/>
      <c r="BK120" s="144"/>
      <c r="BL120" s="144"/>
      <c r="BM120" s="144"/>
      <c r="BN120" s="144"/>
      <c r="BO120" s="144"/>
      <c r="BP120" s="144"/>
      <c r="BQ120" s="144"/>
      <c r="BR120" s="144"/>
      <c r="BS120" s="144"/>
      <c r="BT120" s="144"/>
      <c r="BU120" s="144"/>
      <c r="BV120" s="144"/>
      <c r="BW120" s="144"/>
      <c r="BX120" s="144"/>
      <c r="BY120" s="144"/>
      <c r="BZ120" s="144"/>
      <c r="CA120" s="144"/>
      <c r="CB120" s="144"/>
      <c r="CC120" s="144"/>
      <c r="CD120" s="144"/>
      <c r="CE120" s="144"/>
      <c r="CF120" s="144"/>
      <c r="CG120" s="144"/>
      <c r="CH120" s="144"/>
      <c r="CI120" s="144"/>
      <c r="CJ120" s="144"/>
      <c r="CK120" s="144"/>
      <c r="CL120" s="144"/>
      <c r="CM120" s="144"/>
      <c r="CN120" s="144"/>
      <c r="CO120" s="144"/>
      <c r="CP120" s="144"/>
      <c r="CQ120" s="144"/>
      <c r="CR120" s="144"/>
      <c r="CS120" s="144"/>
      <c r="CT120" s="144"/>
      <c r="CU120" s="144"/>
      <c r="CV120" s="144"/>
      <c r="CW120" s="144"/>
      <c r="CX120" s="144"/>
      <c r="CY120" s="144"/>
      <c r="CZ120" s="144"/>
      <c r="DA120" s="144"/>
      <c r="DB120" s="144"/>
      <c r="DC120" s="144"/>
      <c r="DD120" s="144"/>
      <c r="DE120" s="144"/>
      <c r="DF120" s="144"/>
      <c r="DG120" s="144"/>
      <c r="DH120" s="144"/>
      <c r="DI120" s="144"/>
      <c r="DJ120" s="144"/>
      <c r="DK120" s="144"/>
      <c r="DL120" s="144"/>
      <c r="DM120" s="144"/>
      <c r="DN120" s="144"/>
      <c r="DO120" s="144"/>
      <c r="DP120" s="144"/>
      <c r="DQ120" s="144"/>
      <c r="DR120" s="144"/>
      <c r="DS120" s="144"/>
      <c r="DT120" s="144"/>
      <c r="DU120" s="144"/>
      <c r="DV120" s="144"/>
      <c r="DW120" s="144"/>
      <c r="DX120" s="144"/>
      <c r="DY120" s="144"/>
      <c r="DZ120" s="144"/>
      <c r="EA120" s="144"/>
      <c r="EB120" s="144"/>
      <c r="EC120" s="144"/>
      <c r="ED120" s="144"/>
      <c r="EE120" s="144"/>
      <c r="EF120" s="144"/>
      <c r="EG120" s="144"/>
      <c r="EH120" s="144"/>
      <c r="EI120" s="144"/>
      <c r="EJ120" s="144"/>
      <c r="EK120" s="144"/>
      <c r="EL120" s="144"/>
      <c r="EM120" s="144"/>
      <c r="EN120" s="144"/>
      <c r="EO120" s="144"/>
      <c r="EP120" s="144"/>
      <c r="EQ120" s="144"/>
      <c r="ER120" s="144"/>
      <c r="ES120" s="144"/>
      <c r="ET120" s="144"/>
      <c r="EU120" s="144"/>
      <c r="EV120" s="144"/>
      <c r="EW120" s="144"/>
      <c r="EX120" s="144"/>
      <c r="EY120" s="144"/>
      <c r="EZ120" s="144"/>
      <c r="FA120" s="144"/>
      <c r="FB120" s="144"/>
      <c r="FC120" s="144"/>
      <c r="FD120" s="144"/>
      <c r="FE120" s="144"/>
      <c r="FF120" s="144"/>
      <c r="FG120" s="144"/>
      <c r="FH120" s="144"/>
      <c r="FI120" s="144"/>
      <c r="FJ120" s="144"/>
      <c r="FK120" s="144"/>
      <c r="FL120" s="144"/>
      <c r="FM120" s="144"/>
      <c r="FN120" s="144"/>
      <c r="FO120" s="144"/>
      <c r="FP120" s="144"/>
      <c r="FQ120" s="144"/>
      <c r="FR120" s="144"/>
      <c r="FS120" s="144"/>
      <c r="FT120" s="144"/>
      <c r="FU120" s="144"/>
      <c r="FV120" s="144"/>
      <c r="FW120" s="144"/>
      <c r="FX120" s="144"/>
    </row>
    <row r="121" spans="1:180" s="56" customFormat="1" x14ac:dyDescent="0.2">
      <c r="A121" s="67"/>
      <c r="B121" s="66"/>
      <c r="C121" s="65">
        <f t="shared" si="17"/>
        <v>0</v>
      </c>
      <c r="D121" s="49"/>
      <c r="E121" s="65">
        <f t="shared" si="16"/>
        <v>0</v>
      </c>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c r="BC121" s="144"/>
      <c r="BD121" s="144"/>
      <c r="BE121" s="144"/>
      <c r="BF121" s="144"/>
      <c r="BG121" s="144"/>
      <c r="BH121" s="144"/>
      <c r="BI121" s="144"/>
      <c r="BJ121" s="144"/>
      <c r="BK121" s="144"/>
      <c r="BL121" s="144"/>
      <c r="BM121" s="144"/>
      <c r="BN121" s="144"/>
      <c r="BO121" s="144"/>
      <c r="BP121" s="144"/>
      <c r="BQ121" s="144"/>
      <c r="BR121" s="144"/>
      <c r="BS121" s="144"/>
      <c r="BT121" s="144"/>
      <c r="BU121" s="144"/>
      <c r="BV121" s="144"/>
      <c r="BW121" s="144"/>
      <c r="BX121" s="144"/>
      <c r="BY121" s="144"/>
      <c r="BZ121" s="144"/>
      <c r="CA121" s="144"/>
      <c r="CB121" s="144"/>
      <c r="CC121" s="144"/>
      <c r="CD121" s="144"/>
      <c r="CE121" s="144"/>
      <c r="CF121" s="144"/>
      <c r="CG121" s="144"/>
      <c r="CH121" s="144"/>
      <c r="CI121" s="144"/>
      <c r="CJ121" s="144"/>
      <c r="CK121" s="144"/>
      <c r="CL121" s="144"/>
      <c r="CM121" s="144"/>
      <c r="CN121" s="144"/>
      <c r="CO121" s="144"/>
      <c r="CP121" s="144"/>
      <c r="CQ121" s="144"/>
      <c r="CR121" s="144"/>
      <c r="CS121" s="144"/>
      <c r="CT121" s="144"/>
      <c r="CU121" s="144"/>
      <c r="CV121" s="144"/>
      <c r="CW121" s="144"/>
      <c r="CX121" s="144"/>
      <c r="CY121" s="144"/>
      <c r="CZ121" s="144"/>
      <c r="DA121" s="144"/>
      <c r="DB121" s="144"/>
      <c r="DC121" s="144"/>
      <c r="DD121" s="144"/>
      <c r="DE121" s="144"/>
      <c r="DF121" s="144"/>
      <c r="DG121" s="144"/>
      <c r="DH121" s="144"/>
      <c r="DI121" s="144"/>
      <c r="DJ121" s="144"/>
      <c r="DK121" s="144"/>
      <c r="DL121" s="144"/>
      <c r="DM121" s="144"/>
      <c r="DN121" s="144"/>
      <c r="DO121" s="144"/>
      <c r="DP121" s="144"/>
      <c r="DQ121" s="144"/>
      <c r="DR121" s="144"/>
      <c r="DS121" s="144"/>
      <c r="DT121" s="144"/>
      <c r="DU121" s="144"/>
      <c r="DV121" s="144"/>
      <c r="DW121" s="144"/>
      <c r="DX121" s="144"/>
      <c r="DY121" s="144"/>
      <c r="DZ121" s="144"/>
      <c r="EA121" s="144"/>
      <c r="EB121" s="144"/>
      <c r="EC121" s="144"/>
      <c r="ED121" s="144"/>
      <c r="EE121" s="144"/>
      <c r="EF121" s="144"/>
      <c r="EG121" s="144"/>
      <c r="EH121" s="144"/>
      <c r="EI121" s="144"/>
      <c r="EJ121" s="144"/>
      <c r="EK121" s="144"/>
      <c r="EL121" s="144"/>
      <c r="EM121" s="144"/>
      <c r="EN121" s="144"/>
      <c r="EO121" s="144"/>
      <c r="EP121" s="144"/>
      <c r="EQ121" s="144"/>
      <c r="ER121" s="144"/>
      <c r="ES121" s="144"/>
      <c r="ET121" s="144"/>
      <c r="EU121" s="144"/>
      <c r="EV121" s="144"/>
      <c r="EW121" s="144"/>
      <c r="EX121" s="144"/>
      <c r="EY121" s="144"/>
      <c r="EZ121" s="144"/>
      <c r="FA121" s="144"/>
      <c r="FB121" s="144"/>
      <c r="FC121" s="144"/>
      <c r="FD121" s="144"/>
      <c r="FE121" s="144"/>
      <c r="FF121" s="144"/>
      <c r="FG121" s="144"/>
      <c r="FH121" s="144"/>
      <c r="FI121" s="144"/>
      <c r="FJ121" s="144"/>
      <c r="FK121" s="144"/>
      <c r="FL121" s="144"/>
      <c r="FM121" s="144"/>
      <c r="FN121" s="144"/>
      <c r="FO121" s="144"/>
      <c r="FP121" s="144"/>
      <c r="FQ121" s="144"/>
      <c r="FR121" s="144"/>
      <c r="FS121" s="144"/>
      <c r="FT121" s="144"/>
      <c r="FU121" s="144"/>
      <c r="FV121" s="144"/>
      <c r="FW121" s="144"/>
      <c r="FX121" s="144"/>
    </row>
    <row r="122" spans="1:180" s="56" customFormat="1" x14ac:dyDescent="0.2">
      <c r="A122" s="67"/>
      <c r="B122" s="66"/>
      <c r="C122" s="65">
        <f t="shared" si="17"/>
        <v>0</v>
      </c>
      <c r="D122" s="49"/>
      <c r="E122" s="65">
        <f t="shared" si="16"/>
        <v>0</v>
      </c>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144"/>
      <c r="EL122" s="144"/>
      <c r="EM122" s="144"/>
      <c r="EN122" s="144"/>
      <c r="EO122" s="144"/>
      <c r="EP122" s="144"/>
      <c r="EQ122" s="144"/>
      <c r="ER122" s="144"/>
      <c r="ES122" s="144"/>
      <c r="ET122" s="144"/>
      <c r="EU122" s="144"/>
      <c r="EV122" s="144"/>
      <c r="EW122" s="144"/>
      <c r="EX122" s="144"/>
      <c r="EY122" s="144"/>
      <c r="EZ122" s="144"/>
      <c r="FA122" s="144"/>
      <c r="FB122" s="144"/>
      <c r="FC122" s="144"/>
      <c r="FD122" s="144"/>
      <c r="FE122" s="144"/>
      <c r="FF122" s="144"/>
      <c r="FG122" s="144"/>
      <c r="FH122" s="144"/>
      <c r="FI122" s="144"/>
      <c r="FJ122" s="144"/>
      <c r="FK122" s="144"/>
      <c r="FL122" s="144"/>
      <c r="FM122" s="144"/>
      <c r="FN122" s="144"/>
      <c r="FO122" s="144"/>
      <c r="FP122" s="144"/>
      <c r="FQ122" s="144"/>
      <c r="FR122" s="144"/>
      <c r="FS122" s="144"/>
      <c r="FT122" s="144"/>
      <c r="FU122" s="144"/>
      <c r="FV122" s="144"/>
      <c r="FW122" s="144"/>
      <c r="FX122" s="144"/>
    </row>
    <row r="123" spans="1:180" s="56" customFormat="1" x14ac:dyDescent="0.2">
      <c r="A123" s="67"/>
      <c r="B123" s="66"/>
      <c r="C123" s="65">
        <f t="shared" si="17"/>
        <v>0</v>
      </c>
      <c r="D123" s="49"/>
      <c r="E123" s="65">
        <f t="shared" si="16"/>
        <v>0</v>
      </c>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144"/>
      <c r="EL123" s="144"/>
      <c r="EM123" s="144"/>
      <c r="EN123" s="144"/>
      <c r="EO123" s="144"/>
      <c r="EP123" s="144"/>
      <c r="EQ123" s="144"/>
      <c r="ER123" s="144"/>
      <c r="ES123" s="144"/>
      <c r="ET123" s="144"/>
      <c r="EU123" s="144"/>
      <c r="EV123" s="144"/>
      <c r="EW123" s="144"/>
      <c r="EX123" s="144"/>
      <c r="EY123" s="144"/>
      <c r="EZ123" s="144"/>
      <c r="FA123" s="144"/>
      <c r="FB123" s="144"/>
      <c r="FC123" s="144"/>
      <c r="FD123" s="144"/>
      <c r="FE123" s="144"/>
      <c r="FF123" s="144"/>
      <c r="FG123" s="144"/>
      <c r="FH123" s="144"/>
      <c r="FI123" s="144"/>
      <c r="FJ123" s="144"/>
      <c r="FK123" s="144"/>
      <c r="FL123" s="144"/>
      <c r="FM123" s="144"/>
      <c r="FN123" s="144"/>
      <c r="FO123" s="144"/>
      <c r="FP123" s="144"/>
      <c r="FQ123" s="144"/>
      <c r="FR123" s="144"/>
      <c r="FS123" s="144"/>
      <c r="FT123" s="144"/>
      <c r="FU123" s="144"/>
      <c r="FV123" s="144"/>
      <c r="FW123" s="144"/>
      <c r="FX123" s="144"/>
    </row>
    <row r="124" spans="1:180" s="56" customFormat="1" x14ac:dyDescent="0.2">
      <c r="A124" s="67"/>
      <c r="B124" s="66"/>
      <c r="C124" s="65">
        <f t="shared" si="17"/>
        <v>0</v>
      </c>
      <c r="D124" s="49"/>
      <c r="E124" s="65">
        <f t="shared" si="16"/>
        <v>0</v>
      </c>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144"/>
      <c r="BC124" s="144"/>
      <c r="BD124" s="144"/>
      <c r="BE124" s="144"/>
      <c r="BF124" s="144"/>
      <c r="BG124" s="144"/>
      <c r="BH124" s="144"/>
      <c r="BI124" s="144"/>
      <c r="BJ124" s="144"/>
      <c r="BK124" s="144"/>
      <c r="BL124" s="144"/>
      <c r="BM124" s="144"/>
      <c r="BN124" s="144"/>
      <c r="BO124" s="144"/>
      <c r="BP124" s="144"/>
      <c r="BQ124" s="144"/>
      <c r="BR124" s="144"/>
      <c r="BS124" s="144"/>
      <c r="BT124" s="144"/>
      <c r="BU124" s="144"/>
      <c r="BV124" s="144"/>
      <c r="BW124" s="144"/>
      <c r="BX124" s="144"/>
      <c r="BY124" s="144"/>
      <c r="BZ124" s="144"/>
      <c r="CA124" s="144"/>
      <c r="CB124" s="144"/>
      <c r="CC124" s="144"/>
      <c r="CD124" s="144"/>
      <c r="CE124" s="144"/>
      <c r="CF124" s="144"/>
      <c r="CG124" s="144"/>
      <c r="CH124" s="144"/>
      <c r="CI124" s="144"/>
      <c r="CJ124" s="144"/>
      <c r="CK124" s="144"/>
      <c r="CL124" s="144"/>
      <c r="CM124" s="144"/>
      <c r="CN124" s="144"/>
      <c r="CO124" s="144"/>
      <c r="CP124" s="144"/>
      <c r="CQ124" s="144"/>
      <c r="CR124" s="144"/>
      <c r="CS124" s="144"/>
      <c r="CT124" s="144"/>
      <c r="CU124" s="144"/>
      <c r="CV124" s="144"/>
      <c r="CW124" s="144"/>
      <c r="CX124" s="144"/>
      <c r="CY124" s="144"/>
      <c r="CZ124" s="144"/>
      <c r="DA124" s="144"/>
      <c r="DB124" s="144"/>
      <c r="DC124" s="144"/>
      <c r="DD124" s="144"/>
      <c r="DE124" s="144"/>
      <c r="DF124" s="144"/>
      <c r="DG124" s="144"/>
      <c r="DH124" s="144"/>
      <c r="DI124" s="144"/>
      <c r="DJ124" s="144"/>
      <c r="DK124" s="144"/>
      <c r="DL124" s="144"/>
      <c r="DM124" s="144"/>
      <c r="DN124" s="144"/>
      <c r="DO124" s="144"/>
      <c r="DP124" s="144"/>
      <c r="DQ124" s="144"/>
      <c r="DR124" s="144"/>
      <c r="DS124" s="144"/>
      <c r="DT124" s="144"/>
      <c r="DU124" s="144"/>
      <c r="DV124" s="144"/>
      <c r="DW124" s="144"/>
      <c r="DX124" s="144"/>
      <c r="DY124" s="144"/>
      <c r="DZ124" s="144"/>
      <c r="EA124" s="144"/>
      <c r="EB124" s="144"/>
      <c r="EC124" s="144"/>
      <c r="ED124" s="144"/>
      <c r="EE124" s="144"/>
      <c r="EF124" s="144"/>
      <c r="EG124" s="144"/>
      <c r="EH124" s="144"/>
      <c r="EI124" s="144"/>
      <c r="EJ124" s="144"/>
      <c r="EK124" s="144"/>
      <c r="EL124" s="144"/>
      <c r="EM124" s="144"/>
      <c r="EN124" s="144"/>
      <c r="EO124" s="144"/>
      <c r="EP124" s="144"/>
      <c r="EQ124" s="144"/>
      <c r="ER124" s="144"/>
      <c r="ES124" s="144"/>
      <c r="ET124" s="144"/>
      <c r="EU124" s="144"/>
      <c r="EV124" s="144"/>
      <c r="EW124" s="144"/>
      <c r="EX124" s="144"/>
      <c r="EY124" s="144"/>
      <c r="EZ124" s="144"/>
      <c r="FA124" s="144"/>
      <c r="FB124" s="144"/>
      <c r="FC124" s="144"/>
      <c r="FD124" s="144"/>
      <c r="FE124" s="144"/>
      <c r="FF124" s="144"/>
      <c r="FG124" s="144"/>
      <c r="FH124" s="144"/>
      <c r="FI124" s="144"/>
      <c r="FJ124" s="144"/>
      <c r="FK124" s="144"/>
      <c r="FL124" s="144"/>
      <c r="FM124" s="144"/>
      <c r="FN124" s="144"/>
      <c r="FO124" s="144"/>
      <c r="FP124" s="144"/>
      <c r="FQ124" s="144"/>
      <c r="FR124" s="144"/>
      <c r="FS124" s="144"/>
      <c r="FT124" s="144"/>
      <c r="FU124" s="144"/>
      <c r="FV124" s="144"/>
      <c r="FW124" s="144"/>
      <c r="FX124" s="144"/>
    </row>
    <row r="125" spans="1:180" s="56" customFormat="1" x14ac:dyDescent="0.2">
      <c r="A125" s="67"/>
      <c r="B125" s="66"/>
      <c r="C125" s="65">
        <f t="shared" si="17"/>
        <v>0</v>
      </c>
      <c r="D125" s="49"/>
      <c r="E125" s="65">
        <f t="shared" si="16"/>
        <v>0</v>
      </c>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144"/>
      <c r="BC125" s="144"/>
      <c r="BD125" s="144"/>
      <c r="BE125" s="144"/>
      <c r="BF125" s="144"/>
      <c r="BG125" s="144"/>
      <c r="BH125" s="144"/>
      <c r="BI125" s="144"/>
      <c r="BJ125" s="144"/>
      <c r="BK125" s="144"/>
      <c r="BL125" s="144"/>
      <c r="BM125" s="144"/>
      <c r="BN125" s="144"/>
      <c r="BO125" s="144"/>
      <c r="BP125" s="144"/>
      <c r="BQ125" s="144"/>
      <c r="BR125" s="144"/>
      <c r="BS125" s="144"/>
      <c r="BT125" s="144"/>
      <c r="BU125" s="144"/>
      <c r="BV125" s="144"/>
      <c r="BW125" s="144"/>
      <c r="BX125" s="144"/>
      <c r="BY125" s="144"/>
      <c r="BZ125" s="144"/>
      <c r="CA125" s="144"/>
      <c r="CB125" s="144"/>
      <c r="CC125" s="144"/>
      <c r="CD125" s="144"/>
      <c r="CE125" s="144"/>
      <c r="CF125" s="144"/>
      <c r="CG125" s="144"/>
      <c r="CH125" s="144"/>
      <c r="CI125" s="144"/>
      <c r="CJ125" s="144"/>
      <c r="CK125" s="144"/>
      <c r="CL125" s="144"/>
      <c r="CM125" s="144"/>
      <c r="CN125" s="144"/>
      <c r="CO125" s="144"/>
      <c r="CP125" s="144"/>
      <c r="CQ125" s="144"/>
      <c r="CR125" s="144"/>
      <c r="CS125" s="144"/>
      <c r="CT125" s="144"/>
      <c r="CU125" s="144"/>
      <c r="CV125" s="144"/>
      <c r="CW125" s="144"/>
      <c r="CX125" s="144"/>
      <c r="CY125" s="144"/>
      <c r="CZ125" s="144"/>
      <c r="DA125" s="144"/>
      <c r="DB125" s="144"/>
      <c r="DC125" s="144"/>
      <c r="DD125" s="144"/>
      <c r="DE125" s="144"/>
      <c r="DF125" s="144"/>
      <c r="DG125" s="144"/>
      <c r="DH125" s="144"/>
      <c r="DI125" s="144"/>
      <c r="DJ125" s="144"/>
      <c r="DK125" s="144"/>
      <c r="DL125" s="144"/>
      <c r="DM125" s="144"/>
      <c r="DN125" s="144"/>
      <c r="DO125" s="144"/>
      <c r="DP125" s="144"/>
      <c r="DQ125" s="144"/>
      <c r="DR125" s="144"/>
      <c r="DS125" s="144"/>
      <c r="DT125" s="144"/>
      <c r="DU125" s="144"/>
      <c r="DV125" s="144"/>
      <c r="DW125" s="144"/>
      <c r="DX125" s="144"/>
      <c r="DY125" s="144"/>
      <c r="DZ125" s="144"/>
      <c r="EA125" s="144"/>
      <c r="EB125" s="144"/>
      <c r="EC125" s="144"/>
      <c r="ED125" s="144"/>
      <c r="EE125" s="144"/>
      <c r="EF125" s="144"/>
      <c r="EG125" s="144"/>
      <c r="EH125" s="144"/>
      <c r="EI125" s="144"/>
      <c r="EJ125" s="144"/>
      <c r="EK125" s="144"/>
      <c r="EL125" s="144"/>
      <c r="EM125" s="144"/>
      <c r="EN125" s="144"/>
      <c r="EO125" s="144"/>
      <c r="EP125" s="144"/>
      <c r="EQ125" s="144"/>
      <c r="ER125" s="144"/>
      <c r="ES125" s="144"/>
      <c r="ET125" s="144"/>
      <c r="EU125" s="144"/>
      <c r="EV125" s="144"/>
      <c r="EW125" s="144"/>
      <c r="EX125" s="144"/>
      <c r="EY125" s="144"/>
      <c r="EZ125" s="144"/>
      <c r="FA125" s="144"/>
      <c r="FB125" s="144"/>
      <c r="FC125" s="144"/>
      <c r="FD125" s="144"/>
      <c r="FE125" s="144"/>
      <c r="FF125" s="144"/>
      <c r="FG125" s="144"/>
      <c r="FH125" s="144"/>
      <c r="FI125" s="144"/>
      <c r="FJ125" s="144"/>
      <c r="FK125" s="144"/>
      <c r="FL125" s="144"/>
      <c r="FM125" s="144"/>
      <c r="FN125" s="144"/>
      <c r="FO125" s="144"/>
      <c r="FP125" s="144"/>
      <c r="FQ125" s="144"/>
      <c r="FR125" s="144"/>
      <c r="FS125" s="144"/>
      <c r="FT125" s="144"/>
      <c r="FU125" s="144"/>
      <c r="FV125" s="144"/>
      <c r="FW125" s="144"/>
      <c r="FX125" s="144"/>
    </row>
    <row r="126" spans="1:180" s="56" customFormat="1" x14ac:dyDescent="0.2">
      <c r="A126" s="67"/>
      <c r="B126" s="66"/>
      <c r="C126" s="65">
        <f t="shared" si="17"/>
        <v>0</v>
      </c>
      <c r="D126" s="49"/>
      <c r="E126" s="65">
        <f t="shared" si="16"/>
        <v>0</v>
      </c>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c r="CB126" s="144"/>
      <c r="CC126" s="144"/>
      <c r="CD126" s="144"/>
      <c r="CE126" s="144"/>
      <c r="CF126" s="144"/>
      <c r="CG126" s="144"/>
      <c r="CH126" s="144"/>
      <c r="CI126" s="144"/>
      <c r="CJ126" s="144"/>
      <c r="CK126" s="144"/>
      <c r="CL126" s="144"/>
      <c r="CM126" s="144"/>
      <c r="CN126" s="144"/>
      <c r="CO126" s="144"/>
      <c r="CP126" s="144"/>
      <c r="CQ126" s="144"/>
      <c r="CR126" s="144"/>
      <c r="CS126" s="144"/>
      <c r="CT126" s="144"/>
      <c r="CU126" s="144"/>
      <c r="CV126" s="144"/>
      <c r="CW126" s="144"/>
      <c r="CX126" s="144"/>
      <c r="CY126" s="144"/>
      <c r="CZ126" s="144"/>
      <c r="DA126" s="144"/>
      <c r="DB126" s="144"/>
      <c r="DC126" s="144"/>
      <c r="DD126" s="144"/>
      <c r="DE126" s="144"/>
      <c r="DF126" s="144"/>
      <c r="DG126" s="144"/>
      <c r="DH126" s="144"/>
      <c r="DI126" s="144"/>
      <c r="DJ126" s="144"/>
      <c r="DK126" s="144"/>
      <c r="DL126" s="144"/>
      <c r="DM126" s="144"/>
      <c r="DN126" s="144"/>
      <c r="DO126" s="144"/>
      <c r="DP126" s="144"/>
      <c r="DQ126" s="144"/>
      <c r="DR126" s="144"/>
      <c r="DS126" s="144"/>
      <c r="DT126" s="144"/>
      <c r="DU126" s="144"/>
      <c r="DV126" s="144"/>
      <c r="DW126" s="144"/>
      <c r="DX126" s="144"/>
      <c r="DY126" s="144"/>
      <c r="DZ126" s="144"/>
      <c r="EA126" s="144"/>
      <c r="EB126" s="144"/>
      <c r="EC126" s="144"/>
      <c r="ED126" s="144"/>
      <c r="EE126" s="144"/>
      <c r="EF126" s="144"/>
      <c r="EG126" s="144"/>
      <c r="EH126" s="144"/>
      <c r="EI126" s="144"/>
      <c r="EJ126" s="144"/>
      <c r="EK126" s="144"/>
      <c r="EL126" s="144"/>
      <c r="EM126" s="144"/>
      <c r="EN126" s="144"/>
      <c r="EO126" s="144"/>
      <c r="EP126" s="144"/>
      <c r="EQ126" s="144"/>
      <c r="ER126" s="144"/>
      <c r="ES126" s="144"/>
      <c r="ET126" s="144"/>
      <c r="EU126" s="144"/>
      <c r="EV126" s="144"/>
      <c r="EW126" s="144"/>
      <c r="EX126" s="144"/>
      <c r="EY126" s="144"/>
      <c r="EZ126" s="144"/>
      <c r="FA126" s="144"/>
      <c r="FB126" s="144"/>
      <c r="FC126" s="144"/>
      <c r="FD126" s="144"/>
      <c r="FE126" s="144"/>
      <c r="FF126" s="144"/>
      <c r="FG126" s="144"/>
      <c r="FH126" s="144"/>
      <c r="FI126" s="144"/>
      <c r="FJ126" s="144"/>
      <c r="FK126" s="144"/>
      <c r="FL126" s="144"/>
      <c r="FM126" s="144"/>
      <c r="FN126" s="144"/>
      <c r="FO126" s="144"/>
      <c r="FP126" s="144"/>
      <c r="FQ126" s="144"/>
      <c r="FR126" s="144"/>
      <c r="FS126" s="144"/>
      <c r="FT126" s="144"/>
      <c r="FU126" s="144"/>
      <c r="FV126" s="144"/>
      <c r="FW126" s="144"/>
      <c r="FX126" s="144"/>
    </row>
    <row r="127" spans="1:180" s="56" customFormat="1" x14ac:dyDescent="0.2">
      <c r="A127" s="67"/>
      <c r="B127" s="66"/>
      <c r="C127" s="65">
        <f t="shared" si="17"/>
        <v>0</v>
      </c>
      <c r="D127" s="49"/>
      <c r="E127" s="65">
        <f t="shared" si="16"/>
        <v>0</v>
      </c>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144"/>
      <c r="BC127" s="144"/>
      <c r="BD127" s="144"/>
      <c r="BE127" s="144"/>
      <c r="BF127" s="144"/>
      <c r="BG127" s="144"/>
      <c r="BH127" s="144"/>
      <c r="BI127" s="144"/>
      <c r="BJ127" s="144"/>
      <c r="BK127" s="144"/>
      <c r="BL127" s="144"/>
      <c r="BM127" s="144"/>
      <c r="BN127" s="144"/>
      <c r="BO127" s="144"/>
      <c r="BP127" s="144"/>
      <c r="BQ127" s="144"/>
      <c r="BR127" s="144"/>
      <c r="BS127" s="144"/>
      <c r="BT127" s="144"/>
      <c r="BU127" s="144"/>
      <c r="BV127" s="144"/>
      <c r="BW127" s="144"/>
      <c r="BX127" s="144"/>
      <c r="BY127" s="144"/>
      <c r="BZ127" s="144"/>
      <c r="CA127" s="144"/>
      <c r="CB127" s="144"/>
      <c r="CC127" s="144"/>
      <c r="CD127" s="144"/>
      <c r="CE127" s="144"/>
      <c r="CF127" s="144"/>
      <c r="CG127" s="144"/>
      <c r="CH127" s="144"/>
      <c r="CI127" s="144"/>
      <c r="CJ127" s="144"/>
      <c r="CK127" s="144"/>
      <c r="CL127" s="144"/>
      <c r="CM127" s="144"/>
      <c r="CN127" s="144"/>
      <c r="CO127" s="144"/>
      <c r="CP127" s="144"/>
      <c r="CQ127" s="144"/>
      <c r="CR127" s="144"/>
      <c r="CS127" s="144"/>
      <c r="CT127" s="144"/>
      <c r="CU127" s="144"/>
      <c r="CV127" s="144"/>
      <c r="CW127" s="144"/>
      <c r="CX127" s="144"/>
      <c r="CY127" s="144"/>
      <c r="CZ127" s="144"/>
      <c r="DA127" s="144"/>
      <c r="DB127" s="144"/>
      <c r="DC127" s="144"/>
      <c r="DD127" s="144"/>
      <c r="DE127" s="144"/>
      <c r="DF127" s="144"/>
      <c r="DG127" s="144"/>
      <c r="DH127" s="144"/>
      <c r="DI127" s="144"/>
      <c r="DJ127" s="144"/>
      <c r="DK127" s="144"/>
      <c r="DL127" s="144"/>
      <c r="DM127" s="144"/>
      <c r="DN127" s="144"/>
      <c r="DO127" s="144"/>
      <c r="DP127" s="144"/>
      <c r="DQ127" s="144"/>
      <c r="DR127" s="144"/>
      <c r="DS127" s="144"/>
      <c r="DT127" s="144"/>
      <c r="DU127" s="144"/>
      <c r="DV127" s="144"/>
      <c r="DW127" s="144"/>
      <c r="DX127" s="144"/>
      <c r="DY127" s="144"/>
      <c r="DZ127" s="144"/>
      <c r="EA127" s="144"/>
      <c r="EB127" s="144"/>
      <c r="EC127" s="144"/>
      <c r="ED127" s="144"/>
      <c r="EE127" s="144"/>
      <c r="EF127" s="144"/>
      <c r="EG127" s="144"/>
      <c r="EH127" s="144"/>
      <c r="EI127" s="144"/>
      <c r="EJ127" s="144"/>
      <c r="EK127" s="144"/>
      <c r="EL127" s="144"/>
      <c r="EM127" s="144"/>
      <c r="EN127" s="144"/>
      <c r="EO127" s="144"/>
      <c r="EP127" s="144"/>
      <c r="EQ127" s="144"/>
      <c r="ER127" s="144"/>
      <c r="ES127" s="144"/>
      <c r="ET127" s="144"/>
      <c r="EU127" s="144"/>
      <c r="EV127" s="144"/>
      <c r="EW127" s="144"/>
      <c r="EX127" s="144"/>
      <c r="EY127" s="144"/>
      <c r="EZ127" s="144"/>
      <c r="FA127" s="144"/>
      <c r="FB127" s="144"/>
      <c r="FC127" s="144"/>
      <c r="FD127" s="144"/>
      <c r="FE127" s="144"/>
      <c r="FF127" s="144"/>
      <c r="FG127" s="144"/>
      <c r="FH127" s="144"/>
      <c r="FI127" s="144"/>
      <c r="FJ127" s="144"/>
      <c r="FK127" s="144"/>
      <c r="FL127" s="144"/>
      <c r="FM127" s="144"/>
      <c r="FN127" s="144"/>
      <c r="FO127" s="144"/>
      <c r="FP127" s="144"/>
      <c r="FQ127" s="144"/>
      <c r="FR127" s="144"/>
      <c r="FS127" s="144"/>
      <c r="FT127" s="144"/>
      <c r="FU127" s="144"/>
      <c r="FV127" s="144"/>
      <c r="FW127" s="144"/>
      <c r="FX127" s="144"/>
    </row>
    <row r="128" spans="1:180" s="56" customFormat="1" x14ac:dyDescent="0.2">
      <c r="A128" s="67"/>
      <c r="B128" s="66"/>
      <c r="C128" s="65">
        <f t="shared" si="17"/>
        <v>0</v>
      </c>
      <c r="D128" s="49"/>
      <c r="E128" s="65">
        <f t="shared" si="16"/>
        <v>0</v>
      </c>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c r="BM128" s="144"/>
      <c r="BN128" s="144"/>
      <c r="BO128" s="144"/>
      <c r="BP128" s="144"/>
      <c r="BQ128" s="144"/>
      <c r="BR128" s="144"/>
      <c r="BS128" s="144"/>
      <c r="BT128" s="144"/>
      <c r="BU128" s="144"/>
      <c r="BV128" s="144"/>
      <c r="BW128" s="144"/>
      <c r="BX128" s="144"/>
      <c r="BY128" s="144"/>
      <c r="BZ128" s="144"/>
      <c r="CA128" s="144"/>
      <c r="CB128" s="144"/>
      <c r="CC128" s="144"/>
      <c r="CD128" s="144"/>
      <c r="CE128" s="144"/>
      <c r="CF128" s="144"/>
      <c r="CG128" s="144"/>
      <c r="CH128" s="144"/>
      <c r="CI128" s="144"/>
      <c r="CJ128" s="144"/>
      <c r="CK128" s="144"/>
      <c r="CL128" s="144"/>
      <c r="CM128" s="144"/>
      <c r="CN128" s="144"/>
      <c r="CO128" s="144"/>
      <c r="CP128" s="144"/>
      <c r="CQ128" s="144"/>
      <c r="CR128" s="144"/>
      <c r="CS128" s="144"/>
      <c r="CT128" s="144"/>
      <c r="CU128" s="144"/>
      <c r="CV128" s="144"/>
      <c r="CW128" s="144"/>
      <c r="CX128" s="144"/>
      <c r="CY128" s="144"/>
      <c r="CZ128" s="144"/>
      <c r="DA128" s="144"/>
      <c r="DB128" s="144"/>
      <c r="DC128" s="144"/>
      <c r="DD128" s="144"/>
      <c r="DE128" s="144"/>
      <c r="DF128" s="144"/>
      <c r="DG128" s="144"/>
      <c r="DH128" s="144"/>
      <c r="DI128" s="144"/>
      <c r="DJ128" s="144"/>
      <c r="DK128" s="144"/>
      <c r="DL128" s="144"/>
      <c r="DM128" s="144"/>
      <c r="DN128" s="144"/>
      <c r="DO128" s="144"/>
      <c r="DP128" s="144"/>
      <c r="DQ128" s="144"/>
      <c r="DR128" s="144"/>
      <c r="DS128" s="144"/>
      <c r="DT128" s="144"/>
      <c r="DU128" s="144"/>
      <c r="DV128" s="144"/>
      <c r="DW128" s="144"/>
      <c r="DX128" s="144"/>
      <c r="DY128" s="144"/>
      <c r="DZ128" s="144"/>
      <c r="EA128" s="144"/>
      <c r="EB128" s="144"/>
      <c r="EC128" s="144"/>
      <c r="ED128" s="144"/>
      <c r="EE128" s="144"/>
      <c r="EF128" s="144"/>
      <c r="EG128" s="144"/>
      <c r="EH128" s="144"/>
      <c r="EI128" s="144"/>
      <c r="EJ128" s="144"/>
      <c r="EK128" s="144"/>
      <c r="EL128" s="144"/>
      <c r="EM128" s="144"/>
      <c r="EN128" s="144"/>
      <c r="EO128" s="144"/>
      <c r="EP128" s="144"/>
      <c r="EQ128" s="144"/>
      <c r="ER128" s="144"/>
      <c r="ES128" s="144"/>
      <c r="ET128" s="144"/>
      <c r="EU128" s="144"/>
      <c r="EV128" s="144"/>
      <c r="EW128" s="144"/>
      <c r="EX128" s="144"/>
      <c r="EY128" s="144"/>
      <c r="EZ128" s="144"/>
      <c r="FA128" s="144"/>
      <c r="FB128" s="144"/>
      <c r="FC128" s="144"/>
      <c r="FD128" s="144"/>
      <c r="FE128" s="144"/>
      <c r="FF128" s="144"/>
      <c r="FG128" s="144"/>
      <c r="FH128" s="144"/>
      <c r="FI128" s="144"/>
      <c r="FJ128" s="144"/>
      <c r="FK128" s="144"/>
      <c r="FL128" s="144"/>
      <c r="FM128" s="144"/>
      <c r="FN128" s="144"/>
      <c r="FO128" s="144"/>
      <c r="FP128" s="144"/>
      <c r="FQ128" s="144"/>
      <c r="FR128" s="144"/>
      <c r="FS128" s="144"/>
      <c r="FT128" s="144"/>
      <c r="FU128" s="144"/>
      <c r="FV128" s="144"/>
      <c r="FW128" s="144"/>
      <c r="FX128" s="144"/>
    </row>
    <row r="129" spans="1:180" s="56" customFormat="1" x14ac:dyDescent="0.2">
      <c r="A129" s="67"/>
      <c r="B129" s="66"/>
      <c r="C129" s="65">
        <f t="shared" si="17"/>
        <v>0</v>
      </c>
      <c r="D129" s="49"/>
      <c r="E129" s="65">
        <f t="shared" ref="E129:E160" si="18">SUM(G129:HQ129)</f>
        <v>0</v>
      </c>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c r="BC129" s="144"/>
      <c r="BD129" s="144"/>
      <c r="BE129" s="144"/>
      <c r="BF129" s="144"/>
      <c r="BG129" s="144"/>
      <c r="BH129" s="144"/>
      <c r="BI129" s="144"/>
      <c r="BJ129" s="144"/>
      <c r="BK129" s="144"/>
      <c r="BL129" s="144"/>
      <c r="BM129" s="144"/>
      <c r="BN129" s="144"/>
      <c r="BO129" s="144"/>
      <c r="BP129" s="144"/>
      <c r="BQ129" s="144"/>
      <c r="BR129" s="144"/>
      <c r="BS129" s="144"/>
      <c r="BT129" s="144"/>
      <c r="BU129" s="144"/>
      <c r="BV129" s="144"/>
      <c r="BW129" s="144"/>
      <c r="BX129" s="144"/>
      <c r="BY129" s="144"/>
      <c r="BZ129" s="144"/>
      <c r="CA129" s="144"/>
      <c r="CB129" s="144"/>
      <c r="CC129" s="144"/>
      <c r="CD129" s="144"/>
      <c r="CE129" s="144"/>
      <c r="CF129" s="144"/>
      <c r="CG129" s="144"/>
      <c r="CH129" s="144"/>
      <c r="CI129" s="144"/>
      <c r="CJ129" s="144"/>
      <c r="CK129" s="144"/>
      <c r="CL129" s="144"/>
      <c r="CM129" s="144"/>
      <c r="CN129" s="144"/>
      <c r="CO129" s="144"/>
      <c r="CP129" s="144"/>
      <c r="CQ129" s="144"/>
      <c r="CR129" s="144"/>
      <c r="CS129" s="144"/>
      <c r="CT129" s="144"/>
      <c r="CU129" s="144"/>
      <c r="CV129" s="144"/>
      <c r="CW129" s="144"/>
      <c r="CX129" s="144"/>
      <c r="CY129" s="144"/>
      <c r="CZ129" s="144"/>
      <c r="DA129" s="144"/>
      <c r="DB129" s="144"/>
      <c r="DC129" s="144"/>
      <c r="DD129" s="144"/>
      <c r="DE129" s="144"/>
      <c r="DF129" s="144"/>
      <c r="DG129" s="144"/>
      <c r="DH129" s="144"/>
      <c r="DI129" s="144"/>
      <c r="DJ129" s="144"/>
      <c r="DK129" s="144"/>
      <c r="DL129" s="144"/>
      <c r="DM129" s="144"/>
      <c r="DN129" s="144"/>
      <c r="DO129" s="144"/>
      <c r="DP129" s="144"/>
      <c r="DQ129" s="144"/>
      <c r="DR129" s="144"/>
      <c r="DS129" s="144"/>
      <c r="DT129" s="144"/>
      <c r="DU129" s="144"/>
      <c r="DV129" s="144"/>
      <c r="DW129" s="144"/>
      <c r="DX129" s="144"/>
      <c r="DY129" s="144"/>
      <c r="DZ129" s="144"/>
      <c r="EA129" s="144"/>
      <c r="EB129" s="144"/>
      <c r="EC129" s="144"/>
      <c r="ED129" s="144"/>
      <c r="EE129" s="144"/>
      <c r="EF129" s="144"/>
      <c r="EG129" s="144"/>
      <c r="EH129" s="144"/>
      <c r="EI129" s="144"/>
      <c r="EJ129" s="144"/>
      <c r="EK129" s="144"/>
      <c r="EL129" s="144"/>
      <c r="EM129" s="144"/>
      <c r="EN129" s="144"/>
      <c r="EO129" s="144"/>
      <c r="EP129" s="144"/>
      <c r="EQ129" s="144"/>
      <c r="ER129" s="144"/>
      <c r="ES129" s="144"/>
      <c r="ET129" s="144"/>
      <c r="EU129" s="144"/>
      <c r="EV129" s="144"/>
      <c r="EW129" s="144"/>
      <c r="EX129" s="144"/>
      <c r="EY129" s="144"/>
      <c r="EZ129" s="144"/>
      <c r="FA129" s="144"/>
      <c r="FB129" s="144"/>
      <c r="FC129" s="144"/>
      <c r="FD129" s="144"/>
      <c r="FE129" s="144"/>
      <c r="FF129" s="144"/>
      <c r="FG129" s="144"/>
      <c r="FH129" s="144"/>
      <c r="FI129" s="144"/>
      <c r="FJ129" s="144"/>
      <c r="FK129" s="144"/>
      <c r="FL129" s="144"/>
      <c r="FM129" s="144"/>
      <c r="FN129" s="144"/>
      <c r="FO129" s="144"/>
      <c r="FP129" s="144"/>
      <c r="FQ129" s="144"/>
      <c r="FR129" s="144"/>
      <c r="FS129" s="144"/>
      <c r="FT129" s="144"/>
      <c r="FU129" s="144"/>
      <c r="FV129" s="144"/>
      <c r="FW129" s="144"/>
      <c r="FX129" s="144"/>
    </row>
    <row r="130" spans="1:180" s="56" customFormat="1" x14ac:dyDescent="0.2">
      <c r="A130" s="67"/>
      <c r="B130" s="66"/>
      <c r="C130" s="65">
        <f t="shared" si="17"/>
        <v>0</v>
      </c>
      <c r="D130" s="49"/>
      <c r="E130" s="65">
        <f t="shared" si="18"/>
        <v>0</v>
      </c>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c r="CB130" s="144"/>
      <c r="CC130" s="144"/>
      <c r="CD130" s="144"/>
      <c r="CE130" s="144"/>
      <c r="CF130" s="144"/>
      <c r="CG130" s="144"/>
      <c r="CH130" s="144"/>
      <c r="CI130" s="144"/>
      <c r="CJ130" s="144"/>
      <c r="CK130" s="144"/>
      <c r="CL130" s="144"/>
      <c r="CM130" s="144"/>
      <c r="CN130" s="144"/>
      <c r="CO130" s="144"/>
      <c r="CP130" s="144"/>
      <c r="CQ130" s="144"/>
      <c r="CR130" s="144"/>
      <c r="CS130" s="144"/>
      <c r="CT130" s="144"/>
      <c r="CU130" s="144"/>
      <c r="CV130" s="144"/>
      <c r="CW130" s="144"/>
      <c r="CX130" s="144"/>
      <c r="CY130" s="144"/>
      <c r="CZ130" s="144"/>
      <c r="DA130" s="144"/>
      <c r="DB130" s="144"/>
      <c r="DC130" s="144"/>
      <c r="DD130" s="144"/>
      <c r="DE130" s="144"/>
      <c r="DF130" s="144"/>
      <c r="DG130" s="144"/>
      <c r="DH130" s="144"/>
      <c r="DI130" s="144"/>
      <c r="DJ130" s="144"/>
      <c r="DK130" s="144"/>
      <c r="DL130" s="144"/>
      <c r="DM130" s="144"/>
      <c r="DN130" s="144"/>
      <c r="DO130" s="144"/>
      <c r="DP130" s="144"/>
      <c r="DQ130" s="144"/>
      <c r="DR130" s="144"/>
      <c r="DS130" s="144"/>
      <c r="DT130" s="144"/>
      <c r="DU130" s="144"/>
      <c r="DV130" s="144"/>
      <c r="DW130" s="144"/>
      <c r="DX130" s="144"/>
      <c r="DY130" s="144"/>
      <c r="DZ130" s="144"/>
      <c r="EA130" s="144"/>
      <c r="EB130" s="144"/>
      <c r="EC130" s="144"/>
      <c r="ED130" s="144"/>
      <c r="EE130" s="144"/>
      <c r="EF130" s="144"/>
      <c r="EG130" s="144"/>
      <c r="EH130" s="144"/>
      <c r="EI130" s="144"/>
      <c r="EJ130" s="144"/>
      <c r="EK130" s="144"/>
      <c r="EL130" s="144"/>
      <c r="EM130" s="144"/>
      <c r="EN130" s="144"/>
      <c r="EO130" s="144"/>
      <c r="EP130" s="144"/>
      <c r="EQ130" s="144"/>
      <c r="ER130" s="144"/>
      <c r="ES130" s="144"/>
      <c r="ET130" s="144"/>
      <c r="EU130" s="144"/>
      <c r="EV130" s="144"/>
      <c r="EW130" s="144"/>
      <c r="EX130" s="144"/>
      <c r="EY130" s="144"/>
      <c r="EZ130" s="144"/>
      <c r="FA130" s="144"/>
      <c r="FB130" s="144"/>
      <c r="FC130" s="144"/>
      <c r="FD130" s="144"/>
      <c r="FE130" s="144"/>
      <c r="FF130" s="144"/>
      <c r="FG130" s="144"/>
      <c r="FH130" s="144"/>
      <c r="FI130" s="144"/>
      <c r="FJ130" s="144"/>
      <c r="FK130" s="144"/>
      <c r="FL130" s="144"/>
      <c r="FM130" s="144"/>
      <c r="FN130" s="144"/>
      <c r="FO130" s="144"/>
      <c r="FP130" s="144"/>
      <c r="FQ130" s="144"/>
      <c r="FR130" s="144"/>
      <c r="FS130" s="144"/>
      <c r="FT130" s="144"/>
      <c r="FU130" s="144"/>
      <c r="FV130" s="144"/>
      <c r="FW130" s="144"/>
      <c r="FX130" s="144"/>
    </row>
    <row r="131" spans="1:180" s="56" customFormat="1" x14ac:dyDescent="0.2">
      <c r="A131" s="67"/>
      <c r="B131" s="66"/>
      <c r="C131" s="65">
        <f t="shared" si="17"/>
        <v>0</v>
      </c>
      <c r="D131" s="49"/>
      <c r="E131" s="65">
        <f t="shared" si="18"/>
        <v>0</v>
      </c>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c r="CB131" s="144"/>
      <c r="CC131" s="144"/>
      <c r="CD131" s="144"/>
      <c r="CE131" s="144"/>
      <c r="CF131" s="144"/>
      <c r="CG131" s="144"/>
      <c r="CH131" s="144"/>
      <c r="CI131" s="144"/>
      <c r="CJ131" s="144"/>
      <c r="CK131" s="144"/>
      <c r="CL131" s="144"/>
      <c r="CM131" s="144"/>
      <c r="CN131" s="144"/>
      <c r="CO131" s="144"/>
      <c r="CP131" s="144"/>
      <c r="CQ131" s="144"/>
      <c r="CR131" s="144"/>
      <c r="CS131" s="144"/>
      <c r="CT131" s="144"/>
      <c r="CU131" s="144"/>
      <c r="CV131" s="144"/>
      <c r="CW131" s="144"/>
      <c r="CX131" s="144"/>
      <c r="CY131" s="144"/>
      <c r="CZ131" s="144"/>
      <c r="DA131" s="144"/>
      <c r="DB131" s="144"/>
      <c r="DC131" s="144"/>
      <c r="DD131" s="144"/>
      <c r="DE131" s="144"/>
      <c r="DF131" s="144"/>
      <c r="DG131" s="144"/>
      <c r="DH131" s="144"/>
      <c r="DI131" s="144"/>
      <c r="DJ131" s="144"/>
      <c r="DK131" s="144"/>
      <c r="DL131" s="144"/>
      <c r="DM131" s="144"/>
      <c r="DN131" s="144"/>
      <c r="DO131" s="144"/>
      <c r="DP131" s="144"/>
      <c r="DQ131" s="144"/>
      <c r="DR131" s="144"/>
      <c r="DS131" s="144"/>
      <c r="DT131" s="144"/>
      <c r="DU131" s="144"/>
      <c r="DV131" s="144"/>
      <c r="DW131" s="144"/>
      <c r="DX131" s="144"/>
      <c r="DY131" s="144"/>
      <c r="DZ131" s="144"/>
      <c r="EA131" s="144"/>
      <c r="EB131" s="144"/>
      <c r="EC131" s="144"/>
      <c r="ED131" s="144"/>
      <c r="EE131" s="144"/>
      <c r="EF131" s="144"/>
      <c r="EG131" s="144"/>
      <c r="EH131" s="144"/>
      <c r="EI131" s="144"/>
      <c r="EJ131" s="144"/>
      <c r="EK131" s="144"/>
      <c r="EL131" s="144"/>
      <c r="EM131" s="144"/>
      <c r="EN131" s="144"/>
      <c r="EO131" s="144"/>
      <c r="EP131" s="144"/>
      <c r="EQ131" s="144"/>
      <c r="ER131" s="144"/>
      <c r="ES131" s="144"/>
      <c r="ET131" s="144"/>
      <c r="EU131" s="144"/>
      <c r="EV131" s="144"/>
      <c r="EW131" s="144"/>
      <c r="EX131" s="144"/>
      <c r="EY131" s="144"/>
      <c r="EZ131" s="144"/>
      <c r="FA131" s="144"/>
      <c r="FB131" s="144"/>
      <c r="FC131" s="144"/>
      <c r="FD131" s="144"/>
      <c r="FE131" s="144"/>
      <c r="FF131" s="144"/>
      <c r="FG131" s="144"/>
      <c r="FH131" s="144"/>
      <c r="FI131" s="144"/>
      <c r="FJ131" s="144"/>
      <c r="FK131" s="144"/>
      <c r="FL131" s="144"/>
      <c r="FM131" s="144"/>
      <c r="FN131" s="144"/>
      <c r="FO131" s="144"/>
      <c r="FP131" s="144"/>
      <c r="FQ131" s="144"/>
      <c r="FR131" s="144"/>
      <c r="FS131" s="144"/>
      <c r="FT131" s="144"/>
      <c r="FU131" s="144"/>
      <c r="FV131" s="144"/>
      <c r="FW131" s="144"/>
      <c r="FX131" s="144"/>
    </row>
    <row r="132" spans="1:180" s="56" customFormat="1" x14ac:dyDescent="0.2">
      <c r="A132" s="67"/>
      <c r="B132" s="66"/>
      <c r="C132" s="65">
        <f t="shared" si="17"/>
        <v>0</v>
      </c>
      <c r="D132" s="49"/>
      <c r="E132" s="65">
        <f t="shared" si="18"/>
        <v>0</v>
      </c>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4"/>
      <c r="BA132" s="144"/>
      <c r="BB132" s="144"/>
      <c r="BC132" s="144"/>
      <c r="BD132" s="144"/>
      <c r="BE132" s="144"/>
      <c r="BF132" s="144"/>
      <c r="BG132" s="144"/>
      <c r="BH132" s="144"/>
      <c r="BI132" s="144"/>
      <c r="BJ132" s="144"/>
      <c r="BK132" s="144"/>
      <c r="BL132" s="144"/>
      <c r="BM132" s="144"/>
      <c r="BN132" s="144"/>
      <c r="BO132" s="144"/>
      <c r="BP132" s="144"/>
      <c r="BQ132" s="144"/>
      <c r="BR132" s="144"/>
      <c r="BS132" s="144"/>
      <c r="BT132" s="144"/>
      <c r="BU132" s="144"/>
      <c r="BV132" s="144"/>
      <c r="BW132" s="144"/>
      <c r="BX132" s="144"/>
      <c r="BY132" s="144"/>
      <c r="BZ132" s="144"/>
      <c r="CA132" s="144"/>
      <c r="CB132" s="144"/>
      <c r="CC132" s="144"/>
      <c r="CD132" s="144"/>
      <c r="CE132" s="144"/>
      <c r="CF132" s="144"/>
      <c r="CG132" s="144"/>
      <c r="CH132" s="144"/>
      <c r="CI132" s="144"/>
      <c r="CJ132" s="144"/>
      <c r="CK132" s="144"/>
      <c r="CL132" s="144"/>
      <c r="CM132" s="144"/>
      <c r="CN132" s="144"/>
      <c r="CO132" s="144"/>
      <c r="CP132" s="144"/>
      <c r="CQ132" s="144"/>
      <c r="CR132" s="144"/>
      <c r="CS132" s="144"/>
      <c r="CT132" s="144"/>
      <c r="CU132" s="144"/>
      <c r="CV132" s="144"/>
      <c r="CW132" s="144"/>
      <c r="CX132" s="144"/>
      <c r="CY132" s="144"/>
      <c r="CZ132" s="144"/>
      <c r="DA132" s="144"/>
      <c r="DB132" s="144"/>
      <c r="DC132" s="144"/>
      <c r="DD132" s="144"/>
      <c r="DE132" s="144"/>
      <c r="DF132" s="144"/>
      <c r="DG132" s="144"/>
      <c r="DH132" s="144"/>
      <c r="DI132" s="144"/>
      <c r="DJ132" s="144"/>
      <c r="DK132" s="144"/>
      <c r="DL132" s="144"/>
      <c r="DM132" s="144"/>
      <c r="DN132" s="144"/>
      <c r="DO132" s="144"/>
      <c r="DP132" s="144"/>
      <c r="DQ132" s="144"/>
      <c r="DR132" s="144"/>
      <c r="DS132" s="144"/>
      <c r="DT132" s="144"/>
      <c r="DU132" s="144"/>
      <c r="DV132" s="144"/>
      <c r="DW132" s="144"/>
      <c r="DX132" s="144"/>
      <c r="DY132" s="144"/>
      <c r="DZ132" s="144"/>
      <c r="EA132" s="144"/>
      <c r="EB132" s="144"/>
      <c r="EC132" s="144"/>
      <c r="ED132" s="144"/>
      <c r="EE132" s="144"/>
      <c r="EF132" s="144"/>
      <c r="EG132" s="144"/>
      <c r="EH132" s="144"/>
      <c r="EI132" s="144"/>
      <c r="EJ132" s="144"/>
      <c r="EK132" s="144"/>
      <c r="EL132" s="144"/>
      <c r="EM132" s="144"/>
      <c r="EN132" s="144"/>
      <c r="EO132" s="144"/>
      <c r="EP132" s="144"/>
      <c r="EQ132" s="144"/>
      <c r="ER132" s="144"/>
      <c r="ES132" s="144"/>
      <c r="ET132" s="144"/>
      <c r="EU132" s="144"/>
      <c r="EV132" s="144"/>
      <c r="EW132" s="144"/>
      <c r="EX132" s="144"/>
      <c r="EY132" s="144"/>
      <c r="EZ132" s="144"/>
      <c r="FA132" s="144"/>
      <c r="FB132" s="144"/>
      <c r="FC132" s="144"/>
      <c r="FD132" s="144"/>
      <c r="FE132" s="144"/>
      <c r="FF132" s="144"/>
      <c r="FG132" s="144"/>
      <c r="FH132" s="144"/>
      <c r="FI132" s="144"/>
      <c r="FJ132" s="144"/>
      <c r="FK132" s="144"/>
      <c r="FL132" s="144"/>
      <c r="FM132" s="144"/>
      <c r="FN132" s="144"/>
      <c r="FO132" s="144"/>
      <c r="FP132" s="144"/>
      <c r="FQ132" s="144"/>
      <c r="FR132" s="144"/>
      <c r="FS132" s="144"/>
      <c r="FT132" s="144"/>
      <c r="FU132" s="144"/>
      <c r="FV132" s="144"/>
      <c r="FW132" s="144"/>
      <c r="FX132" s="144"/>
    </row>
    <row r="133" spans="1:180" s="56" customFormat="1" x14ac:dyDescent="0.2">
      <c r="A133" s="67"/>
      <c r="B133" s="66"/>
      <c r="C133" s="65">
        <f t="shared" si="17"/>
        <v>0</v>
      </c>
      <c r="D133" s="49"/>
      <c r="E133" s="65">
        <f t="shared" si="18"/>
        <v>0</v>
      </c>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c r="CB133" s="144"/>
      <c r="CC133" s="144"/>
      <c r="CD133" s="144"/>
      <c r="CE133" s="144"/>
      <c r="CF133" s="144"/>
      <c r="CG133" s="144"/>
      <c r="CH133" s="144"/>
      <c r="CI133" s="144"/>
      <c r="CJ133" s="144"/>
      <c r="CK133" s="144"/>
      <c r="CL133" s="144"/>
      <c r="CM133" s="144"/>
      <c r="CN133" s="144"/>
      <c r="CO133" s="144"/>
      <c r="CP133" s="144"/>
      <c r="CQ133" s="144"/>
      <c r="CR133" s="144"/>
      <c r="CS133" s="144"/>
      <c r="CT133" s="144"/>
      <c r="CU133" s="144"/>
      <c r="CV133" s="144"/>
      <c r="CW133" s="144"/>
      <c r="CX133" s="144"/>
      <c r="CY133" s="144"/>
      <c r="CZ133" s="144"/>
      <c r="DA133" s="144"/>
      <c r="DB133" s="144"/>
      <c r="DC133" s="144"/>
      <c r="DD133" s="144"/>
      <c r="DE133" s="144"/>
      <c r="DF133" s="144"/>
      <c r="DG133" s="144"/>
      <c r="DH133" s="144"/>
      <c r="DI133" s="144"/>
      <c r="DJ133" s="144"/>
      <c r="DK133" s="144"/>
      <c r="DL133" s="144"/>
      <c r="DM133" s="144"/>
      <c r="DN133" s="144"/>
      <c r="DO133" s="144"/>
      <c r="DP133" s="144"/>
      <c r="DQ133" s="144"/>
      <c r="DR133" s="144"/>
      <c r="DS133" s="144"/>
      <c r="DT133" s="144"/>
      <c r="DU133" s="144"/>
      <c r="DV133" s="144"/>
      <c r="DW133" s="144"/>
      <c r="DX133" s="144"/>
      <c r="DY133" s="144"/>
      <c r="DZ133" s="144"/>
      <c r="EA133" s="144"/>
      <c r="EB133" s="144"/>
      <c r="EC133" s="144"/>
      <c r="ED133" s="144"/>
      <c r="EE133" s="144"/>
      <c r="EF133" s="144"/>
      <c r="EG133" s="144"/>
      <c r="EH133" s="144"/>
      <c r="EI133" s="144"/>
      <c r="EJ133" s="144"/>
      <c r="EK133" s="144"/>
      <c r="EL133" s="144"/>
      <c r="EM133" s="144"/>
      <c r="EN133" s="144"/>
      <c r="EO133" s="144"/>
      <c r="EP133" s="144"/>
      <c r="EQ133" s="144"/>
      <c r="ER133" s="144"/>
      <c r="ES133" s="144"/>
      <c r="ET133" s="144"/>
      <c r="EU133" s="144"/>
      <c r="EV133" s="144"/>
      <c r="EW133" s="144"/>
      <c r="EX133" s="144"/>
      <c r="EY133" s="144"/>
      <c r="EZ133" s="144"/>
      <c r="FA133" s="144"/>
      <c r="FB133" s="144"/>
      <c r="FC133" s="144"/>
      <c r="FD133" s="144"/>
      <c r="FE133" s="144"/>
      <c r="FF133" s="144"/>
      <c r="FG133" s="144"/>
      <c r="FH133" s="144"/>
      <c r="FI133" s="144"/>
      <c r="FJ133" s="144"/>
      <c r="FK133" s="144"/>
      <c r="FL133" s="144"/>
      <c r="FM133" s="144"/>
      <c r="FN133" s="144"/>
      <c r="FO133" s="144"/>
      <c r="FP133" s="144"/>
      <c r="FQ133" s="144"/>
      <c r="FR133" s="144"/>
      <c r="FS133" s="144"/>
      <c r="FT133" s="144"/>
      <c r="FU133" s="144"/>
      <c r="FV133" s="144"/>
      <c r="FW133" s="144"/>
      <c r="FX133" s="144"/>
    </row>
    <row r="134" spans="1:180" s="56" customFormat="1" x14ac:dyDescent="0.2">
      <c r="A134" s="67"/>
      <c r="B134" s="66"/>
      <c r="C134" s="65">
        <f t="shared" si="17"/>
        <v>0</v>
      </c>
      <c r="D134" s="49"/>
      <c r="E134" s="65">
        <f t="shared" si="18"/>
        <v>0</v>
      </c>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c r="CB134" s="144"/>
      <c r="CC134" s="144"/>
      <c r="CD134" s="144"/>
      <c r="CE134" s="144"/>
      <c r="CF134" s="144"/>
      <c r="CG134" s="144"/>
      <c r="CH134" s="144"/>
      <c r="CI134" s="144"/>
      <c r="CJ134" s="144"/>
      <c r="CK134" s="144"/>
      <c r="CL134" s="144"/>
      <c r="CM134" s="144"/>
      <c r="CN134" s="144"/>
      <c r="CO134" s="144"/>
      <c r="CP134" s="144"/>
      <c r="CQ134" s="144"/>
      <c r="CR134" s="144"/>
      <c r="CS134" s="144"/>
      <c r="CT134" s="144"/>
      <c r="CU134" s="144"/>
      <c r="CV134" s="144"/>
      <c r="CW134" s="144"/>
      <c r="CX134" s="144"/>
      <c r="CY134" s="144"/>
      <c r="CZ134" s="144"/>
      <c r="DA134" s="144"/>
      <c r="DB134" s="144"/>
      <c r="DC134" s="144"/>
      <c r="DD134" s="144"/>
      <c r="DE134" s="144"/>
      <c r="DF134" s="144"/>
      <c r="DG134" s="144"/>
      <c r="DH134" s="144"/>
      <c r="DI134" s="144"/>
      <c r="DJ134" s="144"/>
      <c r="DK134" s="144"/>
      <c r="DL134" s="144"/>
      <c r="DM134" s="144"/>
      <c r="DN134" s="144"/>
      <c r="DO134" s="144"/>
      <c r="DP134" s="144"/>
      <c r="DQ134" s="144"/>
      <c r="DR134" s="144"/>
      <c r="DS134" s="144"/>
      <c r="DT134" s="144"/>
      <c r="DU134" s="144"/>
      <c r="DV134" s="144"/>
      <c r="DW134" s="144"/>
      <c r="DX134" s="144"/>
      <c r="DY134" s="144"/>
      <c r="DZ134" s="144"/>
      <c r="EA134" s="144"/>
      <c r="EB134" s="144"/>
      <c r="EC134" s="144"/>
      <c r="ED134" s="144"/>
      <c r="EE134" s="144"/>
      <c r="EF134" s="144"/>
      <c r="EG134" s="144"/>
      <c r="EH134" s="144"/>
      <c r="EI134" s="144"/>
      <c r="EJ134" s="144"/>
      <c r="EK134" s="144"/>
      <c r="EL134" s="144"/>
      <c r="EM134" s="144"/>
      <c r="EN134" s="144"/>
      <c r="EO134" s="144"/>
      <c r="EP134" s="144"/>
      <c r="EQ134" s="144"/>
      <c r="ER134" s="144"/>
      <c r="ES134" s="144"/>
      <c r="ET134" s="144"/>
      <c r="EU134" s="144"/>
      <c r="EV134" s="144"/>
      <c r="EW134" s="144"/>
      <c r="EX134" s="144"/>
      <c r="EY134" s="144"/>
      <c r="EZ134" s="144"/>
      <c r="FA134" s="144"/>
      <c r="FB134" s="144"/>
      <c r="FC134" s="144"/>
      <c r="FD134" s="144"/>
      <c r="FE134" s="144"/>
      <c r="FF134" s="144"/>
      <c r="FG134" s="144"/>
      <c r="FH134" s="144"/>
      <c r="FI134" s="144"/>
      <c r="FJ134" s="144"/>
      <c r="FK134" s="144"/>
      <c r="FL134" s="144"/>
      <c r="FM134" s="144"/>
      <c r="FN134" s="144"/>
      <c r="FO134" s="144"/>
      <c r="FP134" s="144"/>
      <c r="FQ134" s="144"/>
      <c r="FR134" s="144"/>
      <c r="FS134" s="144"/>
      <c r="FT134" s="144"/>
      <c r="FU134" s="144"/>
      <c r="FV134" s="144"/>
      <c r="FW134" s="144"/>
      <c r="FX134" s="144"/>
    </row>
    <row r="135" spans="1:180" s="56" customFormat="1" x14ac:dyDescent="0.2">
      <c r="A135" s="67"/>
      <c r="B135" s="66"/>
      <c r="C135" s="65">
        <f t="shared" si="17"/>
        <v>0</v>
      </c>
      <c r="D135" s="49"/>
      <c r="E135" s="65">
        <f t="shared" si="18"/>
        <v>0</v>
      </c>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c r="CB135" s="144"/>
      <c r="CC135" s="144"/>
      <c r="CD135" s="144"/>
      <c r="CE135" s="144"/>
      <c r="CF135" s="144"/>
      <c r="CG135" s="144"/>
      <c r="CH135" s="144"/>
      <c r="CI135" s="144"/>
      <c r="CJ135" s="144"/>
      <c r="CK135" s="144"/>
      <c r="CL135" s="144"/>
      <c r="CM135" s="144"/>
      <c r="CN135" s="144"/>
      <c r="CO135" s="144"/>
      <c r="CP135" s="144"/>
      <c r="CQ135" s="144"/>
      <c r="CR135" s="144"/>
      <c r="CS135" s="144"/>
      <c r="CT135" s="144"/>
      <c r="CU135" s="144"/>
      <c r="CV135" s="144"/>
      <c r="CW135" s="144"/>
      <c r="CX135" s="144"/>
      <c r="CY135" s="144"/>
      <c r="CZ135" s="144"/>
      <c r="DA135" s="144"/>
      <c r="DB135" s="144"/>
      <c r="DC135" s="144"/>
      <c r="DD135" s="144"/>
      <c r="DE135" s="144"/>
      <c r="DF135" s="144"/>
      <c r="DG135" s="144"/>
      <c r="DH135" s="144"/>
      <c r="DI135" s="144"/>
      <c r="DJ135" s="144"/>
      <c r="DK135" s="144"/>
      <c r="DL135" s="144"/>
      <c r="DM135" s="144"/>
      <c r="DN135" s="144"/>
      <c r="DO135" s="144"/>
      <c r="DP135" s="144"/>
      <c r="DQ135" s="144"/>
      <c r="DR135" s="144"/>
      <c r="DS135" s="144"/>
      <c r="DT135" s="144"/>
      <c r="DU135" s="144"/>
      <c r="DV135" s="144"/>
      <c r="DW135" s="144"/>
      <c r="DX135" s="144"/>
      <c r="DY135" s="144"/>
      <c r="DZ135" s="144"/>
      <c r="EA135" s="144"/>
      <c r="EB135" s="144"/>
      <c r="EC135" s="144"/>
      <c r="ED135" s="144"/>
      <c r="EE135" s="144"/>
      <c r="EF135" s="144"/>
      <c r="EG135" s="144"/>
      <c r="EH135" s="144"/>
      <c r="EI135" s="144"/>
      <c r="EJ135" s="144"/>
      <c r="EK135" s="144"/>
      <c r="EL135" s="144"/>
      <c r="EM135" s="144"/>
      <c r="EN135" s="144"/>
      <c r="EO135" s="144"/>
      <c r="EP135" s="144"/>
      <c r="EQ135" s="144"/>
      <c r="ER135" s="144"/>
      <c r="ES135" s="144"/>
      <c r="ET135" s="144"/>
      <c r="EU135" s="144"/>
      <c r="EV135" s="144"/>
      <c r="EW135" s="144"/>
      <c r="EX135" s="144"/>
      <c r="EY135" s="144"/>
      <c r="EZ135" s="144"/>
      <c r="FA135" s="144"/>
      <c r="FB135" s="144"/>
      <c r="FC135" s="144"/>
      <c r="FD135" s="144"/>
      <c r="FE135" s="144"/>
      <c r="FF135" s="144"/>
      <c r="FG135" s="144"/>
      <c r="FH135" s="144"/>
      <c r="FI135" s="144"/>
      <c r="FJ135" s="144"/>
      <c r="FK135" s="144"/>
      <c r="FL135" s="144"/>
      <c r="FM135" s="144"/>
      <c r="FN135" s="144"/>
      <c r="FO135" s="144"/>
      <c r="FP135" s="144"/>
      <c r="FQ135" s="144"/>
      <c r="FR135" s="144"/>
      <c r="FS135" s="144"/>
      <c r="FT135" s="144"/>
      <c r="FU135" s="144"/>
      <c r="FV135" s="144"/>
      <c r="FW135" s="144"/>
      <c r="FX135" s="144"/>
    </row>
    <row r="136" spans="1:180" s="56" customFormat="1" x14ac:dyDescent="0.2">
      <c r="A136" s="67"/>
      <c r="B136" s="66"/>
      <c r="C136" s="65">
        <f t="shared" si="17"/>
        <v>0</v>
      </c>
      <c r="D136" s="49"/>
      <c r="E136" s="65">
        <f t="shared" si="18"/>
        <v>0</v>
      </c>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c r="BC136" s="144"/>
      <c r="BD136" s="144"/>
      <c r="BE136" s="144"/>
      <c r="BF136" s="144"/>
      <c r="BG136" s="144"/>
      <c r="BH136" s="144"/>
      <c r="BI136" s="144"/>
      <c r="BJ136" s="144"/>
      <c r="BK136" s="144"/>
      <c r="BL136" s="144"/>
      <c r="BM136" s="144"/>
      <c r="BN136" s="144"/>
      <c r="BO136" s="144"/>
      <c r="BP136" s="144"/>
      <c r="BQ136" s="144"/>
      <c r="BR136" s="144"/>
      <c r="BS136" s="144"/>
      <c r="BT136" s="144"/>
      <c r="BU136" s="144"/>
      <c r="BV136" s="144"/>
      <c r="BW136" s="144"/>
      <c r="BX136" s="144"/>
      <c r="BY136" s="144"/>
      <c r="BZ136" s="144"/>
      <c r="CA136" s="144"/>
      <c r="CB136" s="144"/>
      <c r="CC136" s="144"/>
      <c r="CD136" s="144"/>
      <c r="CE136" s="144"/>
      <c r="CF136" s="144"/>
      <c r="CG136" s="144"/>
      <c r="CH136" s="144"/>
      <c r="CI136" s="144"/>
      <c r="CJ136" s="144"/>
      <c r="CK136" s="144"/>
      <c r="CL136" s="144"/>
      <c r="CM136" s="144"/>
      <c r="CN136" s="144"/>
      <c r="CO136" s="144"/>
      <c r="CP136" s="144"/>
      <c r="CQ136" s="144"/>
      <c r="CR136" s="144"/>
      <c r="CS136" s="144"/>
      <c r="CT136" s="144"/>
      <c r="CU136" s="144"/>
      <c r="CV136" s="144"/>
      <c r="CW136" s="144"/>
      <c r="CX136" s="144"/>
      <c r="CY136" s="144"/>
      <c r="CZ136" s="144"/>
      <c r="DA136" s="144"/>
      <c r="DB136" s="144"/>
      <c r="DC136" s="144"/>
      <c r="DD136" s="144"/>
      <c r="DE136" s="144"/>
      <c r="DF136" s="144"/>
      <c r="DG136" s="144"/>
      <c r="DH136" s="144"/>
      <c r="DI136" s="144"/>
      <c r="DJ136" s="144"/>
      <c r="DK136" s="144"/>
      <c r="DL136" s="144"/>
      <c r="DM136" s="144"/>
      <c r="DN136" s="144"/>
      <c r="DO136" s="144"/>
      <c r="DP136" s="144"/>
      <c r="DQ136" s="144"/>
      <c r="DR136" s="144"/>
      <c r="DS136" s="144"/>
      <c r="DT136" s="144"/>
      <c r="DU136" s="144"/>
      <c r="DV136" s="144"/>
      <c r="DW136" s="144"/>
      <c r="DX136" s="144"/>
      <c r="DY136" s="144"/>
      <c r="DZ136" s="144"/>
      <c r="EA136" s="144"/>
      <c r="EB136" s="144"/>
      <c r="EC136" s="144"/>
      <c r="ED136" s="144"/>
      <c r="EE136" s="144"/>
      <c r="EF136" s="144"/>
      <c r="EG136" s="144"/>
      <c r="EH136" s="144"/>
      <c r="EI136" s="144"/>
      <c r="EJ136" s="144"/>
      <c r="EK136" s="144"/>
      <c r="EL136" s="144"/>
      <c r="EM136" s="144"/>
      <c r="EN136" s="144"/>
      <c r="EO136" s="144"/>
      <c r="EP136" s="144"/>
      <c r="EQ136" s="144"/>
      <c r="ER136" s="144"/>
      <c r="ES136" s="144"/>
      <c r="ET136" s="144"/>
      <c r="EU136" s="144"/>
      <c r="EV136" s="144"/>
      <c r="EW136" s="144"/>
      <c r="EX136" s="144"/>
      <c r="EY136" s="144"/>
      <c r="EZ136" s="144"/>
      <c r="FA136" s="144"/>
      <c r="FB136" s="144"/>
      <c r="FC136" s="144"/>
      <c r="FD136" s="144"/>
      <c r="FE136" s="144"/>
      <c r="FF136" s="144"/>
      <c r="FG136" s="144"/>
      <c r="FH136" s="144"/>
      <c r="FI136" s="144"/>
      <c r="FJ136" s="144"/>
      <c r="FK136" s="144"/>
      <c r="FL136" s="144"/>
      <c r="FM136" s="144"/>
      <c r="FN136" s="144"/>
      <c r="FO136" s="144"/>
      <c r="FP136" s="144"/>
      <c r="FQ136" s="144"/>
      <c r="FR136" s="144"/>
      <c r="FS136" s="144"/>
      <c r="FT136" s="144"/>
      <c r="FU136" s="144"/>
      <c r="FV136" s="144"/>
      <c r="FW136" s="144"/>
      <c r="FX136" s="144"/>
    </row>
    <row r="137" spans="1:180" s="56" customFormat="1" x14ac:dyDescent="0.2">
      <c r="A137" s="67"/>
      <c r="B137" s="66"/>
      <c r="C137" s="65">
        <f t="shared" si="17"/>
        <v>0</v>
      </c>
      <c r="D137" s="49"/>
      <c r="E137" s="65">
        <f t="shared" si="18"/>
        <v>0</v>
      </c>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c r="BC137" s="144"/>
      <c r="BD137" s="144"/>
      <c r="BE137" s="144"/>
      <c r="BF137" s="144"/>
      <c r="BG137" s="144"/>
      <c r="BH137" s="144"/>
      <c r="BI137" s="144"/>
      <c r="BJ137" s="144"/>
      <c r="BK137" s="144"/>
      <c r="BL137" s="144"/>
      <c r="BM137" s="144"/>
      <c r="BN137" s="144"/>
      <c r="BO137" s="144"/>
      <c r="BP137" s="144"/>
      <c r="BQ137" s="144"/>
      <c r="BR137" s="144"/>
      <c r="BS137" s="144"/>
      <c r="BT137" s="144"/>
      <c r="BU137" s="144"/>
      <c r="BV137" s="144"/>
      <c r="BW137" s="144"/>
      <c r="BX137" s="144"/>
      <c r="BY137" s="144"/>
      <c r="BZ137" s="144"/>
      <c r="CA137" s="144"/>
      <c r="CB137" s="144"/>
      <c r="CC137" s="144"/>
      <c r="CD137" s="144"/>
      <c r="CE137" s="144"/>
      <c r="CF137" s="144"/>
      <c r="CG137" s="144"/>
      <c r="CH137" s="144"/>
      <c r="CI137" s="144"/>
      <c r="CJ137" s="144"/>
      <c r="CK137" s="144"/>
      <c r="CL137" s="144"/>
      <c r="CM137" s="144"/>
      <c r="CN137" s="144"/>
      <c r="CO137" s="144"/>
      <c r="CP137" s="144"/>
      <c r="CQ137" s="144"/>
      <c r="CR137" s="144"/>
      <c r="CS137" s="144"/>
      <c r="CT137" s="144"/>
      <c r="CU137" s="144"/>
      <c r="CV137" s="144"/>
      <c r="CW137" s="144"/>
      <c r="CX137" s="144"/>
      <c r="CY137" s="144"/>
      <c r="CZ137" s="144"/>
      <c r="DA137" s="144"/>
      <c r="DB137" s="144"/>
      <c r="DC137" s="144"/>
      <c r="DD137" s="144"/>
      <c r="DE137" s="144"/>
      <c r="DF137" s="144"/>
      <c r="DG137" s="144"/>
      <c r="DH137" s="144"/>
      <c r="DI137" s="144"/>
      <c r="DJ137" s="144"/>
      <c r="DK137" s="144"/>
      <c r="DL137" s="144"/>
      <c r="DM137" s="144"/>
      <c r="DN137" s="144"/>
      <c r="DO137" s="144"/>
      <c r="DP137" s="144"/>
      <c r="DQ137" s="144"/>
      <c r="DR137" s="144"/>
      <c r="DS137" s="144"/>
      <c r="DT137" s="144"/>
      <c r="DU137" s="144"/>
      <c r="DV137" s="144"/>
      <c r="DW137" s="144"/>
      <c r="DX137" s="144"/>
      <c r="DY137" s="144"/>
      <c r="DZ137" s="144"/>
      <c r="EA137" s="144"/>
      <c r="EB137" s="144"/>
      <c r="EC137" s="144"/>
      <c r="ED137" s="144"/>
      <c r="EE137" s="144"/>
      <c r="EF137" s="144"/>
      <c r="EG137" s="144"/>
      <c r="EH137" s="144"/>
      <c r="EI137" s="144"/>
      <c r="EJ137" s="144"/>
      <c r="EK137" s="144"/>
      <c r="EL137" s="144"/>
      <c r="EM137" s="144"/>
      <c r="EN137" s="144"/>
      <c r="EO137" s="144"/>
      <c r="EP137" s="144"/>
      <c r="EQ137" s="144"/>
      <c r="ER137" s="144"/>
      <c r="ES137" s="144"/>
      <c r="ET137" s="144"/>
      <c r="EU137" s="144"/>
      <c r="EV137" s="144"/>
      <c r="EW137" s="144"/>
      <c r="EX137" s="144"/>
      <c r="EY137" s="144"/>
      <c r="EZ137" s="144"/>
      <c r="FA137" s="144"/>
      <c r="FB137" s="144"/>
      <c r="FC137" s="144"/>
      <c r="FD137" s="144"/>
      <c r="FE137" s="144"/>
      <c r="FF137" s="144"/>
      <c r="FG137" s="144"/>
      <c r="FH137" s="144"/>
      <c r="FI137" s="144"/>
      <c r="FJ137" s="144"/>
      <c r="FK137" s="144"/>
      <c r="FL137" s="144"/>
      <c r="FM137" s="144"/>
      <c r="FN137" s="144"/>
      <c r="FO137" s="144"/>
      <c r="FP137" s="144"/>
      <c r="FQ137" s="144"/>
      <c r="FR137" s="144"/>
      <c r="FS137" s="144"/>
      <c r="FT137" s="144"/>
      <c r="FU137" s="144"/>
      <c r="FV137" s="144"/>
      <c r="FW137" s="144"/>
      <c r="FX137" s="144"/>
    </row>
    <row r="138" spans="1:180" s="56" customFormat="1" x14ac:dyDescent="0.2">
      <c r="A138" s="67"/>
      <c r="B138" s="66"/>
      <c r="C138" s="65">
        <f t="shared" si="17"/>
        <v>0</v>
      </c>
      <c r="D138" s="49"/>
      <c r="E138" s="65">
        <f t="shared" si="18"/>
        <v>0</v>
      </c>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c r="BC138" s="144"/>
      <c r="BD138" s="144"/>
      <c r="BE138" s="144"/>
      <c r="BF138" s="144"/>
      <c r="BG138" s="144"/>
      <c r="BH138" s="144"/>
      <c r="BI138" s="144"/>
      <c r="BJ138" s="144"/>
      <c r="BK138" s="144"/>
      <c r="BL138" s="144"/>
      <c r="BM138" s="144"/>
      <c r="BN138" s="144"/>
      <c r="BO138" s="144"/>
      <c r="BP138" s="144"/>
      <c r="BQ138" s="144"/>
      <c r="BR138" s="144"/>
      <c r="BS138" s="144"/>
      <c r="BT138" s="144"/>
      <c r="BU138" s="144"/>
      <c r="BV138" s="144"/>
      <c r="BW138" s="144"/>
      <c r="BX138" s="144"/>
      <c r="BY138" s="144"/>
      <c r="BZ138" s="144"/>
      <c r="CA138" s="144"/>
      <c r="CB138" s="144"/>
      <c r="CC138" s="144"/>
      <c r="CD138" s="144"/>
      <c r="CE138" s="144"/>
      <c r="CF138" s="144"/>
      <c r="CG138" s="144"/>
      <c r="CH138" s="144"/>
      <c r="CI138" s="144"/>
      <c r="CJ138" s="144"/>
      <c r="CK138" s="144"/>
      <c r="CL138" s="144"/>
      <c r="CM138" s="144"/>
      <c r="CN138" s="144"/>
      <c r="CO138" s="144"/>
      <c r="CP138" s="144"/>
      <c r="CQ138" s="144"/>
      <c r="CR138" s="144"/>
      <c r="CS138" s="144"/>
      <c r="CT138" s="144"/>
      <c r="CU138" s="144"/>
      <c r="CV138" s="144"/>
      <c r="CW138" s="144"/>
      <c r="CX138" s="144"/>
      <c r="CY138" s="144"/>
      <c r="CZ138" s="144"/>
      <c r="DA138" s="144"/>
      <c r="DB138" s="144"/>
      <c r="DC138" s="144"/>
      <c r="DD138" s="144"/>
      <c r="DE138" s="144"/>
      <c r="DF138" s="144"/>
      <c r="DG138" s="144"/>
      <c r="DH138" s="144"/>
      <c r="DI138" s="144"/>
      <c r="DJ138" s="144"/>
      <c r="DK138" s="144"/>
      <c r="DL138" s="144"/>
      <c r="DM138" s="144"/>
      <c r="DN138" s="144"/>
      <c r="DO138" s="144"/>
      <c r="DP138" s="144"/>
      <c r="DQ138" s="144"/>
      <c r="DR138" s="144"/>
      <c r="DS138" s="144"/>
      <c r="DT138" s="144"/>
      <c r="DU138" s="144"/>
      <c r="DV138" s="144"/>
      <c r="DW138" s="144"/>
      <c r="DX138" s="144"/>
      <c r="DY138" s="144"/>
      <c r="DZ138" s="144"/>
      <c r="EA138" s="144"/>
      <c r="EB138" s="144"/>
      <c r="EC138" s="144"/>
      <c r="ED138" s="144"/>
      <c r="EE138" s="144"/>
      <c r="EF138" s="144"/>
      <c r="EG138" s="144"/>
      <c r="EH138" s="144"/>
      <c r="EI138" s="144"/>
      <c r="EJ138" s="144"/>
      <c r="EK138" s="144"/>
      <c r="EL138" s="144"/>
      <c r="EM138" s="144"/>
      <c r="EN138" s="144"/>
      <c r="EO138" s="144"/>
      <c r="EP138" s="144"/>
      <c r="EQ138" s="144"/>
      <c r="ER138" s="144"/>
      <c r="ES138" s="144"/>
      <c r="ET138" s="144"/>
      <c r="EU138" s="144"/>
      <c r="EV138" s="144"/>
      <c r="EW138" s="144"/>
      <c r="EX138" s="144"/>
      <c r="EY138" s="144"/>
      <c r="EZ138" s="144"/>
      <c r="FA138" s="144"/>
      <c r="FB138" s="144"/>
      <c r="FC138" s="144"/>
      <c r="FD138" s="144"/>
      <c r="FE138" s="144"/>
      <c r="FF138" s="144"/>
      <c r="FG138" s="144"/>
      <c r="FH138" s="144"/>
      <c r="FI138" s="144"/>
      <c r="FJ138" s="144"/>
      <c r="FK138" s="144"/>
      <c r="FL138" s="144"/>
      <c r="FM138" s="144"/>
      <c r="FN138" s="144"/>
      <c r="FO138" s="144"/>
      <c r="FP138" s="144"/>
      <c r="FQ138" s="144"/>
      <c r="FR138" s="144"/>
      <c r="FS138" s="144"/>
      <c r="FT138" s="144"/>
      <c r="FU138" s="144"/>
      <c r="FV138" s="144"/>
      <c r="FW138" s="144"/>
      <c r="FX138" s="144"/>
    </row>
    <row r="139" spans="1:180" s="56" customFormat="1" x14ac:dyDescent="0.2">
      <c r="A139" s="67"/>
      <c r="B139" s="66"/>
      <c r="C139" s="65">
        <f t="shared" si="17"/>
        <v>0</v>
      </c>
      <c r="D139" s="49"/>
      <c r="E139" s="65">
        <f t="shared" si="18"/>
        <v>0</v>
      </c>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c r="AX139" s="144"/>
      <c r="AY139" s="144"/>
      <c r="AZ139" s="144"/>
      <c r="BA139" s="144"/>
      <c r="BB139" s="144"/>
      <c r="BC139" s="144"/>
      <c r="BD139" s="144"/>
      <c r="BE139" s="144"/>
      <c r="BF139" s="144"/>
      <c r="BG139" s="144"/>
      <c r="BH139" s="144"/>
      <c r="BI139" s="144"/>
      <c r="BJ139" s="144"/>
      <c r="BK139" s="144"/>
      <c r="BL139" s="144"/>
      <c r="BM139" s="144"/>
      <c r="BN139" s="144"/>
      <c r="BO139" s="144"/>
      <c r="BP139" s="144"/>
      <c r="BQ139" s="144"/>
      <c r="BR139" s="144"/>
      <c r="BS139" s="144"/>
      <c r="BT139" s="144"/>
      <c r="BU139" s="144"/>
      <c r="BV139" s="144"/>
      <c r="BW139" s="144"/>
      <c r="BX139" s="144"/>
      <c r="BY139" s="144"/>
      <c r="BZ139" s="144"/>
      <c r="CA139" s="144"/>
      <c r="CB139" s="144"/>
      <c r="CC139" s="144"/>
      <c r="CD139" s="144"/>
      <c r="CE139" s="144"/>
      <c r="CF139" s="144"/>
      <c r="CG139" s="144"/>
      <c r="CH139" s="144"/>
      <c r="CI139" s="144"/>
      <c r="CJ139" s="144"/>
      <c r="CK139" s="144"/>
      <c r="CL139" s="144"/>
      <c r="CM139" s="144"/>
      <c r="CN139" s="144"/>
      <c r="CO139" s="144"/>
      <c r="CP139" s="144"/>
      <c r="CQ139" s="144"/>
      <c r="CR139" s="144"/>
      <c r="CS139" s="144"/>
      <c r="CT139" s="144"/>
      <c r="CU139" s="144"/>
      <c r="CV139" s="144"/>
      <c r="CW139" s="144"/>
      <c r="CX139" s="144"/>
      <c r="CY139" s="144"/>
      <c r="CZ139" s="144"/>
      <c r="DA139" s="144"/>
      <c r="DB139" s="144"/>
      <c r="DC139" s="144"/>
      <c r="DD139" s="144"/>
      <c r="DE139" s="144"/>
      <c r="DF139" s="144"/>
      <c r="DG139" s="144"/>
      <c r="DH139" s="144"/>
      <c r="DI139" s="144"/>
      <c r="DJ139" s="144"/>
      <c r="DK139" s="144"/>
      <c r="DL139" s="144"/>
      <c r="DM139" s="144"/>
      <c r="DN139" s="144"/>
      <c r="DO139" s="144"/>
      <c r="DP139" s="144"/>
      <c r="DQ139" s="144"/>
      <c r="DR139" s="144"/>
      <c r="DS139" s="144"/>
      <c r="DT139" s="144"/>
      <c r="DU139" s="144"/>
      <c r="DV139" s="144"/>
      <c r="DW139" s="144"/>
      <c r="DX139" s="144"/>
      <c r="DY139" s="144"/>
      <c r="DZ139" s="144"/>
      <c r="EA139" s="144"/>
      <c r="EB139" s="144"/>
      <c r="EC139" s="144"/>
      <c r="ED139" s="144"/>
      <c r="EE139" s="144"/>
      <c r="EF139" s="144"/>
      <c r="EG139" s="144"/>
      <c r="EH139" s="144"/>
      <c r="EI139" s="144"/>
      <c r="EJ139" s="144"/>
      <c r="EK139" s="144"/>
      <c r="EL139" s="144"/>
      <c r="EM139" s="144"/>
      <c r="EN139" s="144"/>
      <c r="EO139" s="144"/>
      <c r="EP139" s="144"/>
      <c r="EQ139" s="144"/>
      <c r="ER139" s="144"/>
      <c r="ES139" s="144"/>
      <c r="ET139" s="144"/>
      <c r="EU139" s="144"/>
      <c r="EV139" s="144"/>
      <c r="EW139" s="144"/>
      <c r="EX139" s="144"/>
      <c r="EY139" s="144"/>
      <c r="EZ139" s="144"/>
      <c r="FA139" s="144"/>
      <c r="FB139" s="144"/>
      <c r="FC139" s="144"/>
      <c r="FD139" s="144"/>
      <c r="FE139" s="144"/>
      <c r="FF139" s="144"/>
      <c r="FG139" s="144"/>
      <c r="FH139" s="144"/>
      <c r="FI139" s="144"/>
      <c r="FJ139" s="144"/>
      <c r="FK139" s="144"/>
      <c r="FL139" s="144"/>
      <c r="FM139" s="144"/>
      <c r="FN139" s="144"/>
      <c r="FO139" s="144"/>
      <c r="FP139" s="144"/>
      <c r="FQ139" s="144"/>
      <c r="FR139" s="144"/>
      <c r="FS139" s="144"/>
      <c r="FT139" s="144"/>
      <c r="FU139" s="144"/>
      <c r="FV139" s="144"/>
      <c r="FW139" s="144"/>
      <c r="FX139" s="144"/>
    </row>
    <row r="140" spans="1:180" s="56" customFormat="1" x14ac:dyDescent="0.2">
      <c r="A140" s="67"/>
      <c r="B140" s="66"/>
      <c r="C140" s="65">
        <f t="shared" ref="C140:C171" si="19">E140*D$5</f>
        <v>0</v>
      </c>
      <c r="D140" s="49"/>
      <c r="E140" s="65">
        <f t="shared" si="18"/>
        <v>0</v>
      </c>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c r="BC140" s="144"/>
      <c r="BD140" s="144"/>
      <c r="BE140" s="144"/>
      <c r="BF140" s="144"/>
      <c r="BG140" s="144"/>
      <c r="BH140" s="144"/>
      <c r="BI140" s="144"/>
      <c r="BJ140" s="144"/>
      <c r="BK140" s="144"/>
      <c r="BL140" s="144"/>
      <c r="BM140" s="144"/>
      <c r="BN140" s="144"/>
      <c r="BO140" s="144"/>
      <c r="BP140" s="144"/>
      <c r="BQ140" s="144"/>
      <c r="BR140" s="144"/>
      <c r="BS140" s="144"/>
      <c r="BT140" s="144"/>
      <c r="BU140" s="144"/>
      <c r="BV140" s="144"/>
      <c r="BW140" s="144"/>
      <c r="BX140" s="144"/>
      <c r="BY140" s="144"/>
      <c r="BZ140" s="144"/>
      <c r="CA140" s="144"/>
      <c r="CB140" s="144"/>
      <c r="CC140" s="144"/>
      <c r="CD140" s="144"/>
      <c r="CE140" s="144"/>
      <c r="CF140" s="144"/>
      <c r="CG140" s="144"/>
      <c r="CH140" s="144"/>
      <c r="CI140" s="144"/>
      <c r="CJ140" s="144"/>
      <c r="CK140" s="144"/>
      <c r="CL140" s="144"/>
      <c r="CM140" s="144"/>
      <c r="CN140" s="144"/>
      <c r="CO140" s="144"/>
      <c r="CP140" s="144"/>
      <c r="CQ140" s="144"/>
      <c r="CR140" s="144"/>
      <c r="CS140" s="144"/>
      <c r="CT140" s="144"/>
      <c r="CU140" s="144"/>
      <c r="CV140" s="144"/>
      <c r="CW140" s="144"/>
      <c r="CX140" s="144"/>
      <c r="CY140" s="144"/>
      <c r="CZ140" s="144"/>
      <c r="DA140" s="144"/>
      <c r="DB140" s="144"/>
      <c r="DC140" s="144"/>
      <c r="DD140" s="144"/>
      <c r="DE140" s="144"/>
      <c r="DF140" s="144"/>
      <c r="DG140" s="144"/>
      <c r="DH140" s="144"/>
      <c r="DI140" s="144"/>
      <c r="DJ140" s="144"/>
      <c r="DK140" s="144"/>
      <c r="DL140" s="144"/>
      <c r="DM140" s="144"/>
      <c r="DN140" s="144"/>
      <c r="DO140" s="144"/>
      <c r="DP140" s="144"/>
      <c r="DQ140" s="144"/>
      <c r="DR140" s="144"/>
      <c r="DS140" s="144"/>
      <c r="DT140" s="144"/>
      <c r="DU140" s="144"/>
      <c r="DV140" s="144"/>
      <c r="DW140" s="144"/>
      <c r="DX140" s="144"/>
      <c r="DY140" s="144"/>
      <c r="DZ140" s="144"/>
      <c r="EA140" s="144"/>
      <c r="EB140" s="144"/>
      <c r="EC140" s="144"/>
      <c r="ED140" s="144"/>
      <c r="EE140" s="144"/>
      <c r="EF140" s="144"/>
      <c r="EG140" s="144"/>
      <c r="EH140" s="144"/>
      <c r="EI140" s="144"/>
      <c r="EJ140" s="144"/>
      <c r="EK140" s="144"/>
      <c r="EL140" s="144"/>
      <c r="EM140" s="144"/>
      <c r="EN140" s="144"/>
      <c r="EO140" s="144"/>
      <c r="EP140" s="144"/>
      <c r="EQ140" s="144"/>
      <c r="ER140" s="144"/>
      <c r="ES140" s="144"/>
      <c r="ET140" s="144"/>
      <c r="EU140" s="144"/>
      <c r="EV140" s="144"/>
      <c r="EW140" s="144"/>
      <c r="EX140" s="144"/>
      <c r="EY140" s="144"/>
      <c r="EZ140" s="144"/>
      <c r="FA140" s="144"/>
      <c r="FB140" s="144"/>
      <c r="FC140" s="144"/>
      <c r="FD140" s="144"/>
      <c r="FE140" s="144"/>
      <c r="FF140" s="144"/>
      <c r="FG140" s="144"/>
      <c r="FH140" s="144"/>
      <c r="FI140" s="144"/>
      <c r="FJ140" s="144"/>
      <c r="FK140" s="144"/>
      <c r="FL140" s="144"/>
      <c r="FM140" s="144"/>
      <c r="FN140" s="144"/>
      <c r="FO140" s="144"/>
      <c r="FP140" s="144"/>
      <c r="FQ140" s="144"/>
      <c r="FR140" s="144"/>
      <c r="FS140" s="144"/>
      <c r="FT140" s="144"/>
      <c r="FU140" s="144"/>
      <c r="FV140" s="144"/>
      <c r="FW140" s="144"/>
      <c r="FX140" s="144"/>
    </row>
    <row r="141" spans="1:180" s="56" customFormat="1" x14ac:dyDescent="0.2">
      <c r="A141" s="67"/>
      <c r="B141" s="66"/>
      <c r="C141" s="65">
        <f t="shared" si="19"/>
        <v>0</v>
      </c>
      <c r="D141" s="49"/>
      <c r="E141" s="65">
        <f t="shared" si="18"/>
        <v>0</v>
      </c>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c r="AX141" s="144"/>
      <c r="AY141" s="144"/>
      <c r="AZ141" s="144"/>
      <c r="BA141" s="144"/>
      <c r="BB141" s="144"/>
      <c r="BC141" s="144"/>
      <c r="BD141" s="144"/>
      <c r="BE141" s="144"/>
      <c r="BF141" s="144"/>
      <c r="BG141" s="144"/>
      <c r="BH141" s="144"/>
      <c r="BI141" s="144"/>
      <c r="BJ141" s="144"/>
      <c r="BK141" s="144"/>
      <c r="BL141" s="144"/>
      <c r="BM141" s="144"/>
      <c r="BN141" s="144"/>
      <c r="BO141" s="144"/>
      <c r="BP141" s="144"/>
      <c r="BQ141" s="144"/>
      <c r="BR141" s="144"/>
      <c r="BS141" s="144"/>
      <c r="BT141" s="144"/>
      <c r="BU141" s="144"/>
      <c r="BV141" s="144"/>
      <c r="BW141" s="144"/>
      <c r="BX141" s="144"/>
      <c r="BY141" s="144"/>
      <c r="BZ141" s="144"/>
      <c r="CA141" s="144"/>
      <c r="CB141" s="144"/>
      <c r="CC141" s="144"/>
      <c r="CD141" s="144"/>
      <c r="CE141" s="144"/>
      <c r="CF141" s="144"/>
      <c r="CG141" s="144"/>
      <c r="CH141" s="144"/>
      <c r="CI141" s="144"/>
      <c r="CJ141" s="144"/>
      <c r="CK141" s="144"/>
      <c r="CL141" s="144"/>
      <c r="CM141" s="144"/>
      <c r="CN141" s="144"/>
      <c r="CO141" s="144"/>
      <c r="CP141" s="144"/>
      <c r="CQ141" s="144"/>
      <c r="CR141" s="144"/>
      <c r="CS141" s="144"/>
      <c r="CT141" s="144"/>
      <c r="CU141" s="144"/>
      <c r="CV141" s="144"/>
      <c r="CW141" s="144"/>
      <c r="CX141" s="144"/>
      <c r="CY141" s="144"/>
      <c r="CZ141" s="144"/>
      <c r="DA141" s="144"/>
      <c r="DB141" s="144"/>
      <c r="DC141" s="144"/>
      <c r="DD141" s="144"/>
      <c r="DE141" s="144"/>
      <c r="DF141" s="144"/>
      <c r="DG141" s="144"/>
      <c r="DH141" s="144"/>
      <c r="DI141" s="144"/>
      <c r="DJ141" s="144"/>
      <c r="DK141" s="144"/>
      <c r="DL141" s="144"/>
      <c r="DM141" s="144"/>
      <c r="DN141" s="144"/>
      <c r="DO141" s="144"/>
      <c r="DP141" s="144"/>
      <c r="DQ141" s="144"/>
      <c r="DR141" s="144"/>
      <c r="DS141" s="144"/>
      <c r="DT141" s="144"/>
      <c r="DU141" s="144"/>
      <c r="DV141" s="144"/>
      <c r="DW141" s="144"/>
      <c r="DX141" s="144"/>
      <c r="DY141" s="144"/>
      <c r="DZ141" s="144"/>
      <c r="EA141" s="144"/>
      <c r="EB141" s="144"/>
      <c r="EC141" s="144"/>
      <c r="ED141" s="144"/>
      <c r="EE141" s="144"/>
      <c r="EF141" s="144"/>
      <c r="EG141" s="144"/>
      <c r="EH141" s="144"/>
      <c r="EI141" s="144"/>
      <c r="EJ141" s="144"/>
      <c r="EK141" s="144"/>
      <c r="EL141" s="144"/>
      <c r="EM141" s="144"/>
      <c r="EN141" s="144"/>
      <c r="EO141" s="144"/>
      <c r="EP141" s="144"/>
      <c r="EQ141" s="144"/>
      <c r="ER141" s="144"/>
      <c r="ES141" s="144"/>
      <c r="ET141" s="144"/>
      <c r="EU141" s="144"/>
      <c r="EV141" s="144"/>
      <c r="EW141" s="144"/>
      <c r="EX141" s="144"/>
      <c r="EY141" s="144"/>
      <c r="EZ141" s="144"/>
      <c r="FA141" s="144"/>
      <c r="FB141" s="144"/>
      <c r="FC141" s="144"/>
      <c r="FD141" s="144"/>
      <c r="FE141" s="144"/>
      <c r="FF141" s="144"/>
      <c r="FG141" s="144"/>
      <c r="FH141" s="144"/>
      <c r="FI141" s="144"/>
      <c r="FJ141" s="144"/>
      <c r="FK141" s="144"/>
      <c r="FL141" s="144"/>
      <c r="FM141" s="144"/>
      <c r="FN141" s="144"/>
      <c r="FO141" s="144"/>
      <c r="FP141" s="144"/>
      <c r="FQ141" s="144"/>
      <c r="FR141" s="144"/>
      <c r="FS141" s="144"/>
      <c r="FT141" s="144"/>
      <c r="FU141" s="144"/>
      <c r="FV141" s="144"/>
      <c r="FW141" s="144"/>
      <c r="FX141" s="144"/>
    </row>
    <row r="142" spans="1:180" s="56" customFormat="1" x14ac:dyDescent="0.2">
      <c r="A142" s="67"/>
      <c r="B142" s="66"/>
      <c r="C142" s="65">
        <f t="shared" si="19"/>
        <v>0</v>
      </c>
      <c r="D142" s="49"/>
      <c r="E142" s="65">
        <f t="shared" si="18"/>
        <v>0</v>
      </c>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c r="AX142" s="144"/>
      <c r="AY142" s="144"/>
      <c r="AZ142" s="144"/>
      <c r="BA142" s="144"/>
      <c r="BB142" s="144"/>
      <c r="BC142" s="144"/>
      <c r="BD142" s="144"/>
      <c r="BE142" s="144"/>
      <c r="BF142" s="144"/>
      <c r="BG142" s="144"/>
      <c r="BH142" s="144"/>
      <c r="BI142" s="144"/>
      <c r="BJ142" s="144"/>
      <c r="BK142" s="144"/>
      <c r="BL142" s="144"/>
      <c r="BM142" s="144"/>
      <c r="BN142" s="144"/>
      <c r="BO142" s="144"/>
      <c r="BP142" s="144"/>
      <c r="BQ142" s="144"/>
      <c r="BR142" s="144"/>
      <c r="BS142" s="144"/>
      <c r="BT142" s="144"/>
      <c r="BU142" s="144"/>
      <c r="BV142" s="144"/>
      <c r="BW142" s="144"/>
      <c r="BX142" s="144"/>
      <c r="BY142" s="144"/>
      <c r="BZ142" s="144"/>
      <c r="CA142" s="144"/>
      <c r="CB142" s="144"/>
      <c r="CC142" s="144"/>
      <c r="CD142" s="144"/>
      <c r="CE142" s="144"/>
      <c r="CF142" s="144"/>
      <c r="CG142" s="144"/>
      <c r="CH142" s="144"/>
      <c r="CI142" s="144"/>
      <c r="CJ142" s="144"/>
      <c r="CK142" s="144"/>
      <c r="CL142" s="144"/>
      <c r="CM142" s="144"/>
      <c r="CN142" s="144"/>
      <c r="CO142" s="144"/>
      <c r="CP142" s="144"/>
      <c r="CQ142" s="144"/>
      <c r="CR142" s="144"/>
      <c r="CS142" s="144"/>
      <c r="CT142" s="144"/>
      <c r="CU142" s="144"/>
      <c r="CV142" s="144"/>
      <c r="CW142" s="144"/>
      <c r="CX142" s="144"/>
      <c r="CY142" s="144"/>
      <c r="CZ142" s="144"/>
      <c r="DA142" s="144"/>
      <c r="DB142" s="144"/>
      <c r="DC142" s="144"/>
      <c r="DD142" s="144"/>
      <c r="DE142" s="144"/>
      <c r="DF142" s="144"/>
      <c r="DG142" s="144"/>
      <c r="DH142" s="144"/>
      <c r="DI142" s="144"/>
      <c r="DJ142" s="144"/>
      <c r="DK142" s="144"/>
      <c r="DL142" s="144"/>
      <c r="DM142" s="144"/>
      <c r="DN142" s="144"/>
      <c r="DO142" s="144"/>
      <c r="DP142" s="144"/>
      <c r="DQ142" s="144"/>
      <c r="DR142" s="144"/>
      <c r="DS142" s="144"/>
      <c r="DT142" s="144"/>
      <c r="DU142" s="144"/>
      <c r="DV142" s="144"/>
      <c r="DW142" s="144"/>
      <c r="DX142" s="144"/>
      <c r="DY142" s="144"/>
      <c r="DZ142" s="144"/>
      <c r="EA142" s="144"/>
      <c r="EB142" s="144"/>
      <c r="EC142" s="144"/>
      <c r="ED142" s="144"/>
      <c r="EE142" s="144"/>
      <c r="EF142" s="144"/>
      <c r="EG142" s="144"/>
      <c r="EH142" s="144"/>
      <c r="EI142" s="144"/>
      <c r="EJ142" s="144"/>
      <c r="EK142" s="144"/>
      <c r="EL142" s="144"/>
      <c r="EM142" s="144"/>
      <c r="EN142" s="144"/>
      <c r="EO142" s="144"/>
      <c r="EP142" s="144"/>
      <c r="EQ142" s="144"/>
      <c r="ER142" s="144"/>
      <c r="ES142" s="144"/>
      <c r="ET142" s="144"/>
      <c r="EU142" s="144"/>
      <c r="EV142" s="144"/>
      <c r="EW142" s="144"/>
      <c r="EX142" s="144"/>
      <c r="EY142" s="144"/>
      <c r="EZ142" s="144"/>
      <c r="FA142" s="144"/>
      <c r="FB142" s="144"/>
      <c r="FC142" s="144"/>
      <c r="FD142" s="144"/>
      <c r="FE142" s="144"/>
      <c r="FF142" s="144"/>
      <c r="FG142" s="144"/>
      <c r="FH142" s="144"/>
      <c r="FI142" s="144"/>
      <c r="FJ142" s="144"/>
      <c r="FK142" s="144"/>
      <c r="FL142" s="144"/>
      <c r="FM142" s="144"/>
      <c r="FN142" s="144"/>
      <c r="FO142" s="144"/>
      <c r="FP142" s="144"/>
      <c r="FQ142" s="144"/>
      <c r="FR142" s="144"/>
      <c r="FS142" s="144"/>
      <c r="FT142" s="144"/>
      <c r="FU142" s="144"/>
      <c r="FV142" s="144"/>
      <c r="FW142" s="144"/>
      <c r="FX142" s="144"/>
    </row>
    <row r="143" spans="1:180" s="56" customFormat="1" x14ac:dyDescent="0.2">
      <c r="A143" s="67"/>
      <c r="B143" s="66"/>
      <c r="C143" s="65">
        <f t="shared" si="19"/>
        <v>0</v>
      </c>
      <c r="D143" s="49"/>
      <c r="E143" s="65">
        <f t="shared" si="18"/>
        <v>0</v>
      </c>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c r="AX143" s="144"/>
      <c r="AY143" s="144"/>
      <c r="AZ143" s="144"/>
      <c r="BA143" s="144"/>
      <c r="BB143" s="144"/>
      <c r="BC143" s="144"/>
      <c r="BD143" s="144"/>
      <c r="BE143" s="144"/>
      <c r="BF143" s="144"/>
      <c r="BG143" s="144"/>
      <c r="BH143" s="144"/>
      <c r="BI143" s="144"/>
      <c r="BJ143" s="144"/>
      <c r="BK143" s="144"/>
      <c r="BL143" s="144"/>
      <c r="BM143" s="144"/>
      <c r="BN143" s="144"/>
      <c r="BO143" s="144"/>
      <c r="BP143" s="144"/>
      <c r="BQ143" s="144"/>
      <c r="BR143" s="144"/>
      <c r="BS143" s="144"/>
      <c r="BT143" s="144"/>
      <c r="BU143" s="144"/>
      <c r="BV143" s="144"/>
      <c r="BW143" s="144"/>
      <c r="BX143" s="144"/>
      <c r="BY143" s="144"/>
      <c r="BZ143" s="144"/>
      <c r="CA143" s="144"/>
      <c r="CB143" s="144"/>
      <c r="CC143" s="144"/>
      <c r="CD143" s="144"/>
      <c r="CE143" s="144"/>
      <c r="CF143" s="144"/>
      <c r="CG143" s="144"/>
      <c r="CH143" s="144"/>
      <c r="CI143" s="144"/>
      <c r="CJ143" s="144"/>
      <c r="CK143" s="144"/>
      <c r="CL143" s="144"/>
      <c r="CM143" s="144"/>
      <c r="CN143" s="144"/>
      <c r="CO143" s="144"/>
      <c r="CP143" s="144"/>
      <c r="CQ143" s="144"/>
      <c r="CR143" s="144"/>
      <c r="CS143" s="144"/>
      <c r="CT143" s="144"/>
      <c r="CU143" s="144"/>
      <c r="CV143" s="144"/>
      <c r="CW143" s="144"/>
      <c r="CX143" s="144"/>
      <c r="CY143" s="144"/>
      <c r="CZ143" s="144"/>
      <c r="DA143" s="144"/>
      <c r="DB143" s="144"/>
      <c r="DC143" s="144"/>
      <c r="DD143" s="144"/>
      <c r="DE143" s="144"/>
      <c r="DF143" s="144"/>
      <c r="DG143" s="144"/>
      <c r="DH143" s="144"/>
      <c r="DI143" s="144"/>
      <c r="DJ143" s="144"/>
      <c r="DK143" s="144"/>
      <c r="DL143" s="144"/>
      <c r="DM143" s="144"/>
      <c r="DN143" s="144"/>
      <c r="DO143" s="144"/>
      <c r="DP143" s="144"/>
      <c r="DQ143" s="144"/>
      <c r="DR143" s="144"/>
      <c r="DS143" s="144"/>
      <c r="DT143" s="144"/>
      <c r="DU143" s="144"/>
      <c r="DV143" s="144"/>
      <c r="DW143" s="144"/>
      <c r="DX143" s="144"/>
      <c r="DY143" s="144"/>
      <c r="DZ143" s="144"/>
      <c r="EA143" s="144"/>
      <c r="EB143" s="144"/>
      <c r="EC143" s="144"/>
      <c r="ED143" s="144"/>
      <c r="EE143" s="144"/>
      <c r="EF143" s="144"/>
      <c r="EG143" s="144"/>
      <c r="EH143" s="144"/>
      <c r="EI143" s="144"/>
      <c r="EJ143" s="144"/>
      <c r="EK143" s="144"/>
      <c r="EL143" s="144"/>
      <c r="EM143" s="144"/>
      <c r="EN143" s="144"/>
      <c r="EO143" s="144"/>
      <c r="EP143" s="144"/>
      <c r="EQ143" s="144"/>
      <c r="ER143" s="144"/>
      <c r="ES143" s="144"/>
      <c r="ET143" s="144"/>
      <c r="EU143" s="144"/>
      <c r="EV143" s="144"/>
      <c r="EW143" s="144"/>
      <c r="EX143" s="144"/>
      <c r="EY143" s="144"/>
      <c r="EZ143" s="144"/>
      <c r="FA143" s="144"/>
      <c r="FB143" s="144"/>
      <c r="FC143" s="144"/>
      <c r="FD143" s="144"/>
      <c r="FE143" s="144"/>
      <c r="FF143" s="144"/>
      <c r="FG143" s="144"/>
      <c r="FH143" s="144"/>
      <c r="FI143" s="144"/>
      <c r="FJ143" s="144"/>
      <c r="FK143" s="144"/>
      <c r="FL143" s="144"/>
      <c r="FM143" s="144"/>
      <c r="FN143" s="144"/>
      <c r="FO143" s="144"/>
      <c r="FP143" s="144"/>
      <c r="FQ143" s="144"/>
      <c r="FR143" s="144"/>
      <c r="FS143" s="144"/>
      <c r="FT143" s="144"/>
      <c r="FU143" s="144"/>
      <c r="FV143" s="144"/>
      <c r="FW143" s="144"/>
      <c r="FX143" s="144"/>
    </row>
    <row r="144" spans="1:180" s="56" customFormat="1" x14ac:dyDescent="0.2">
      <c r="A144" s="67"/>
      <c r="B144" s="66"/>
      <c r="C144" s="65">
        <f t="shared" si="19"/>
        <v>0</v>
      </c>
      <c r="D144" s="49"/>
      <c r="E144" s="65">
        <f t="shared" si="18"/>
        <v>0</v>
      </c>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c r="AX144" s="144"/>
      <c r="AY144" s="144"/>
      <c r="AZ144" s="144"/>
      <c r="BA144" s="144"/>
      <c r="BB144" s="144"/>
      <c r="BC144" s="144"/>
      <c r="BD144" s="144"/>
      <c r="BE144" s="144"/>
      <c r="BF144" s="144"/>
      <c r="BG144" s="144"/>
      <c r="BH144" s="144"/>
      <c r="BI144" s="144"/>
      <c r="BJ144" s="144"/>
      <c r="BK144" s="144"/>
      <c r="BL144" s="144"/>
      <c r="BM144" s="144"/>
      <c r="BN144" s="144"/>
      <c r="BO144" s="144"/>
      <c r="BP144" s="144"/>
      <c r="BQ144" s="144"/>
      <c r="BR144" s="144"/>
      <c r="BS144" s="144"/>
      <c r="BT144" s="144"/>
      <c r="BU144" s="144"/>
      <c r="BV144" s="144"/>
      <c r="BW144" s="144"/>
      <c r="BX144" s="144"/>
      <c r="BY144" s="144"/>
      <c r="BZ144" s="144"/>
      <c r="CA144" s="144"/>
      <c r="CB144" s="144"/>
      <c r="CC144" s="144"/>
      <c r="CD144" s="144"/>
      <c r="CE144" s="144"/>
      <c r="CF144" s="144"/>
      <c r="CG144" s="144"/>
      <c r="CH144" s="144"/>
      <c r="CI144" s="144"/>
      <c r="CJ144" s="144"/>
      <c r="CK144" s="144"/>
      <c r="CL144" s="144"/>
      <c r="CM144" s="144"/>
      <c r="CN144" s="144"/>
      <c r="CO144" s="144"/>
      <c r="CP144" s="144"/>
      <c r="CQ144" s="144"/>
      <c r="CR144" s="144"/>
      <c r="CS144" s="144"/>
      <c r="CT144" s="144"/>
      <c r="CU144" s="144"/>
      <c r="CV144" s="144"/>
      <c r="CW144" s="144"/>
      <c r="CX144" s="144"/>
      <c r="CY144" s="144"/>
      <c r="CZ144" s="144"/>
      <c r="DA144" s="144"/>
      <c r="DB144" s="144"/>
      <c r="DC144" s="144"/>
      <c r="DD144" s="144"/>
      <c r="DE144" s="144"/>
      <c r="DF144" s="144"/>
      <c r="DG144" s="144"/>
      <c r="DH144" s="144"/>
      <c r="DI144" s="144"/>
      <c r="DJ144" s="144"/>
      <c r="DK144" s="144"/>
      <c r="DL144" s="144"/>
      <c r="DM144" s="144"/>
      <c r="DN144" s="144"/>
      <c r="DO144" s="144"/>
      <c r="DP144" s="144"/>
      <c r="DQ144" s="144"/>
      <c r="DR144" s="144"/>
      <c r="DS144" s="144"/>
      <c r="DT144" s="144"/>
      <c r="DU144" s="144"/>
      <c r="DV144" s="144"/>
      <c r="DW144" s="144"/>
      <c r="DX144" s="144"/>
      <c r="DY144" s="144"/>
      <c r="DZ144" s="144"/>
      <c r="EA144" s="144"/>
      <c r="EB144" s="144"/>
      <c r="EC144" s="144"/>
      <c r="ED144" s="144"/>
      <c r="EE144" s="144"/>
      <c r="EF144" s="144"/>
      <c r="EG144" s="144"/>
      <c r="EH144" s="144"/>
      <c r="EI144" s="144"/>
      <c r="EJ144" s="144"/>
      <c r="EK144" s="144"/>
      <c r="EL144" s="144"/>
      <c r="EM144" s="144"/>
      <c r="EN144" s="144"/>
      <c r="EO144" s="144"/>
      <c r="EP144" s="144"/>
      <c r="EQ144" s="144"/>
      <c r="ER144" s="144"/>
      <c r="ES144" s="144"/>
      <c r="ET144" s="144"/>
      <c r="EU144" s="144"/>
      <c r="EV144" s="144"/>
      <c r="EW144" s="144"/>
      <c r="EX144" s="144"/>
      <c r="EY144" s="144"/>
      <c r="EZ144" s="144"/>
      <c r="FA144" s="144"/>
      <c r="FB144" s="144"/>
      <c r="FC144" s="144"/>
      <c r="FD144" s="144"/>
      <c r="FE144" s="144"/>
      <c r="FF144" s="144"/>
      <c r="FG144" s="144"/>
      <c r="FH144" s="144"/>
      <c r="FI144" s="144"/>
      <c r="FJ144" s="144"/>
      <c r="FK144" s="144"/>
      <c r="FL144" s="144"/>
      <c r="FM144" s="144"/>
      <c r="FN144" s="144"/>
      <c r="FO144" s="144"/>
      <c r="FP144" s="144"/>
      <c r="FQ144" s="144"/>
      <c r="FR144" s="144"/>
      <c r="FS144" s="144"/>
      <c r="FT144" s="144"/>
      <c r="FU144" s="144"/>
      <c r="FV144" s="144"/>
      <c r="FW144" s="144"/>
      <c r="FX144" s="144"/>
    </row>
    <row r="145" spans="1:180" s="56" customFormat="1" x14ac:dyDescent="0.2">
      <c r="A145" s="67"/>
      <c r="B145" s="66"/>
      <c r="C145" s="65">
        <f t="shared" si="19"/>
        <v>0</v>
      </c>
      <c r="D145" s="49"/>
      <c r="E145" s="65">
        <f t="shared" si="18"/>
        <v>0</v>
      </c>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c r="BC145" s="144"/>
      <c r="BD145" s="144"/>
      <c r="BE145" s="144"/>
      <c r="BF145" s="144"/>
      <c r="BG145" s="144"/>
      <c r="BH145" s="144"/>
      <c r="BI145" s="144"/>
      <c r="BJ145" s="144"/>
      <c r="BK145" s="144"/>
      <c r="BL145" s="144"/>
      <c r="BM145" s="144"/>
      <c r="BN145" s="144"/>
      <c r="BO145" s="144"/>
      <c r="BP145" s="144"/>
      <c r="BQ145" s="144"/>
      <c r="BR145" s="144"/>
      <c r="BS145" s="144"/>
      <c r="BT145" s="144"/>
      <c r="BU145" s="144"/>
      <c r="BV145" s="144"/>
      <c r="BW145" s="144"/>
      <c r="BX145" s="144"/>
      <c r="BY145" s="144"/>
      <c r="BZ145" s="144"/>
      <c r="CA145" s="144"/>
      <c r="CB145" s="144"/>
      <c r="CC145" s="144"/>
      <c r="CD145" s="144"/>
      <c r="CE145" s="144"/>
      <c r="CF145" s="144"/>
      <c r="CG145" s="144"/>
      <c r="CH145" s="144"/>
      <c r="CI145" s="144"/>
      <c r="CJ145" s="144"/>
      <c r="CK145" s="144"/>
      <c r="CL145" s="144"/>
      <c r="CM145" s="144"/>
      <c r="CN145" s="144"/>
      <c r="CO145" s="144"/>
      <c r="CP145" s="144"/>
      <c r="CQ145" s="144"/>
      <c r="CR145" s="144"/>
      <c r="CS145" s="144"/>
      <c r="CT145" s="144"/>
      <c r="CU145" s="144"/>
      <c r="CV145" s="144"/>
      <c r="CW145" s="144"/>
      <c r="CX145" s="144"/>
      <c r="CY145" s="144"/>
      <c r="CZ145" s="144"/>
      <c r="DA145" s="144"/>
      <c r="DB145" s="144"/>
      <c r="DC145" s="144"/>
      <c r="DD145" s="144"/>
      <c r="DE145" s="144"/>
      <c r="DF145" s="144"/>
      <c r="DG145" s="144"/>
      <c r="DH145" s="144"/>
      <c r="DI145" s="144"/>
      <c r="DJ145" s="144"/>
      <c r="DK145" s="144"/>
      <c r="DL145" s="144"/>
      <c r="DM145" s="144"/>
      <c r="DN145" s="144"/>
      <c r="DO145" s="144"/>
      <c r="DP145" s="144"/>
      <c r="DQ145" s="144"/>
      <c r="DR145" s="144"/>
      <c r="DS145" s="144"/>
      <c r="DT145" s="144"/>
      <c r="DU145" s="144"/>
      <c r="DV145" s="144"/>
      <c r="DW145" s="144"/>
      <c r="DX145" s="144"/>
      <c r="DY145" s="144"/>
      <c r="DZ145" s="144"/>
      <c r="EA145" s="144"/>
      <c r="EB145" s="144"/>
      <c r="EC145" s="144"/>
      <c r="ED145" s="144"/>
      <c r="EE145" s="144"/>
      <c r="EF145" s="144"/>
      <c r="EG145" s="144"/>
      <c r="EH145" s="144"/>
      <c r="EI145" s="144"/>
      <c r="EJ145" s="144"/>
      <c r="EK145" s="144"/>
      <c r="EL145" s="144"/>
      <c r="EM145" s="144"/>
      <c r="EN145" s="144"/>
      <c r="EO145" s="144"/>
      <c r="EP145" s="144"/>
      <c r="EQ145" s="144"/>
      <c r="ER145" s="144"/>
      <c r="ES145" s="144"/>
      <c r="ET145" s="144"/>
      <c r="EU145" s="144"/>
      <c r="EV145" s="144"/>
      <c r="EW145" s="144"/>
      <c r="EX145" s="144"/>
      <c r="EY145" s="144"/>
      <c r="EZ145" s="144"/>
      <c r="FA145" s="144"/>
      <c r="FB145" s="144"/>
      <c r="FC145" s="144"/>
      <c r="FD145" s="144"/>
      <c r="FE145" s="144"/>
      <c r="FF145" s="144"/>
      <c r="FG145" s="144"/>
      <c r="FH145" s="144"/>
      <c r="FI145" s="144"/>
      <c r="FJ145" s="144"/>
      <c r="FK145" s="144"/>
      <c r="FL145" s="144"/>
      <c r="FM145" s="144"/>
      <c r="FN145" s="144"/>
      <c r="FO145" s="144"/>
      <c r="FP145" s="144"/>
      <c r="FQ145" s="144"/>
      <c r="FR145" s="144"/>
      <c r="FS145" s="144"/>
      <c r="FT145" s="144"/>
      <c r="FU145" s="144"/>
      <c r="FV145" s="144"/>
      <c r="FW145" s="144"/>
      <c r="FX145" s="144"/>
    </row>
    <row r="146" spans="1:180" s="56" customFormat="1" x14ac:dyDescent="0.2">
      <c r="A146" s="67"/>
      <c r="B146" s="66"/>
      <c r="C146" s="65">
        <f t="shared" si="19"/>
        <v>0</v>
      </c>
      <c r="D146" s="49"/>
      <c r="E146" s="65">
        <f t="shared" si="18"/>
        <v>0</v>
      </c>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c r="BC146" s="144"/>
      <c r="BD146" s="144"/>
      <c r="BE146" s="144"/>
      <c r="BF146" s="144"/>
      <c r="BG146" s="144"/>
      <c r="BH146" s="144"/>
      <c r="BI146" s="144"/>
      <c r="BJ146" s="144"/>
      <c r="BK146" s="144"/>
      <c r="BL146" s="144"/>
      <c r="BM146" s="144"/>
      <c r="BN146" s="144"/>
      <c r="BO146" s="144"/>
      <c r="BP146" s="144"/>
      <c r="BQ146" s="144"/>
      <c r="BR146" s="144"/>
      <c r="BS146" s="144"/>
      <c r="BT146" s="144"/>
      <c r="BU146" s="144"/>
      <c r="BV146" s="144"/>
      <c r="BW146" s="144"/>
      <c r="BX146" s="144"/>
      <c r="BY146" s="144"/>
      <c r="BZ146" s="144"/>
      <c r="CA146" s="144"/>
      <c r="CB146" s="144"/>
      <c r="CC146" s="144"/>
      <c r="CD146" s="144"/>
      <c r="CE146" s="144"/>
      <c r="CF146" s="144"/>
      <c r="CG146" s="144"/>
      <c r="CH146" s="144"/>
      <c r="CI146" s="144"/>
      <c r="CJ146" s="144"/>
      <c r="CK146" s="144"/>
      <c r="CL146" s="144"/>
      <c r="CM146" s="144"/>
      <c r="CN146" s="144"/>
      <c r="CO146" s="144"/>
      <c r="CP146" s="144"/>
      <c r="CQ146" s="144"/>
      <c r="CR146" s="144"/>
      <c r="CS146" s="144"/>
      <c r="CT146" s="144"/>
      <c r="CU146" s="144"/>
      <c r="CV146" s="144"/>
      <c r="CW146" s="144"/>
      <c r="CX146" s="144"/>
      <c r="CY146" s="144"/>
      <c r="CZ146" s="144"/>
      <c r="DA146" s="144"/>
      <c r="DB146" s="144"/>
      <c r="DC146" s="144"/>
      <c r="DD146" s="144"/>
      <c r="DE146" s="144"/>
      <c r="DF146" s="144"/>
      <c r="DG146" s="144"/>
      <c r="DH146" s="144"/>
      <c r="DI146" s="144"/>
      <c r="DJ146" s="144"/>
      <c r="DK146" s="144"/>
      <c r="DL146" s="144"/>
      <c r="DM146" s="144"/>
      <c r="DN146" s="144"/>
      <c r="DO146" s="144"/>
      <c r="DP146" s="144"/>
      <c r="DQ146" s="144"/>
      <c r="DR146" s="144"/>
      <c r="DS146" s="144"/>
      <c r="DT146" s="144"/>
      <c r="DU146" s="144"/>
      <c r="DV146" s="144"/>
      <c r="DW146" s="144"/>
      <c r="DX146" s="144"/>
      <c r="DY146" s="144"/>
      <c r="DZ146" s="144"/>
      <c r="EA146" s="144"/>
      <c r="EB146" s="144"/>
      <c r="EC146" s="144"/>
      <c r="ED146" s="144"/>
      <c r="EE146" s="144"/>
      <c r="EF146" s="144"/>
      <c r="EG146" s="144"/>
      <c r="EH146" s="144"/>
      <c r="EI146" s="144"/>
      <c r="EJ146" s="144"/>
      <c r="EK146" s="144"/>
      <c r="EL146" s="144"/>
      <c r="EM146" s="144"/>
      <c r="EN146" s="144"/>
      <c r="EO146" s="144"/>
      <c r="EP146" s="144"/>
      <c r="EQ146" s="144"/>
      <c r="ER146" s="144"/>
      <c r="ES146" s="144"/>
      <c r="ET146" s="144"/>
      <c r="EU146" s="144"/>
      <c r="EV146" s="144"/>
      <c r="EW146" s="144"/>
      <c r="EX146" s="144"/>
      <c r="EY146" s="144"/>
      <c r="EZ146" s="144"/>
      <c r="FA146" s="144"/>
      <c r="FB146" s="144"/>
      <c r="FC146" s="144"/>
      <c r="FD146" s="144"/>
      <c r="FE146" s="144"/>
      <c r="FF146" s="144"/>
      <c r="FG146" s="144"/>
      <c r="FH146" s="144"/>
      <c r="FI146" s="144"/>
      <c r="FJ146" s="144"/>
      <c r="FK146" s="144"/>
      <c r="FL146" s="144"/>
      <c r="FM146" s="144"/>
      <c r="FN146" s="144"/>
      <c r="FO146" s="144"/>
      <c r="FP146" s="144"/>
      <c r="FQ146" s="144"/>
      <c r="FR146" s="144"/>
      <c r="FS146" s="144"/>
      <c r="FT146" s="144"/>
      <c r="FU146" s="144"/>
      <c r="FV146" s="144"/>
      <c r="FW146" s="144"/>
      <c r="FX146" s="144"/>
    </row>
    <row r="147" spans="1:180" s="56" customFormat="1" x14ac:dyDescent="0.2">
      <c r="A147" s="67"/>
      <c r="B147" s="66"/>
      <c r="C147" s="65">
        <f t="shared" si="19"/>
        <v>0</v>
      </c>
      <c r="D147" s="49"/>
      <c r="E147" s="65">
        <f t="shared" si="18"/>
        <v>0</v>
      </c>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4"/>
      <c r="BF147" s="144"/>
      <c r="BG147" s="144"/>
      <c r="BH147" s="144"/>
      <c r="BI147" s="144"/>
      <c r="BJ147" s="144"/>
      <c r="BK147" s="144"/>
      <c r="BL147" s="144"/>
      <c r="BM147" s="144"/>
      <c r="BN147" s="144"/>
      <c r="BO147" s="144"/>
      <c r="BP147" s="144"/>
      <c r="BQ147" s="144"/>
      <c r="BR147" s="144"/>
      <c r="BS147" s="144"/>
      <c r="BT147" s="144"/>
      <c r="BU147" s="144"/>
      <c r="BV147" s="144"/>
      <c r="BW147" s="144"/>
      <c r="BX147" s="144"/>
      <c r="BY147" s="144"/>
      <c r="BZ147" s="144"/>
      <c r="CA147" s="144"/>
      <c r="CB147" s="144"/>
      <c r="CC147" s="144"/>
      <c r="CD147" s="144"/>
      <c r="CE147" s="144"/>
      <c r="CF147" s="144"/>
      <c r="CG147" s="144"/>
      <c r="CH147" s="144"/>
      <c r="CI147" s="144"/>
      <c r="CJ147" s="144"/>
      <c r="CK147" s="144"/>
      <c r="CL147" s="144"/>
      <c r="CM147" s="144"/>
      <c r="CN147" s="144"/>
      <c r="CO147" s="144"/>
      <c r="CP147" s="144"/>
      <c r="CQ147" s="144"/>
      <c r="CR147" s="144"/>
      <c r="CS147" s="144"/>
      <c r="CT147" s="144"/>
      <c r="CU147" s="144"/>
      <c r="CV147" s="144"/>
      <c r="CW147" s="144"/>
      <c r="CX147" s="144"/>
      <c r="CY147" s="144"/>
      <c r="CZ147" s="144"/>
      <c r="DA147" s="144"/>
      <c r="DB147" s="144"/>
      <c r="DC147" s="144"/>
      <c r="DD147" s="144"/>
      <c r="DE147" s="144"/>
      <c r="DF147" s="144"/>
      <c r="DG147" s="144"/>
      <c r="DH147" s="144"/>
      <c r="DI147" s="144"/>
      <c r="DJ147" s="144"/>
      <c r="DK147" s="144"/>
      <c r="DL147" s="144"/>
      <c r="DM147" s="144"/>
      <c r="DN147" s="144"/>
      <c r="DO147" s="144"/>
      <c r="DP147" s="144"/>
      <c r="DQ147" s="144"/>
      <c r="DR147" s="144"/>
      <c r="DS147" s="144"/>
      <c r="DT147" s="144"/>
      <c r="DU147" s="144"/>
      <c r="DV147" s="144"/>
      <c r="DW147" s="144"/>
      <c r="DX147" s="144"/>
      <c r="DY147" s="144"/>
      <c r="DZ147" s="144"/>
      <c r="EA147" s="144"/>
      <c r="EB147" s="144"/>
      <c r="EC147" s="144"/>
      <c r="ED147" s="144"/>
      <c r="EE147" s="144"/>
      <c r="EF147" s="144"/>
      <c r="EG147" s="144"/>
      <c r="EH147" s="144"/>
      <c r="EI147" s="144"/>
      <c r="EJ147" s="144"/>
      <c r="EK147" s="144"/>
      <c r="EL147" s="144"/>
      <c r="EM147" s="144"/>
      <c r="EN147" s="144"/>
      <c r="EO147" s="144"/>
      <c r="EP147" s="144"/>
      <c r="EQ147" s="144"/>
      <c r="ER147" s="144"/>
      <c r="ES147" s="144"/>
      <c r="ET147" s="144"/>
      <c r="EU147" s="144"/>
      <c r="EV147" s="144"/>
      <c r="EW147" s="144"/>
      <c r="EX147" s="144"/>
      <c r="EY147" s="144"/>
      <c r="EZ147" s="144"/>
      <c r="FA147" s="144"/>
      <c r="FB147" s="144"/>
      <c r="FC147" s="144"/>
      <c r="FD147" s="144"/>
      <c r="FE147" s="144"/>
      <c r="FF147" s="144"/>
      <c r="FG147" s="144"/>
      <c r="FH147" s="144"/>
      <c r="FI147" s="144"/>
      <c r="FJ147" s="144"/>
      <c r="FK147" s="144"/>
      <c r="FL147" s="144"/>
      <c r="FM147" s="144"/>
      <c r="FN147" s="144"/>
      <c r="FO147" s="144"/>
      <c r="FP147" s="144"/>
      <c r="FQ147" s="144"/>
      <c r="FR147" s="144"/>
      <c r="FS147" s="144"/>
      <c r="FT147" s="144"/>
      <c r="FU147" s="144"/>
      <c r="FV147" s="144"/>
      <c r="FW147" s="144"/>
      <c r="FX147" s="144"/>
    </row>
    <row r="148" spans="1:180" s="56" customFormat="1" x14ac:dyDescent="0.2">
      <c r="A148" s="67"/>
      <c r="B148" s="66"/>
      <c r="C148" s="65">
        <f t="shared" si="19"/>
        <v>0</v>
      </c>
      <c r="D148" s="49"/>
      <c r="E148" s="65">
        <f t="shared" si="18"/>
        <v>0</v>
      </c>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c r="CS148" s="144"/>
      <c r="CT148" s="144"/>
      <c r="CU148" s="144"/>
      <c r="CV148" s="144"/>
      <c r="CW148" s="144"/>
      <c r="CX148" s="144"/>
      <c r="CY148" s="144"/>
      <c r="CZ148" s="144"/>
      <c r="DA148" s="144"/>
      <c r="DB148" s="144"/>
      <c r="DC148" s="144"/>
      <c r="DD148" s="144"/>
      <c r="DE148" s="144"/>
      <c r="DF148" s="144"/>
      <c r="DG148" s="144"/>
      <c r="DH148" s="144"/>
      <c r="DI148" s="144"/>
      <c r="DJ148" s="144"/>
      <c r="DK148" s="144"/>
      <c r="DL148" s="144"/>
      <c r="DM148" s="144"/>
      <c r="DN148" s="144"/>
      <c r="DO148" s="144"/>
      <c r="DP148" s="144"/>
      <c r="DQ148" s="144"/>
      <c r="DR148" s="144"/>
      <c r="DS148" s="144"/>
      <c r="DT148" s="144"/>
      <c r="DU148" s="144"/>
      <c r="DV148" s="144"/>
      <c r="DW148" s="144"/>
      <c r="DX148" s="144"/>
      <c r="DY148" s="144"/>
      <c r="DZ148" s="144"/>
      <c r="EA148" s="144"/>
      <c r="EB148" s="144"/>
      <c r="EC148" s="144"/>
      <c r="ED148" s="144"/>
      <c r="EE148" s="144"/>
      <c r="EF148" s="144"/>
      <c r="EG148" s="144"/>
      <c r="EH148" s="144"/>
      <c r="EI148" s="144"/>
      <c r="EJ148" s="144"/>
      <c r="EK148" s="144"/>
      <c r="EL148" s="144"/>
      <c r="EM148" s="144"/>
      <c r="EN148" s="144"/>
      <c r="EO148" s="144"/>
      <c r="EP148" s="144"/>
      <c r="EQ148" s="144"/>
      <c r="ER148" s="144"/>
      <c r="ES148" s="144"/>
      <c r="ET148" s="144"/>
      <c r="EU148" s="144"/>
      <c r="EV148" s="144"/>
      <c r="EW148" s="144"/>
      <c r="EX148" s="144"/>
      <c r="EY148" s="144"/>
      <c r="EZ148" s="144"/>
      <c r="FA148" s="144"/>
      <c r="FB148" s="144"/>
      <c r="FC148" s="144"/>
      <c r="FD148" s="144"/>
      <c r="FE148" s="144"/>
      <c r="FF148" s="144"/>
      <c r="FG148" s="144"/>
      <c r="FH148" s="144"/>
      <c r="FI148" s="144"/>
      <c r="FJ148" s="144"/>
      <c r="FK148" s="144"/>
      <c r="FL148" s="144"/>
      <c r="FM148" s="144"/>
      <c r="FN148" s="144"/>
      <c r="FO148" s="144"/>
      <c r="FP148" s="144"/>
      <c r="FQ148" s="144"/>
      <c r="FR148" s="144"/>
      <c r="FS148" s="144"/>
      <c r="FT148" s="144"/>
      <c r="FU148" s="144"/>
      <c r="FV148" s="144"/>
      <c r="FW148" s="144"/>
      <c r="FX148" s="144"/>
    </row>
    <row r="149" spans="1:180" s="56" customFormat="1" x14ac:dyDescent="0.2">
      <c r="A149" s="67"/>
      <c r="B149" s="66"/>
      <c r="C149" s="65">
        <f t="shared" si="19"/>
        <v>0</v>
      </c>
      <c r="D149" s="49"/>
      <c r="E149" s="65">
        <f t="shared" si="18"/>
        <v>0</v>
      </c>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144"/>
      <c r="BC149" s="144"/>
      <c r="BD149" s="144"/>
      <c r="BE149" s="144"/>
      <c r="BF149" s="144"/>
      <c r="BG149" s="144"/>
      <c r="BH149" s="144"/>
      <c r="BI149" s="144"/>
      <c r="BJ149" s="144"/>
      <c r="BK149" s="144"/>
      <c r="BL149" s="144"/>
      <c r="BM149" s="144"/>
      <c r="BN149" s="144"/>
      <c r="BO149" s="144"/>
      <c r="BP149" s="144"/>
      <c r="BQ149" s="144"/>
      <c r="BR149" s="144"/>
      <c r="BS149" s="144"/>
      <c r="BT149" s="144"/>
      <c r="BU149" s="144"/>
      <c r="BV149" s="144"/>
      <c r="BW149" s="144"/>
      <c r="BX149" s="144"/>
      <c r="BY149" s="144"/>
      <c r="BZ149" s="144"/>
      <c r="CA149" s="144"/>
      <c r="CB149" s="144"/>
      <c r="CC149" s="144"/>
      <c r="CD149" s="144"/>
      <c r="CE149" s="144"/>
      <c r="CF149" s="144"/>
      <c r="CG149" s="144"/>
      <c r="CH149" s="144"/>
      <c r="CI149" s="144"/>
      <c r="CJ149" s="144"/>
      <c r="CK149" s="144"/>
      <c r="CL149" s="144"/>
      <c r="CM149" s="144"/>
      <c r="CN149" s="144"/>
      <c r="CO149" s="144"/>
      <c r="CP149" s="144"/>
      <c r="CQ149" s="144"/>
      <c r="CR149" s="144"/>
      <c r="CS149" s="144"/>
      <c r="CT149" s="144"/>
      <c r="CU149" s="144"/>
      <c r="CV149" s="144"/>
      <c r="CW149" s="144"/>
      <c r="CX149" s="144"/>
      <c r="CY149" s="144"/>
      <c r="CZ149" s="144"/>
      <c r="DA149" s="144"/>
      <c r="DB149" s="144"/>
      <c r="DC149" s="144"/>
      <c r="DD149" s="144"/>
      <c r="DE149" s="144"/>
      <c r="DF149" s="144"/>
      <c r="DG149" s="144"/>
      <c r="DH149" s="144"/>
      <c r="DI149" s="144"/>
      <c r="DJ149" s="144"/>
      <c r="DK149" s="144"/>
      <c r="DL149" s="144"/>
      <c r="DM149" s="144"/>
      <c r="DN149" s="144"/>
      <c r="DO149" s="144"/>
      <c r="DP149" s="144"/>
      <c r="DQ149" s="144"/>
      <c r="DR149" s="144"/>
      <c r="DS149" s="144"/>
      <c r="DT149" s="144"/>
      <c r="DU149" s="144"/>
      <c r="DV149" s="144"/>
      <c r="DW149" s="144"/>
      <c r="DX149" s="144"/>
      <c r="DY149" s="144"/>
      <c r="DZ149" s="144"/>
      <c r="EA149" s="144"/>
      <c r="EB149" s="144"/>
      <c r="EC149" s="144"/>
      <c r="ED149" s="144"/>
      <c r="EE149" s="144"/>
      <c r="EF149" s="144"/>
      <c r="EG149" s="144"/>
      <c r="EH149" s="144"/>
      <c r="EI149" s="144"/>
      <c r="EJ149" s="144"/>
      <c r="EK149" s="144"/>
      <c r="EL149" s="144"/>
      <c r="EM149" s="144"/>
      <c r="EN149" s="144"/>
      <c r="EO149" s="144"/>
      <c r="EP149" s="144"/>
      <c r="EQ149" s="144"/>
      <c r="ER149" s="144"/>
      <c r="ES149" s="144"/>
      <c r="ET149" s="144"/>
      <c r="EU149" s="144"/>
      <c r="EV149" s="144"/>
      <c r="EW149" s="144"/>
      <c r="EX149" s="144"/>
      <c r="EY149" s="144"/>
      <c r="EZ149" s="144"/>
      <c r="FA149" s="144"/>
      <c r="FB149" s="144"/>
      <c r="FC149" s="144"/>
      <c r="FD149" s="144"/>
      <c r="FE149" s="144"/>
      <c r="FF149" s="144"/>
      <c r="FG149" s="144"/>
      <c r="FH149" s="144"/>
      <c r="FI149" s="144"/>
      <c r="FJ149" s="144"/>
      <c r="FK149" s="144"/>
      <c r="FL149" s="144"/>
      <c r="FM149" s="144"/>
      <c r="FN149" s="144"/>
      <c r="FO149" s="144"/>
      <c r="FP149" s="144"/>
      <c r="FQ149" s="144"/>
      <c r="FR149" s="144"/>
      <c r="FS149" s="144"/>
      <c r="FT149" s="144"/>
      <c r="FU149" s="144"/>
      <c r="FV149" s="144"/>
      <c r="FW149" s="144"/>
      <c r="FX149" s="144"/>
    </row>
    <row r="150" spans="1:180" s="56" customFormat="1" x14ac:dyDescent="0.2">
      <c r="A150" s="67"/>
      <c r="B150" s="66"/>
      <c r="C150" s="65">
        <f t="shared" si="19"/>
        <v>0</v>
      </c>
      <c r="D150" s="49"/>
      <c r="E150" s="65">
        <f t="shared" si="18"/>
        <v>0</v>
      </c>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144"/>
      <c r="BC150" s="144"/>
      <c r="BD150" s="144"/>
      <c r="BE150" s="144"/>
      <c r="BF150" s="144"/>
      <c r="BG150" s="144"/>
      <c r="BH150" s="144"/>
      <c r="BI150" s="144"/>
      <c r="BJ150" s="144"/>
      <c r="BK150" s="144"/>
      <c r="BL150" s="144"/>
      <c r="BM150" s="144"/>
      <c r="BN150" s="144"/>
      <c r="BO150" s="144"/>
      <c r="BP150" s="144"/>
      <c r="BQ150" s="144"/>
      <c r="BR150" s="144"/>
      <c r="BS150" s="144"/>
      <c r="BT150" s="144"/>
      <c r="BU150" s="144"/>
      <c r="BV150" s="144"/>
      <c r="BW150" s="144"/>
      <c r="BX150" s="144"/>
      <c r="BY150" s="144"/>
      <c r="BZ150" s="144"/>
      <c r="CA150" s="144"/>
      <c r="CB150" s="144"/>
      <c r="CC150" s="144"/>
      <c r="CD150" s="144"/>
      <c r="CE150" s="144"/>
      <c r="CF150" s="144"/>
      <c r="CG150" s="144"/>
      <c r="CH150" s="144"/>
      <c r="CI150" s="144"/>
      <c r="CJ150" s="144"/>
      <c r="CK150" s="144"/>
      <c r="CL150" s="144"/>
      <c r="CM150" s="144"/>
      <c r="CN150" s="144"/>
      <c r="CO150" s="144"/>
      <c r="CP150" s="144"/>
      <c r="CQ150" s="144"/>
      <c r="CR150" s="144"/>
      <c r="CS150" s="144"/>
      <c r="CT150" s="144"/>
      <c r="CU150" s="144"/>
      <c r="CV150" s="144"/>
      <c r="CW150" s="144"/>
      <c r="CX150" s="144"/>
      <c r="CY150" s="144"/>
      <c r="CZ150" s="144"/>
      <c r="DA150" s="144"/>
      <c r="DB150" s="144"/>
      <c r="DC150" s="144"/>
      <c r="DD150" s="144"/>
      <c r="DE150" s="144"/>
      <c r="DF150" s="144"/>
      <c r="DG150" s="144"/>
      <c r="DH150" s="144"/>
      <c r="DI150" s="144"/>
      <c r="DJ150" s="144"/>
      <c r="DK150" s="144"/>
      <c r="DL150" s="144"/>
      <c r="DM150" s="144"/>
      <c r="DN150" s="144"/>
      <c r="DO150" s="144"/>
      <c r="DP150" s="144"/>
      <c r="DQ150" s="144"/>
      <c r="DR150" s="144"/>
      <c r="DS150" s="144"/>
      <c r="DT150" s="144"/>
      <c r="DU150" s="144"/>
      <c r="DV150" s="144"/>
      <c r="DW150" s="144"/>
      <c r="DX150" s="144"/>
      <c r="DY150" s="144"/>
      <c r="DZ150" s="144"/>
      <c r="EA150" s="144"/>
      <c r="EB150" s="144"/>
      <c r="EC150" s="144"/>
      <c r="ED150" s="144"/>
      <c r="EE150" s="144"/>
      <c r="EF150" s="144"/>
      <c r="EG150" s="144"/>
      <c r="EH150" s="144"/>
      <c r="EI150" s="144"/>
      <c r="EJ150" s="144"/>
      <c r="EK150" s="144"/>
      <c r="EL150" s="144"/>
      <c r="EM150" s="144"/>
      <c r="EN150" s="144"/>
      <c r="EO150" s="144"/>
      <c r="EP150" s="144"/>
      <c r="EQ150" s="144"/>
      <c r="ER150" s="144"/>
      <c r="ES150" s="144"/>
      <c r="ET150" s="144"/>
      <c r="EU150" s="144"/>
      <c r="EV150" s="144"/>
      <c r="EW150" s="144"/>
      <c r="EX150" s="144"/>
      <c r="EY150" s="144"/>
      <c r="EZ150" s="144"/>
      <c r="FA150" s="144"/>
      <c r="FB150" s="144"/>
      <c r="FC150" s="144"/>
      <c r="FD150" s="144"/>
      <c r="FE150" s="144"/>
      <c r="FF150" s="144"/>
      <c r="FG150" s="144"/>
      <c r="FH150" s="144"/>
      <c r="FI150" s="144"/>
      <c r="FJ150" s="144"/>
      <c r="FK150" s="144"/>
      <c r="FL150" s="144"/>
      <c r="FM150" s="144"/>
      <c r="FN150" s="144"/>
      <c r="FO150" s="144"/>
      <c r="FP150" s="144"/>
      <c r="FQ150" s="144"/>
      <c r="FR150" s="144"/>
      <c r="FS150" s="144"/>
      <c r="FT150" s="144"/>
      <c r="FU150" s="144"/>
      <c r="FV150" s="144"/>
      <c r="FW150" s="144"/>
      <c r="FX150" s="144"/>
    </row>
    <row r="151" spans="1:180" s="56" customFormat="1" x14ac:dyDescent="0.2">
      <c r="A151" s="67"/>
      <c r="B151" s="66"/>
      <c r="C151" s="65">
        <f t="shared" si="19"/>
        <v>0</v>
      </c>
      <c r="D151" s="49"/>
      <c r="E151" s="65">
        <f t="shared" si="18"/>
        <v>0</v>
      </c>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c r="BC151" s="144"/>
      <c r="BD151" s="144"/>
      <c r="BE151" s="144"/>
      <c r="BF151" s="144"/>
      <c r="BG151" s="144"/>
      <c r="BH151" s="144"/>
      <c r="BI151" s="144"/>
      <c r="BJ151" s="144"/>
      <c r="BK151" s="144"/>
      <c r="BL151" s="144"/>
      <c r="BM151" s="144"/>
      <c r="BN151" s="144"/>
      <c r="BO151" s="144"/>
      <c r="BP151" s="144"/>
      <c r="BQ151" s="144"/>
      <c r="BR151" s="144"/>
      <c r="BS151" s="144"/>
      <c r="BT151" s="144"/>
      <c r="BU151" s="144"/>
      <c r="BV151" s="144"/>
      <c r="BW151" s="144"/>
      <c r="BX151" s="144"/>
      <c r="BY151" s="144"/>
      <c r="BZ151" s="144"/>
      <c r="CA151" s="144"/>
      <c r="CB151" s="144"/>
      <c r="CC151" s="144"/>
      <c r="CD151" s="144"/>
      <c r="CE151" s="144"/>
      <c r="CF151" s="144"/>
      <c r="CG151" s="144"/>
      <c r="CH151" s="144"/>
      <c r="CI151" s="144"/>
      <c r="CJ151" s="144"/>
      <c r="CK151" s="144"/>
      <c r="CL151" s="144"/>
      <c r="CM151" s="144"/>
      <c r="CN151" s="144"/>
      <c r="CO151" s="144"/>
      <c r="CP151" s="144"/>
      <c r="CQ151" s="144"/>
      <c r="CR151" s="144"/>
      <c r="CS151" s="144"/>
      <c r="CT151" s="144"/>
      <c r="CU151" s="144"/>
      <c r="CV151" s="144"/>
      <c r="CW151" s="144"/>
      <c r="CX151" s="144"/>
      <c r="CY151" s="144"/>
      <c r="CZ151" s="144"/>
      <c r="DA151" s="144"/>
      <c r="DB151" s="144"/>
      <c r="DC151" s="144"/>
      <c r="DD151" s="144"/>
      <c r="DE151" s="144"/>
      <c r="DF151" s="144"/>
      <c r="DG151" s="144"/>
      <c r="DH151" s="144"/>
      <c r="DI151" s="144"/>
      <c r="DJ151" s="144"/>
      <c r="DK151" s="144"/>
      <c r="DL151" s="144"/>
      <c r="DM151" s="144"/>
      <c r="DN151" s="144"/>
      <c r="DO151" s="144"/>
      <c r="DP151" s="144"/>
      <c r="DQ151" s="144"/>
      <c r="DR151" s="144"/>
      <c r="DS151" s="144"/>
      <c r="DT151" s="144"/>
      <c r="DU151" s="144"/>
      <c r="DV151" s="144"/>
      <c r="DW151" s="144"/>
      <c r="DX151" s="144"/>
      <c r="DY151" s="144"/>
      <c r="DZ151" s="144"/>
      <c r="EA151" s="144"/>
      <c r="EB151" s="144"/>
      <c r="EC151" s="144"/>
      <c r="ED151" s="144"/>
      <c r="EE151" s="144"/>
      <c r="EF151" s="144"/>
      <c r="EG151" s="144"/>
      <c r="EH151" s="144"/>
      <c r="EI151" s="144"/>
      <c r="EJ151" s="144"/>
      <c r="EK151" s="144"/>
      <c r="EL151" s="144"/>
      <c r="EM151" s="144"/>
      <c r="EN151" s="144"/>
      <c r="EO151" s="144"/>
      <c r="EP151" s="144"/>
      <c r="EQ151" s="144"/>
      <c r="ER151" s="144"/>
      <c r="ES151" s="144"/>
      <c r="ET151" s="144"/>
      <c r="EU151" s="144"/>
      <c r="EV151" s="144"/>
      <c r="EW151" s="144"/>
      <c r="EX151" s="144"/>
      <c r="EY151" s="144"/>
      <c r="EZ151" s="144"/>
      <c r="FA151" s="144"/>
      <c r="FB151" s="144"/>
      <c r="FC151" s="144"/>
      <c r="FD151" s="144"/>
      <c r="FE151" s="144"/>
      <c r="FF151" s="144"/>
      <c r="FG151" s="144"/>
      <c r="FH151" s="144"/>
      <c r="FI151" s="144"/>
      <c r="FJ151" s="144"/>
      <c r="FK151" s="144"/>
      <c r="FL151" s="144"/>
      <c r="FM151" s="144"/>
      <c r="FN151" s="144"/>
      <c r="FO151" s="144"/>
      <c r="FP151" s="144"/>
      <c r="FQ151" s="144"/>
      <c r="FR151" s="144"/>
      <c r="FS151" s="144"/>
      <c r="FT151" s="144"/>
      <c r="FU151" s="144"/>
      <c r="FV151" s="144"/>
      <c r="FW151" s="144"/>
      <c r="FX151" s="144"/>
    </row>
    <row r="152" spans="1:180" s="56" customFormat="1" x14ac:dyDescent="0.2">
      <c r="A152" s="67"/>
      <c r="B152" s="66"/>
      <c r="C152" s="65">
        <f t="shared" si="19"/>
        <v>0</v>
      </c>
      <c r="D152" s="49"/>
      <c r="E152" s="65">
        <f t="shared" si="18"/>
        <v>0</v>
      </c>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4"/>
      <c r="CC152" s="144"/>
      <c r="CD152" s="144"/>
      <c r="CE152" s="144"/>
      <c r="CF152" s="144"/>
      <c r="CG152" s="144"/>
      <c r="CH152" s="144"/>
      <c r="CI152" s="144"/>
      <c r="CJ152" s="144"/>
      <c r="CK152" s="144"/>
      <c r="CL152" s="144"/>
      <c r="CM152" s="144"/>
      <c r="CN152" s="144"/>
      <c r="CO152" s="144"/>
      <c r="CP152" s="144"/>
      <c r="CQ152" s="144"/>
      <c r="CR152" s="144"/>
      <c r="CS152" s="144"/>
      <c r="CT152" s="144"/>
      <c r="CU152" s="144"/>
      <c r="CV152" s="144"/>
      <c r="CW152" s="144"/>
      <c r="CX152" s="144"/>
      <c r="CY152" s="144"/>
      <c r="CZ152" s="144"/>
      <c r="DA152" s="144"/>
      <c r="DB152" s="144"/>
      <c r="DC152" s="144"/>
      <c r="DD152" s="144"/>
      <c r="DE152" s="144"/>
      <c r="DF152" s="144"/>
      <c r="DG152" s="144"/>
      <c r="DH152" s="144"/>
      <c r="DI152" s="144"/>
      <c r="DJ152" s="144"/>
      <c r="DK152" s="144"/>
      <c r="DL152" s="144"/>
      <c r="DM152" s="144"/>
      <c r="DN152" s="144"/>
      <c r="DO152" s="144"/>
      <c r="DP152" s="144"/>
      <c r="DQ152" s="144"/>
      <c r="DR152" s="144"/>
      <c r="DS152" s="144"/>
      <c r="DT152" s="144"/>
      <c r="DU152" s="144"/>
      <c r="DV152" s="144"/>
      <c r="DW152" s="144"/>
      <c r="DX152" s="144"/>
      <c r="DY152" s="144"/>
      <c r="DZ152" s="144"/>
      <c r="EA152" s="144"/>
      <c r="EB152" s="144"/>
      <c r="EC152" s="144"/>
      <c r="ED152" s="144"/>
      <c r="EE152" s="144"/>
      <c r="EF152" s="144"/>
      <c r="EG152" s="144"/>
      <c r="EH152" s="144"/>
      <c r="EI152" s="144"/>
      <c r="EJ152" s="144"/>
      <c r="EK152" s="144"/>
      <c r="EL152" s="144"/>
      <c r="EM152" s="144"/>
      <c r="EN152" s="144"/>
      <c r="EO152" s="144"/>
      <c r="EP152" s="144"/>
      <c r="EQ152" s="144"/>
      <c r="ER152" s="144"/>
      <c r="ES152" s="144"/>
      <c r="ET152" s="144"/>
      <c r="EU152" s="144"/>
      <c r="EV152" s="144"/>
      <c r="EW152" s="144"/>
      <c r="EX152" s="144"/>
      <c r="EY152" s="144"/>
      <c r="EZ152" s="144"/>
      <c r="FA152" s="144"/>
      <c r="FB152" s="144"/>
      <c r="FC152" s="144"/>
      <c r="FD152" s="144"/>
      <c r="FE152" s="144"/>
      <c r="FF152" s="144"/>
      <c r="FG152" s="144"/>
      <c r="FH152" s="144"/>
      <c r="FI152" s="144"/>
      <c r="FJ152" s="144"/>
      <c r="FK152" s="144"/>
      <c r="FL152" s="144"/>
      <c r="FM152" s="144"/>
      <c r="FN152" s="144"/>
      <c r="FO152" s="144"/>
      <c r="FP152" s="144"/>
      <c r="FQ152" s="144"/>
      <c r="FR152" s="144"/>
      <c r="FS152" s="144"/>
      <c r="FT152" s="144"/>
      <c r="FU152" s="144"/>
      <c r="FV152" s="144"/>
      <c r="FW152" s="144"/>
      <c r="FX152" s="144"/>
    </row>
    <row r="153" spans="1:180" s="56" customFormat="1" x14ac:dyDescent="0.2">
      <c r="A153" s="67"/>
      <c r="B153" s="66"/>
      <c r="C153" s="65">
        <f t="shared" si="19"/>
        <v>0</v>
      </c>
      <c r="D153" s="49"/>
      <c r="E153" s="65">
        <f t="shared" si="18"/>
        <v>0</v>
      </c>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c r="BC153" s="144"/>
      <c r="BD153" s="144"/>
      <c r="BE153" s="144"/>
      <c r="BF153" s="144"/>
      <c r="BG153" s="144"/>
      <c r="BH153" s="144"/>
      <c r="BI153" s="144"/>
      <c r="BJ153" s="144"/>
      <c r="BK153" s="144"/>
      <c r="BL153" s="144"/>
      <c r="BM153" s="144"/>
      <c r="BN153" s="144"/>
      <c r="BO153" s="144"/>
      <c r="BP153" s="144"/>
      <c r="BQ153" s="144"/>
      <c r="BR153" s="144"/>
      <c r="BS153" s="144"/>
      <c r="BT153" s="144"/>
      <c r="BU153" s="144"/>
      <c r="BV153" s="144"/>
      <c r="BW153" s="144"/>
      <c r="BX153" s="144"/>
      <c r="BY153" s="144"/>
      <c r="BZ153" s="144"/>
      <c r="CA153" s="144"/>
      <c r="CB153" s="144"/>
      <c r="CC153" s="144"/>
      <c r="CD153" s="144"/>
      <c r="CE153" s="144"/>
      <c r="CF153" s="144"/>
      <c r="CG153" s="144"/>
      <c r="CH153" s="144"/>
      <c r="CI153" s="144"/>
      <c r="CJ153" s="144"/>
      <c r="CK153" s="144"/>
      <c r="CL153" s="144"/>
      <c r="CM153" s="144"/>
      <c r="CN153" s="144"/>
      <c r="CO153" s="144"/>
      <c r="CP153" s="144"/>
      <c r="CQ153" s="144"/>
      <c r="CR153" s="144"/>
      <c r="CS153" s="144"/>
      <c r="CT153" s="144"/>
      <c r="CU153" s="144"/>
      <c r="CV153" s="144"/>
      <c r="CW153" s="144"/>
      <c r="CX153" s="144"/>
      <c r="CY153" s="144"/>
      <c r="CZ153" s="144"/>
      <c r="DA153" s="144"/>
      <c r="DB153" s="144"/>
      <c r="DC153" s="144"/>
      <c r="DD153" s="144"/>
      <c r="DE153" s="144"/>
      <c r="DF153" s="144"/>
      <c r="DG153" s="144"/>
      <c r="DH153" s="144"/>
      <c r="DI153" s="144"/>
      <c r="DJ153" s="144"/>
      <c r="DK153" s="144"/>
      <c r="DL153" s="144"/>
      <c r="DM153" s="144"/>
      <c r="DN153" s="144"/>
      <c r="DO153" s="144"/>
      <c r="DP153" s="144"/>
      <c r="DQ153" s="144"/>
      <c r="DR153" s="144"/>
      <c r="DS153" s="144"/>
      <c r="DT153" s="144"/>
      <c r="DU153" s="144"/>
      <c r="DV153" s="144"/>
      <c r="DW153" s="144"/>
      <c r="DX153" s="144"/>
      <c r="DY153" s="144"/>
      <c r="DZ153" s="144"/>
      <c r="EA153" s="144"/>
      <c r="EB153" s="144"/>
      <c r="EC153" s="144"/>
      <c r="ED153" s="144"/>
      <c r="EE153" s="144"/>
      <c r="EF153" s="144"/>
      <c r="EG153" s="144"/>
      <c r="EH153" s="144"/>
      <c r="EI153" s="144"/>
      <c r="EJ153" s="144"/>
      <c r="EK153" s="144"/>
      <c r="EL153" s="144"/>
      <c r="EM153" s="144"/>
      <c r="EN153" s="144"/>
      <c r="EO153" s="144"/>
      <c r="EP153" s="144"/>
      <c r="EQ153" s="144"/>
      <c r="ER153" s="144"/>
      <c r="ES153" s="144"/>
      <c r="ET153" s="144"/>
      <c r="EU153" s="144"/>
      <c r="EV153" s="144"/>
      <c r="EW153" s="144"/>
      <c r="EX153" s="144"/>
      <c r="EY153" s="144"/>
      <c r="EZ153" s="144"/>
      <c r="FA153" s="144"/>
      <c r="FB153" s="144"/>
      <c r="FC153" s="144"/>
      <c r="FD153" s="144"/>
      <c r="FE153" s="144"/>
      <c r="FF153" s="144"/>
      <c r="FG153" s="144"/>
      <c r="FH153" s="144"/>
      <c r="FI153" s="144"/>
      <c r="FJ153" s="144"/>
      <c r="FK153" s="144"/>
      <c r="FL153" s="144"/>
      <c r="FM153" s="144"/>
      <c r="FN153" s="144"/>
      <c r="FO153" s="144"/>
      <c r="FP153" s="144"/>
      <c r="FQ153" s="144"/>
      <c r="FR153" s="144"/>
      <c r="FS153" s="144"/>
      <c r="FT153" s="144"/>
      <c r="FU153" s="144"/>
      <c r="FV153" s="144"/>
      <c r="FW153" s="144"/>
      <c r="FX153" s="144"/>
    </row>
    <row r="154" spans="1:180" s="56" customFormat="1" x14ac:dyDescent="0.2">
      <c r="A154" s="67"/>
      <c r="B154" s="66"/>
      <c r="C154" s="65">
        <f t="shared" si="19"/>
        <v>0</v>
      </c>
      <c r="D154" s="49"/>
      <c r="E154" s="65">
        <f t="shared" si="18"/>
        <v>0</v>
      </c>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c r="BC154" s="144"/>
      <c r="BD154" s="144"/>
      <c r="BE154" s="144"/>
      <c r="BF154" s="144"/>
      <c r="BG154" s="144"/>
      <c r="BH154" s="144"/>
      <c r="BI154" s="144"/>
      <c r="BJ154" s="144"/>
      <c r="BK154" s="144"/>
      <c r="BL154" s="144"/>
      <c r="BM154" s="144"/>
      <c r="BN154" s="144"/>
      <c r="BO154" s="144"/>
      <c r="BP154" s="144"/>
      <c r="BQ154" s="144"/>
      <c r="BR154" s="144"/>
      <c r="BS154" s="144"/>
      <c r="BT154" s="144"/>
      <c r="BU154" s="144"/>
      <c r="BV154" s="144"/>
      <c r="BW154" s="144"/>
      <c r="BX154" s="144"/>
      <c r="BY154" s="144"/>
      <c r="BZ154" s="144"/>
      <c r="CA154" s="144"/>
      <c r="CB154" s="144"/>
      <c r="CC154" s="144"/>
      <c r="CD154" s="144"/>
      <c r="CE154" s="144"/>
      <c r="CF154" s="144"/>
      <c r="CG154" s="144"/>
      <c r="CH154" s="144"/>
      <c r="CI154" s="144"/>
      <c r="CJ154" s="144"/>
      <c r="CK154" s="144"/>
      <c r="CL154" s="144"/>
      <c r="CM154" s="144"/>
      <c r="CN154" s="144"/>
      <c r="CO154" s="144"/>
      <c r="CP154" s="144"/>
      <c r="CQ154" s="144"/>
      <c r="CR154" s="144"/>
      <c r="CS154" s="144"/>
      <c r="CT154" s="144"/>
      <c r="CU154" s="144"/>
      <c r="CV154" s="144"/>
      <c r="CW154" s="144"/>
      <c r="CX154" s="144"/>
      <c r="CY154" s="144"/>
      <c r="CZ154" s="144"/>
      <c r="DA154" s="144"/>
      <c r="DB154" s="144"/>
      <c r="DC154" s="144"/>
      <c r="DD154" s="144"/>
      <c r="DE154" s="144"/>
      <c r="DF154" s="144"/>
      <c r="DG154" s="144"/>
      <c r="DH154" s="144"/>
      <c r="DI154" s="144"/>
      <c r="DJ154" s="144"/>
      <c r="DK154" s="144"/>
      <c r="DL154" s="144"/>
      <c r="DM154" s="144"/>
      <c r="DN154" s="144"/>
      <c r="DO154" s="144"/>
      <c r="DP154" s="144"/>
      <c r="DQ154" s="144"/>
      <c r="DR154" s="144"/>
      <c r="DS154" s="144"/>
      <c r="DT154" s="144"/>
      <c r="DU154" s="144"/>
      <c r="DV154" s="144"/>
      <c r="DW154" s="144"/>
      <c r="DX154" s="144"/>
      <c r="DY154" s="144"/>
      <c r="DZ154" s="144"/>
      <c r="EA154" s="144"/>
      <c r="EB154" s="144"/>
      <c r="EC154" s="144"/>
      <c r="ED154" s="144"/>
      <c r="EE154" s="144"/>
      <c r="EF154" s="144"/>
      <c r="EG154" s="144"/>
      <c r="EH154" s="144"/>
      <c r="EI154" s="144"/>
      <c r="EJ154" s="144"/>
      <c r="EK154" s="144"/>
      <c r="EL154" s="144"/>
      <c r="EM154" s="144"/>
      <c r="EN154" s="144"/>
      <c r="EO154" s="144"/>
      <c r="EP154" s="144"/>
      <c r="EQ154" s="144"/>
      <c r="ER154" s="144"/>
      <c r="ES154" s="144"/>
      <c r="ET154" s="144"/>
      <c r="EU154" s="144"/>
      <c r="EV154" s="144"/>
      <c r="EW154" s="144"/>
      <c r="EX154" s="144"/>
      <c r="EY154" s="144"/>
      <c r="EZ154" s="144"/>
      <c r="FA154" s="144"/>
      <c r="FB154" s="144"/>
      <c r="FC154" s="144"/>
      <c r="FD154" s="144"/>
      <c r="FE154" s="144"/>
      <c r="FF154" s="144"/>
      <c r="FG154" s="144"/>
      <c r="FH154" s="144"/>
      <c r="FI154" s="144"/>
      <c r="FJ154" s="144"/>
      <c r="FK154" s="144"/>
      <c r="FL154" s="144"/>
      <c r="FM154" s="144"/>
      <c r="FN154" s="144"/>
      <c r="FO154" s="144"/>
      <c r="FP154" s="144"/>
      <c r="FQ154" s="144"/>
      <c r="FR154" s="144"/>
      <c r="FS154" s="144"/>
      <c r="FT154" s="144"/>
      <c r="FU154" s="144"/>
      <c r="FV154" s="144"/>
      <c r="FW154" s="144"/>
      <c r="FX154" s="144"/>
    </row>
    <row r="155" spans="1:180" s="56" customFormat="1" x14ac:dyDescent="0.2">
      <c r="A155" s="67"/>
      <c r="B155" s="66"/>
      <c r="C155" s="65">
        <f t="shared" si="19"/>
        <v>0</v>
      </c>
      <c r="D155" s="49"/>
      <c r="E155" s="65">
        <f t="shared" si="18"/>
        <v>0</v>
      </c>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144"/>
      <c r="BC155" s="144"/>
      <c r="BD155" s="144"/>
      <c r="BE155" s="144"/>
      <c r="BF155" s="144"/>
      <c r="BG155" s="144"/>
      <c r="BH155" s="144"/>
      <c r="BI155" s="144"/>
      <c r="BJ155" s="144"/>
      <c r="BK155" s="144"/>
      <c r="BL155" s="144"/>
      <c r="BM155" s="144"/>
      <c r="BN155" s="144"/>
      <c r="BO155" s="144"/>
      <c r="BP155" s="144"/>
      <c r="BQ155" s="144"/>
      <c r="BR155" s="144"/>
      <c r="BS155" s="144"/>
      <c r="BT155" s="144"/>
      <c r="BU155" s="144"/>
      <c r="BV155" s="144"/>
      <c r="BW155" s="144"/>
      <c r="BX155" s="144"/>
      <c r="BY155" s="144"/>
      <c r="BZ155" s="144"/>
      <c r="CA155" s="144"/>
      <c r="CB155" s="144"/>
      <c r="CC155" s="144"/>
      <c r="CD155" s="144"/>
      <c r="CE155" s="144"/>
      <c r="CF155" s="144"/>
      <c r="CG155" s="144"/>
      <c r="CH155" s="144"/>
      <c r="CI155" s="144"/>
      <c r="CJ155" s="144"/>
      <c r="CK155" s="144"/>
      <c r="CL155" s="144"/>
      <c r="CM155" s="144"/>
      <c r="CN155" s="144"/>
      <c r="CO155" s="144"/>
      <c r="CP155" s="144"/>
      <c r="CQ155" s="144"/>
      <c r="CR155" s="144"/>
      <c r="CS155" s="144"/>
      <c r="CT155" s="144"/>
      <c r="CU155" s="144"/>
      <c r="CV155" s="144"/>
      <c r="CW155" s="144"/>
      <c r="CX155" s="144"/>
      <c r="CY155" s="144"/>
      <c r="CZ155" s="144"/>
      <c r="DA155" s="144"/>
      <c r="DB155" s="144"/>
      <c r="DC155" s="144"/>
      <c r="DD155" s="144"/>
      <c r="DE155" s="144"/>
      <c r="DF155" s="144"/>
      <c r="DG155" s="144"/>
      <c r="DH155" s="144"/>
      <c r="DI155" s="144"/>
      <c r="DJ155" s="144"/>
      <c r="DK155" s="144"/>
      <c r="DL155" s="144"/>
      <c r="DM155" s="144"/>
      <c r="DN155" s="144"/>
      <c r="DO155" s="144"/>
      <c r="DP155" s="144"/>
      <c r="DQ155" s="144"/>
      <c r="DR155" s="144"/>
      <c r="DS155" s="144"/>
      <c r="DT155" s="144"/>
      <c r="DU155" s="144"/>
      <c r="DV155" s="144"/>
      <c r="DW155" s="144"/>
      <c r="DX155" s="144"/>
      <c r="DY155" s="144"/>
      <c r="DZ155" s="144"/>
      <c r="EA155" s="144"/>
      <c r="EB155" s="144"/>
      <c r="EC155" s="144"/>
      <c r="ED155" s="144"/>
      <c r="EE155" s="144"/>
      <c r="EF155" s="144"/>
      <c r="EG155" s="144"/>
      <c r="EH155" s="144"/>
      <c r="EI155" s="144"/>
      <c r="EJ155" s="144"/>
      <c r="EK155" s="144"/>
      <c r="EL155" s="144"/>
      <c r="EM155" s="144"/>
      <c r="EN155" s="144"/>
      <c r="EO155" s="144"/>
      <c r="EP155" s="144"/>
      <c r="EQ155" s="144"/>
      <c r="ER155" s="144"/>
      <c r="ES155" s="144"/>
      <c r="ET155" s="144"/>
      <c r="EU155" s="144"/>
      <c r="EV155" s="144"/>
      <c r="EW155" s="144"/>
      <c r="EX155" s="144"/>
      <c r="EY155" s="144"/>
      <c r="EZ155" s="144"/>
      <c r="FA155" s="144"/>
      <c r="FB155" s="144"/>
      <c r="FC155" s="144"/>
      <c r="FD155" s="144"/>
      <c r="FE155" s="144"/>
      <c r="FF155" s="144"/>
      <c r="FG155" s="144"/>
      <c r="FH155" s="144"/>
      <c r="FI155" s="144"/>
      <c r="FJ155" s="144"/>
      <c r="FK155" s="144"/>
      <c r="FL155" s="144"/>
      <c r="FM155" s="144"/>
      <c r="FN155" s="144"/>
      <c r="FO155" s="144"/>
      <c r="FP155" s="144"/>
      <c r="FQ155" s="144"/>
      <c r="FR155" s="144"/>
      <c r="FS155" s="144"/>
      <c r="FT155" s="144"/>
      <c r="FU155" s="144"/>
      <c r="FV155" s="144"/>
      <c r="FW155" s="144"/>
      <c r="FX155" s="144"/>
    </row>
    <row r="156" spans="1:180" s="56" customFormat="1" x14ac:dyDescent="0.2">
      <c r="A156" s="67"/>
      <c r="B156" s="66"/>
      <c r="C156" s="65">
        <f t="shared" si="19"/>
        <v>0</v>
      </c>
      <c r="D156" s="49"/>
      <c r="E156" s="65">
        <f t="shared" si="18"/>
        <v>0</v>
      </c>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c r="BC156" s="144"/>
      <c r="BD156" s="144"/>
      <c r="BE156" s="144"/>
      <c r="BF156" s="144"/>
      <c r="BG156" s="144"/>
      <c r="BH156" s="144"/>
      <c r="BI156" s="144"/>
      <c r="BJ156" s="144"/>
      <c r="BK156" s="144"/>
      <c r="BL156" s="144"/>
      <c r="BM156" s="144"/>
      <c r="BN156" s="144"/>
      <c r="BO156" s="144"/>
      <c r="BP156" s="144"/>
      <c r="BQ156" s="144"/>
      <c r="BR156" s="144"/>
      <c r="BS156" s="144"/>
      <c r="BT156" s="144"/>
      <c r="BU156" s="144"/>
      <c r="BV156" s="144"/>
      <c r="BW156" s="144"/>
      <c r="BX156" s="144"/>
      <c r="BY156" s="144"/>
      <c r="BZ156" s="144"/>
      <c r="CA156" s="144"/>
      <c r="CB156" s="144"/>
      <c r="CC156" s="144"/>
      <c r="CD156" s="144"/>
      <c r="CE156" s="144"/>
      <c r="CF156" s="144"/>
      <c r="CG156" s="144"/>
      <c r="CH156" s="144"/>
      <c r="CI156" s="144"/>
      <c r="CJ156" s="144"/>
      <c r="CK156" s="144"/>
      <c r="CL156" s="144"/>
      <c r="CM156" s="144"/>
      <c r="CN156" s="144"/>
      <c r="CO156" s="144"/>
      <c r="CP156" s="144"/>
      <c r="CQ156" s="144"/>
      <c r="CR156" s="144"/>
      <c r="CS156" s="144"/>
      <c r="CT156" s="144"/>
      <c r="CU156" s="144"/>
      <c r="CV156" s="144"/>
      <c r="CW156" s="144"/>
      <c r="CX156" s="144"/>
      <c r="CY156" s="144"/>
      <c r="CZ156" s="144"/>
      <c r="DA156" s="144"/>
      <c r="DB156" s="144"/>
      <c r="DC156" s="144"/>
      <c r="DD156" s="144"/>
      <c r="DE156" s="144"/>
      <c r="DF156" s="144"/>
      <c r="DG156" s="144"/>
      <c r="DH156" s="144"/>
      <c r="DI156" s="144"/>
      <c r="DJ156" s="144"/>
      <c r="DK156" s="144"/>
      <c r="DL156" s="144"/>
      <c r="DM156" s="144"/>
      <c r="DN156" s="144"/>
      <c r="DO156" s="144"/>
      <c r="DP156" s="144"/>
      <c r="DQ156" s="144"/>
      <c r="DR156" s="144"/>
      <c r="DS156" s="144"/>
      <c r="DT156" s="144"/>
      <c r="DU156" s="144"/>
      <c r="DV156" s="144"/>
      <c r="DW156" s="144"/>
      <c r="DX156" s="144"/>
      <c r="DY156" s="144"/>
      <c r="DZ156" s="144"/>
      <c r="EA156" s="144"/>
      <c r="EB156" s="144"/>
      <c r="EC156" s="144"/>
      <c r="ED156" s="144"/>
      <c r="EE156" s="144"/>
      <c r="EF156" s="144"/>
      <c r="EG156" s="144"/>
      <c r="EH156" s="144"/>
      <c r="EI156" s="144"/>
      <c r="EJ156" s="144"/>
      <c r="EK156" s="144"/>
      <c r="EL156" s="144"/>
      <c r="EM156" s="144"/>
      <c r="EN156" s="144"/>
      <c r="EO156" s="144"/>
      <c r="EP156" s="144"/>
      <c r="EQ156" s="144"/>
      <c r="ER156" s="144"/>
      <c r="ES156" s="144"/>
      <c r="ET156" s="144"/>
      <c r="EU156" s="144"/>
      <c r="EV156" s="144"/>
      <c r="EW156" s="144"/>
      <c r="EX156" s="144"/>
      <c r="EY156" s="144"/>
      <c r="EZ156" s="144"/>
      <c r="FA156" s="144"/>
      <c r="FB156" s="144"/>
      <c r="FC156" s="144"/>
      <c r="FD156" s="144"/>
      <c r="FE156" s="144"/>
      <c r="FF156" s="144"/>
      <c r="FG156" s="144"/>
      <c r="FH156" s="144"/>
      <c r="FI156" s="144"/>
      <c r="FJ156" s="144"/>
      <c r="FK156" s="144"/>
      <c r="FL156" s="144"/>
      <c r="FM156" s="144"/>
      <c r="FN156" s="144"/>
      <c r="FO156" s="144"/>
      <c r="FP156" s="144"/>
      <c r="FQ156" s="144"/>
      <c r="FR156" s="144"/>
      <c r="FS156" s="144"/>
      <c r="FT156" s="144"/>
      <c r="FU156" s="144"/>
      <c r="FV156" s="144"/>
      <c r="FW156" s="144"/>
      <c r="FX156" s="144"/>
    </row>
    <row r="157" spans="1:180" s="56" customFormat="1" x14ac:dyDescent="0.2">
      <c r="A157" s="67"/>
      <c r="B157" s="66"/>
      <c r="C157" s="65">
        <f t="shared" si="19"/>
        <v>0</v>
      </c>
      <c r="D157" s="49"/>
      <c r="E157" s="65">
        <f t="shared" si="18"/>
        <v>0</v>
      </c>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c r="BC157" s="144"/>
      <c r="BD157" s="144"/>
      <c r="BE157" s="144"/>
      <c r="BF157" s="144"/>
      <c r="BG157" s="144"/>
      <c r="BH157" s="144"/>
      <c r="BI157" s="144"/>
      <c r="BJ157" s="144"/>
      <c r="BK157" s="144"/>
      <c r="BL157" s="144"/>
      <c r="BM157" s="144"/>
      <c r="BN157" s="144"/>
      <c r="BO157" s="144"/>
      <c r="BP157" s="144"/>
      <c r="BQ157" s="144"/>
      <c r="BR157" s="144"/>
      <c r="BS157" s="144"/>
      <c r="BT157" s="144"/>
      <c r="BU157" s="144"/>
      <c r="BV157" s="144"/>
      <c r="BW157" s="144"/>
      <c r="BX157" s="144"/>
      <c r="BY157" s="144"/>
      <c r="BZ157" s="144"/>
      <c r="CA157" s="144"/>
      <c r="CB157" s="144"/>
      <c r="CC157" s="144"/>
      <c r="CD157" s="144"/>
      <c r="CE157" s="144"/>
      <c r="CF157" s="144"/>
      <c r="CG157" s="144"/>
      <c r="CH157" s="144"/>
      <c r="CI157" s="144"/>
      <c r="CJ157" s="144"/>
      <c r="CK157" s="144"/>
      <c r="CL157" s="144"/>
      <c r="CM157" s="144"/>
      <c r="CN157" s="144"/>
      <c r="CO157" s="144"/>
      <c r="CP157" s="144"/>
      <c r="CQ157" s="144"/>
      <c r="CR157" s="144"/>
      <c r="CS157" s="144"/>
      <c r="CT157" s="144"/>
      <c r="CU157" s="144"/>
      <c r="CV157" s="144"/>
      <c r="CW157" s="144"/>
      <c r="CX157" s="144"/>
      <c r="CY157" s="144"/>
      <c r="CZ157" s="144"/>
      <c r="DA157" s="144"/>
      <c r="DB157" s="144"/>
      <c r="DC157" s="144"/>
      <c r="DD157" s="144"/>
      <c r="DE157" s="144"/>
      <c r="DF157" s="144"/>
      <c r="DG157" s="144"/>
      <c r="DH157" s="144"/>
      <c r="DI157" s="144"/>
      <c r="DJ157" s="144"/>
      <c r="DK157" s="144"/>
      <c r="DL157" s="144"/>
      <c r="DM157" s="144"/>
      <c r="DN157" s="144"/>
      <c r="DO157" s="144"/>
      <c r="DP157" s="144"/>
      <c r="DQ157" s="144"/>
      <c r="DR157" s="144"/>
      <c r="DS157" s="144"/>
      <c r="DT157" s="144"/>
      <c r="DU157" s="144"/>
      <c r="DV157" s="144"/>
      <c r="DW157" s="144"/>
      <c r="DX157" s="144"/>
      <c r="DY157" s="144"/>
      <c r="DZ157" s="144"/>
      <c r="EA157" s="144"/>
      <c r="EB157" s="144"/>
      <c r="EC157" s="144"/>
      <c r="ED157" s="144"/>
      <c r="EE157" s="144"/>
      <c r="EF157" s="144"/>
      <c r="EG157" s="144"/>
      <c r="EH157" s="144"/>
      <c r="EI157" s="144"/>
      <c r="EJ157" s="144"/>
      <c r="EK157" s="144"/>
      <c r="EL157" s="144"/>
      <c r="EM157" s="144"/>
      <c r="EN157" s="144"/>
      <c r="EO157" s="144"/>
      <c r="EP157" s="144"/>
      <c r="EQ157" s="144"/>
      <c r="ER157" s="144"/>
      <c r="ES157" s="144"/>
      <c r="ET157" s="144"/>
      <c r="EU157" s="144"/>
      <c r="EV157" s="144"/>
      <c r="EW157" s="144"/>
      <c r="EX157" s="144"/>
      <c r="EY157" s="144"/>
      <c r="EZ157" s="144"/>
      <c r="FA157" s="144"/>
      <c r="FB157" s="144"/>
      <c r="FC157" s="144"/>
      <c r="FD157" s="144"/>
      <c r="FE157" s="144"/>
      <c r="FF157" s="144"/>
      <c r="FG157" s="144"/>
      <c r="FH157" s="144"/>
      <c r="FI157" s="144"/>
      <c r="FJ157" s="144"/>
      <c r="FK157" s="144"/>
      <c r="FL157" s="144"/>
      <c r="FM157" s="144"/>
      <c r="FN157" s="144"/>
      <c r="FO157" s="144"/>
      <c r="FP157" s="144"/>
      <c r="FQ157" s="144"/>
      <c r="FR157" s="144"/>
      <c r="FS157" s="144"/>
      <c r="FT157" s="144"/>
      <c r="FU157" s="144"/>
      <c r="FV157" s="144"/>
      <c r="FW157" s="144"/>
      <c r="FX157" s="144"/>
    </row>
    <row r="158" spans="1:180" s="56" customFormat="1" x14ac:dyDescent="0.2">
      <c r="A158" s="67"/>
      <c r="B158" s="66"/>
      <c r="C158" s="65">
        <f t="shared" si="19"/>
        <v>0</v>
      </c>
      <c r="D158" s="49"/>
      <c r="E158" s="65">
        <f t="shared" si="18"/>
        <v>0</v>
      </c>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c r="BC158" s="144"/>
      <c r="BD158" s="144"/>
      <c r="BE158" s="144"/>
      <c r="BF158" s="144"/>
      <c r="BG158" s="144"/>
      <c r="BH158" s="144"/>
      <c r="BI158" s="144"/>
      <c r="BJ158" s="144"/>
      <c r="BK158" s="144"/>
      <c r="BL158" s="144"/>
      <c r="BM158" s="144"/>
      <c r="BN158" s="144"/>
      <c r="BO158" s="144"/>
      <c r="BP158" s="144"/>
      <c r="BQ158" s="144"/>
      <c r="BR158" s="144"/>
      <c r="BS158" s="144"/>
      <c r="BT158" s="144"/>
      <c r="BU158" s="144"/>
      <c r="BV158" s="144"/>
      <c r="BW158" s="144"/>
      <c r="BX158" s="144"/>
      <c r="BY158" s="144"/>
      <c r="BZ158" s="144"/>
      <c r="CA158" s="144"/>
      <c r="CB158" s="144"/>
      <c r="CC158" s="144"/>
      <c r="CD158" s="144"/>
      <c r="CE158" s="144"/>
      <c r="CF158" s="144"/>
      <c r="CG158" s="144"/>
      <c r="CH158" s="144"/>
      <c r="CI158" s="144"/>
      <c r="CJ158" s="144"/>
      <c r="CK158" s="144"/>
      <c r="CL158" s="144"/>
      <c r="CM158" s="144"/>
      <c r="CN158" s="144"/>
      <c r="CO158" s="144"/>
      <c r="CP158" s="144"/>
      <c r="CQ158" s="144"/>
      <c r="CR158" s="144"/>
      <c r="CS158" s="144"/>
      <c r="CT158" s="144"/>
      <c r="CU158" s="144"/>
      <c r="CV158" s="144"/>
      <c r="CW158" s="144"/>
      <c r="CX158" s="144"/>
      <c r="CY158" s="144"/>
      <c r="CZ158" s="144"/>
      <c r="DA158" s="144"/>
      <c r="DB158" s="144"/>
      <c r="DC158" s="144"/>
      <c r="DD158" s="144"/>
      <c r="DE158" s="144"/>
      <c r="DF158" s="144"/>
      <c r="DG158" s="144"/>
      <c r="DH158" s="144"/>
      <c r="DI158" s="144"/>
      <c r="DJ158" s="144"/>
      <c r="DK158" s="144"/>
      <c r="DL158" s="144"/>
      <c r="DM158" s="144"/>
      <c r="DN158" s="144"/>
      <c r="DO158" s="144"/>
      <c r="DP158" s="144"/>
      <c r="DQ158" s="144"/>
      <c r="DR158" s="144"/>
      <c r="DS158" s="144"/>
      <c r="DT158" s="144"/>
      <c r="DU158" s="144"/>
      <c r="DV158" s="144"/>
      <c r="DW158" s="144"/>
      <c r="DX158" s="144"/>
      <c r="DY158" s="144"/>
      <c r="DZ158" s="144"/>
      <c r="EA158" s="144"/>
      <c r="EB158" s="144"/>
      <c r="EC158" s="144"/>
      <c r="ED158" s="144"/>
      <c r="EE158" s="144"/>
      <c r="EF158" s="144"/>
      <c r="EG158" s="144"/>
      <c r="EH158" s="144"/>
      <c r="EI158" s="144"/>
      <c r="EJ158" s="144"/>
      <c r="EK158" s="144"/>
      <c r="EL158" s="144"/>
      <c r="EM158" s="144"/>
      <c r="EN158" s="144"/>
      <c r="EO158" s="144"/>
      <c r="EP158" s="144"/>
      <c r="EQ158" s="144"/>
      <c r="ER158" s="144"/>
      <c r="ES158" s="144"/>
      <c r="ET158" s="144"/>
      <c r="EU158" s="144"/>
      <c r="EV158" s="144"/>
      <c r="EW158" s="144"/>
      <c r="EX158" s="144"/>
      <c r="EY158" s="144"/>
      <c r="EZ158" s="144"/>
      <c r="FA158" s="144"/>
      <c r="FB158" s="144"/>
      <c r="FC158" s="144"/>
      <c r="FD158" s="144"/>
      <c r="FE158" s="144"/>
      <c r="FF158" s="144"/>
      <c r="FG158" s="144"/>
      <c r="FH158" s="144"/>
      <c r="FI158" s="144"/>
      <c r="FJ158" s="144"/>
      <c r="FK158" s="144"/>
      <c r="FL158" s="144"/>
      <c r="FM158" s="144"/>
      <c r="FN158" s="144"/>
      <c r="FO158" s="144"/>
      <c r="FP158" s="144"/>
      <c r="FQ158" s="144"/>
      <c r="FR158" s="144"/>
      <c r="FS158" s="144"/>
      <c r="FT158" s="144"/>
      <c r="FU158" s="144"/>
      <c r="FV158" s="144"/>
      <c r="FW158" s="144"/>
      <c r="FX158" s="144"/>
    </row>
    <row r="159" spans="1:180" s="56" customFormat="1" x14ac:dyDescent="0.2">
      <c r="A159" s="67"/>
      <c r="B159" s="66"/>
      <c r="C159" s="65">
        <f t="shared" si="19"/>
        <v>0</v>
      </c>
      <c r="D159" s="49"/>
      <c r="E159" s="65">
        <f t="shared" si="18"/>
        <v>0</v>
      </c>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c r="BC159" s="144"/>
      <c r="BD159" s="144"/>
      <c r="BE159" s="144"/>
      <c r="BF159" s="144"/>
      <c r="BG159" s="144"/>
      <c r="BH159" s="144"/>
      <c r="BI159" s="144"/>
      <c r="BJ159" s="144"/>
      <c r="BK159" s="144"/>
      <c r="BL159" s="144"/>
      <c r="BM159" s="144"/>
      <c r="BN159" s="144"/>
      <c r="BO159" s="144"/>
      <c r="BP159" s="144"/>
      <c r="BQ159" s="144"/>
      <c r="BR159" s="144"/>
      <c r="BS159" s="144"/>
      <c r="BT159" s="144"/>
      <c r="BU159" s="144"/>
      <c r="BV159" s="144"/>
      <c r="BW159" s="144"/>
      <c r="BX159" s="144"/>
      <c r="BY159" s="144"/>
      <c r="BZ159" s="144"/>
      <c r="CA159" s="144"/>
      <c r="CB159" s="144"/>
      <c r="CC159" s="144"/>
      <c r="CD159" s="144"/>
      <c r="CE159" s="144"/>
      <c r="CF159" s="144"/>
      <c r="CG159" s="144"/>
      <c r="CH159" s="144"/>
      <c r="CI159" s="144"/>
      <c r="CJ159" s="144"/>
      <c r="CK159" s="144"/>
      <c r="CL159" s="144"/>
      <c r="CM159" s="144"/>
      <c r="CN159" s="144"/>
      <c r="CO159" s="144"/>
      <c r="CP159" s="144"/>
      <c r="CQ159" s="144"/>
      <c r="CR159" s="144"/>
      <c r="CS159" s="144"/>
      <c r="CT159" s="144"/>
      <c r="CU159" s="144"/>
      <c r="CV159" s="144"/>
      <c r="CW159" s="144"/>
      <c r="CX159" s="144"/>
      <c r="CY159" s="144"/>
      <c r="CZ159" s="144"/>
      <c r="DA159" s="144"/>
      <c r="DB159" s="144"/>
      <c r="DC159" s="144"/>
      <c r="DD159" s="144"/>
      <c r="DE159" s="144"/>
      <c r="DF159" s="144"/>
      <c r="DG159" s="144"/>
      <c r="DH159" s="144"/>
      <c r="DI159" s="144"/>
      <c r="DJ159" s="144"/>
      <c r="DK159" s="144"/>
      <c r="DL159" s="144"/>
      <c r="DM159" s="144"/>
      <c r="DN159" s="144"/>
      <c r="DO159" s="144"/>
      <c r="DP159" s="144"/>
      <c r="DQ159" s="144"/>
      <c r="DR159" s="144"/>
      <c r="DS159" s="144"/>
      <c r="DT159" s="144"/>
      <c r="DU159" s="144"/>
      <c r="DV159" s="144"/>
      <c r="DW159" s="144"/>
      <c r="DX159" s="144"/>
      <c r="DY159" s="144"/>
      <c r="DZ159" s="144"/>
      <c r="EA159" s="144"/>
      <c r="EB159" s="144"/>
      <c r="EC159" s="144"/>
      <c r="ED159" s="144"/>
      <c r="EE159" s="144"/>
      <c r="EF159" s="144"/>
      <c r="EG159" s="144"/>
      <c r="EH159" s="144"/>
      <c r="EI159" s="144"/>
      <c r="EJ159" s="144"/>
      <c r="EK159" s="144"/>
      <c r="EL159" s="144"/>
      <c r="EM159" s="144"/>
      <c r="EN159" s="144"/>
      <c r="EO159" s="144"/>
      <c r="EP159" s="144"/>
      <c r="EQ159" s="144"/>
      <c r="ER159" s="144"/>
      <c r="ES159" s="144"/>
      <c r="ET159" s="144"/>
      <c r="EU159" s="144"/>
      <c r="EV159" s="144"/>
      <c r="EW159" s="144"/>
      <c r="EX159" s="144"/>
      <c r="EY159" s="144"/>
      <c r="EZ159" s="144"/>
      <c r="FA159" s="144"/>
      <c r="FB159" s="144"/>
      <c r="FC159" s="144"/>
      <c r="FD159" s="144"/>
      <c r="FE159" s="144"/>
      <c r="FF159" s="144"/>
      <c r="FG159" s="144"/>
      <c r="FH159" s="144"/>
      <c r="FI159" s="144"/>
      <c r="FJ159" s="144"/>
      <c r="FK159" s="144"/>
      <c r="FL159" s="144"/>
      <c r="FM159" s="144"/>
      <c r="FN159" s="144"/>
      <c r="FO159" s="144"/>
      <c r="FP159" s="144"/>
      <c r="FQ159" s="144"/>
      <c r="FR159" s="144"/>
      <c r="FS159" s="144"/>
      <c r="FT159" s="144"/>
      <c r="FU159" s="144"/>
      <c r="FV159" s="144"/>
      <c r="FW159" s="144"/>
      <c r="FX159" s="144"/>
    </row>
    <row r="160" spans="1:180" s="56" customFormat="1" x14ac:dyDescent="0.2">
      <c r="A160" s="67"/>
      <c r="B160" s="66"/>
      <c r="C160" s="65">
        <f t="shared" si="19"/>
        <v>0</v>
      </c>
      <c r="D160" s="49"/>
      <c r="E160" s="65">
        <f t="shared" si="18"/>
        <v>0</v>
      </c>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c r="BC160" s="144"/>
      <c r="BD160" s="144"/>
      <c r="BE160" s="144"/>
      <c r="BF160" s="144"/>
      <c r="BG160" s="144"/>
      <c r="BH160" s="144"/>
      <c r="BI160" s="144"/>
      <c r="BJ160" s="144"/>
      <c r="BK160" s="144"/>
      <c r="BL160" s="144"/>
      <c r="BM160" s="144"/>
      <c r="BN160" s="144"/>
      <c r="BO160" s="144"/>
      <c r="BP160" s="144"/>
      <c r="BQ160" s="144"/>
      <c r="BR160" s="144"/>
      <c r="BS160" s="144"/>
      <c r="BT160" s="144"/>
      <c r="BU160" s="144"/>
      <c r="BV160" s="144"/>
      <c r="BW160" s="144"/>
      <c r="BX160" s="144"/>
      <c r="BY160" s="144"/>
      <c r="BZ160" s="144"/>
      <c r="CA160" s="144"/>
      <c r="CB160" s="144"/>
      <c r="CC160" s="144"/>
      <c r="CD160" s="144"/>
      <c r="CE160" s="144"/>
      <c r="CF160" s="144"/>
      <c r="CG160" s="144"/>
      <c r="CH160" s="144"/>
      <c r="CI160" s="144"/>
      <c r="CJ160" s="144"/>
      <c r="CK160" s="144"/>
      <c r="CL160" s="144"/>
      <c r="CM160" s="144"/>
      <c r="CN160" s="144"/>
      <c r="CO160" s="144"/>
      <c r="CP160" s="144"/>
      <c r="CQ160" s="144"/>
      <c r="CR160" s="144"/>
      <c r="CS160" s="144"/>
      <c r="CT160" s="144"/>
      <c r="CU160" s="144"/>
      <c r="CV160" s="144"/>
      <c r="CW160" s="144"/>
      <c r="CX160" s="144"/>
      <c r="CY160" s="144"/>
      <c r="CZ160" s="144"/>
      <c r="DA160" s="144"/>
      <c r="DB160" s="144"/>
      <c r="DC160" s="144"/>
      <c r="DD160" s="144"/>
      <c r="DE160" s="144"/>
      <c r="DF160" s="144"/>
      <c r="DG160" s="144"/>
      <c r="DH160" s="144"/>
      <c r="DI160" s="144"/>
      <c r="DJ160" s="144"/>
      <c r="DK160" s="144"/>
      <c r="DL160" s="144"/>
      <c r="DM160" s="144"/>
      <c r="DN160" s="144"/>
      <c r="DO160" s="144"/>
      <c r="DP160" s="144"/>
      <c r="DQ160" s="144"/>
      <c r="DR160" s="144"/>
      <c r="DS160" s="144"/>
      <c r="DT160" s="144"/>
      <c r="DU160" s="144"/>
      <c r="DV160" s="144"/>
      <c r="DW160" s="144"/>
      <c r="DX160" s="144"/>
      <c r="DY160" s="144"/>
      <c r="DZ160" s="144"/>
      <c r="EA160" s="144"/>
      <c r="EB160" s="144"/>
      <c r="EC160" s="144"/>
      <c r="ED160" s="144"/>
      <c r="EE160" s="144"/>
      <c r="EF160" s="144"/>
      <c r="EG160" s="144"/>
      <c r="EH160" s="144"/>
      <c r="EI160" s="144"/>
      <c r="EJ160" s="144"/>
      <c r="EK160" s="144"/>
      <c r="EL160" s="144"/>
      <c r="EM160" s="144"/>
      <c r="EN160" s="144"/>
      <c r="EO160" s="144"/>
      <c r="EP160" s="144"/>
      <c r="EQ160" s="144"/>
      <c r="ER160" s="144"/>
      <c r="ES160" s="144"/>
      <c r="ET160" s="144"/>
      <c r="EU160" s="144"/>
      <c r="EV160" s="144"/>
      <c r="EW160" s="144"/>
      <c r="EX160" s="144"/>
      <c r="EY160" s="144"/>
      <c r="EZ160" s="144"/>
      <c r="FA160" s="144"/>
      <c r="FB160" s="144"/>
      <c r="FC160" s="144"/>
      <c r="FD160" s="144"/>
      <c r="FE160" s="144"/>
      <c r="FF160" s="144"/>
      <c r="FG160" s="144"/>
      <c r="FH160" s="144"/>
      <c r="FI160" s="144"/>
      <c r="FJ160" s="144"/>
      <c r="FK160" s="144"/>
      <c r="FL160" s="144"/>
      <c r="FM160" s="144"/>
      <c r="FN160" s="144"/>
      <c r="FO160" s="144"/>
      <c r="FP160" s="144"/>
      <c r="FQ160" s="144"/>
      <c r="FR160" s="144"/>
      <c r="FS160" s="144"/>
      <c r="FT160" s="144"/>
      <c r="FU160" s="144"/>
      <c r="FV160" s="144"/>
      <c r="FW160" s="144"/>
      <c r="FX160" s="144"/>
    </row>
    <row r="161" spans="1:180" s="56" customFormat="1" x14ac:dyDescent="0.2">
      <c r="A161" s="67"/>
      <c r="B161" s="66"/>
      <c r="C161" s="65">
        <f t="shared" si="19"/>
        <v>0</v>
      </c>
      <c r="D161" s="49"/>
      <c r="E161" s="65">
        <f t="shared" ref="E161:E192" si="20">SUM(G161:HQ161)</f>
        <v>0</v>
      </c>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c r="BC161" s="144"/>
      <c r="BD161" s="144"/>
      <c r="BE161" s="144"/>
      <c r="BF161" s="144"/>
      <c r="BG161" s="144"/>
      <c r="BH161" s="144"/>
      <c r="BI161" s="144"/>
      <c r="BJ161" s="144"/>
      <c r="BK161" s="144"/>
      <c r="BL161" s="144"/>
      <c r="BM161" s="144"/>
      <c r="BN161" s="144"/>
      <c r="BO161" s="144"/>
      <c r="BP161" s="144"/>
      <c r="BQ161" s="144"/>
      <c r="BR161" s="144"/>
      <c r="BS161" s="144"/>
      <c r="BT161" s="144"/>
      <c r="BU161" s="144"/>
      <c r="BV161" s="144"/>
      <c r="BW161" s="144"/>
      <c r="BX161" s="144"/>
      <c r="BY161" s="144"/>
      <c r="BZ161" s="144"/>
      <c r="CA161" s="144"/>
      <c r="CB161" s="144"/>
      <c r="CC161" s="144"/>
      <c r="CD161" s="144"/>
      <c r="CE161" s="144"/>
      <c r="CF161" s="144"/>
      <c r="CG161" s="144"/>
      <c r="CH161" s="144"/>
      <c r="CI161" s="144"/>
      <c r="CJ161" s="144"/>
      <c r="CK161" s="144"/>
      <c r="CL161" s="144"/>
      <c r="CM161" s="144"/>
      <c r="CN161" s="144"/>
      <c r="CO161" s="144"/>
      <c r="CP161" s="144"/>
      <c r="CQ161" s="144"/>
      <c r="CR161" s="144"/>
      <c r="CS161" s="144"/>
      <c r="CT161" s="144"/>
      <c r="CU161" s="144"/>
      <c r="CV161" s="144"/>
      <c r="CW161" s="144"/>
      <c r="CX161" s="144"/>
      <c r="CY161" s="144"/>
      <c r="CZ161" s="144"/>
      <c r="DA161" s="144"/>
      <c r="DB161" s="144"/>
      <c r="DC161" s="144"/>
      <c r="DD161" s="144"/>
      <c r="DE161" s="144"/>
      <c r="DF161" s="144"/>
      <c r="DG161" s="144"/>
      <c r="DH161" s="144"/>
      <c r="DI161" s="144"/>
      <c r="DJ161" s="144"/>
      <c r="DK161" s="144"/>
      <c r="DL161" s="144"/>
      <c r="DM161" s="144"/>
      <c r="DN161" s="144"/>
      <c r="DO161" s="144"/>
      <c r="DP161" s="144"/>
      <c r="DQ161" s="144"/>
      <c r="DR161" s="144"/>
      <c r="DS161" s="144"/>
      <c r="DT161" s="144"/>
      <c r="DU161" s="144"/>
      <c r="DV161" s="144"/>
      <c r="DW161" s="144"/>
      <c r="DX161" s="144"/>
      <c r="DY161" s="144"/>
      <c r="DZ161" s="144"/>
      <c r="EA161" s="144"/>
      <c r="EB161" s="144"/>
      <c r="EC161" s="144"/>
      <c r="ED161" s="144"/>
      <c r="EE161" s="144"/>
      <c r="EF161" s="144"/>
      <c r="EG161" s="144"/>
      <c r="EH161" s="144"/>
      <c r="EI161" s="144"/>
      <c r="EJ161" s="144"/>
      <c r="EK161" s="144"/>
      <c r="EL161" s="144"/>
      <c r="EM161" s="144"/>
      <c r="EN161" s="144"/>
      <c r="EO161" s="144"/>
      <c r="EP161" s="144"/>
      <c r="EQ161" s="144"/>
      <c r="ER161" s="144"/>
      <c r="ES161" s="144"/>
      <c r="ET161" s="144"/>
      <c r="EU161" s="144"/>
      <c r="EV161" s="144"/>
      <c r="EW161" s="144"/>
      <c r="EX161" s="144"/>
      <c r="EY161" s="144"/>
      <c r="EZ161" s="144"/>
      <c r="FA161" s="144"/>
      <c r="FB161" s="144"/>
      <c r="FC161" s="144"/>
      <c r="FD161" s="144"/>
      <c r="FE161" s="144"/>
      <c r="FF161" s="144"/>
      <c r="FG161" s="144"/>
      <c r="FH161" s="144"/>
      <c r="FI161" s="144"/>
      <c r="FJ161" s="144"/>
      <c r="FK161" s="144"/>
      <c r="FL161" s="144"/>
      <c r="FM161" s="144"/>
      <c r="FN161" s="144"/>
      <c r="FO161" s="144"/>
      <c r="FP161" s="144"/>
      <c r="FQ161" s="144"/>
      <c r="FR161" s="144"/>
      <c r="FS161" s="144"/>
      <c r="FT161" s="144"/>
      <c r="FU161" s="144"/>
      <c r="FV161" s="144"/>
      <c r="FW161" s="144"/>
      <c r="FX161" s="144"/>
    </row>
    <row r="162" spans="1:180" s="56" customFormat="1" x14ac:dyDescent="0.2">
      <c r="A162" s="67"/>
      <c r="B162" s="66"/>
      <c r="C162" s="65">
        <f t="shared" si="19"/>
        <v>0</v>
      </c>
      <c r="D162" s="49"/>
      <c r="E162" s="65">
        <f t="shared" si="20"/>
        <v>0</v>
      </c>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c r="BC162" s="144"/>
      <c r="BD162" s="144"/>
      <c r="BE162" s="144"/>
      <c r="BF162" s="144"/>
      <c r="BG162" s="144"/>
      <c r="BH162" s="144"/>
      <c r="BI162" s="144"/>
      <c r="BJ162" s="144"/>
      <c r="BK162" s="144"/>
      <c r="BL162" s="144"/>
      <c r="BM162" s="144"/>
      <c r="BN162" s="144"/>
      <c r="BO162" s="144"/>
      <c r="BP162" s="144"/>
      <c r="BQ162" s="144"/>
      <c r="BR162" s="144"/>
      <c r="BS162" s="144"/>
      <c r="BT162" s="144"/>
      <c r="BU162" s="144"/>
      <c r="BV162" s="144"/>
      <c r="BW162" s="144"/>
      <c r="BX162" s="144"/>
      <c r="BY162" s="144"/>
      <c r="BZ162" s="144"/>
      <c r="CA162" s="144"/>
      <c r="CB162" s="144"/>
      <c r="CC162" s="144"/>
      <c r="CD162" s="144"/>
      <c r="CE162" s="144"/>
      <c r="CF162" s="144"/>
      <c r="CG162" s="144"/>
      <c r="CH162" s="144"/>
      <c r="CI162" s="144"/>
      <c r="CJ162" s="144"/>
      <c r="CK162" s="144"/>
      <c r="CL162" s="144"/>
      <c r="CM162" s="144"/>
      <c r="CN162" s="144"/>
      <c r="CO162" s="144"/>
      <c r="CP162" s="144"/>
      <c r="CQ162" s="144"/>
      <c r="CR162" s="144"/>
      <c r="CS162" s="144"/>
      <c r="CT162" s="144"/>
      <c r="CU162" s="144"/>
      <c r="CV162" s="144"/>
      <c r="CW162" s="144"/>
      <c r="CX162" s="144"/>
      <c r="CY162" s="144"/>
      <c r="CZ162" s="144"/>
      <c r="DA162" s="144"/>
      <c r="DB162" s="144"/>
      <c r="DC162" s="144"/>
      <c r="DD162" s="144"/>
      <c r="DE162" s="144"/>
      <c r="DF162" s="144"/>
      <c r="DG162" s="144"/>
      <c r="DH162" s="144"/>
      <c r="DI162" s="144"/>
      <c r="DJ162" s="144"/>
      <c r="DK162" s="144"/>
      <c r="DL162" s="144"/>
      <c r="DM162" s="144"/>
      <c r="DN162" s="144"/>
      <c r="DO162" s="144"/>
      <c r="DP162" s="144"/>
      <c r="DQ162" s="144"/>
      <c r="DR162" s="144"/>
      <c r="DS162" s="144"/>
      <c r="DT162" s="144"/>
      <c r="DU162" s="144"/>
      <c r="DV162" s="144"/>
      <c r="DW162" s="144"/>
      <c r="DX162" s="144"/>
      <c r="DY162" s="144"/>
      <c r="DZ162" s="144"/>
      <c r="EA162" s="144"/>
      <c r="EB162" s="144"/>
      <c r="EC162" s="144"/>
      <c r="ED162" s="144"/>
      <c r="EE162" s="144"/>
      <c r="EF162" s="144"/>
      <c r="EG162" s="144"/>
      <c r="EH162" s="144"/>
      <c r="EI162" s="144"/>
      <c r="EJ162" s="144"/>
      <c r="EK162" s="144"/>
      <c r="EL162" s="144"/>
      <c r="EM162" s="144"/>
      <c r="EN162" s="144"/>
      <c r="EO162" s="144"/>
      <c r="EP162" s="144"/>
      <c r="EQ162" s="144"/>
      <c r="ER162" s="144"/>
      <c r="ES162" s="144"/>
      <c r="ET162" s="144"/>
      <c r="EU162" s="144"/>
      <c r="EV162" s="144"/>
      <c r="EW162" s="144"/>
      <c r="EX162" s="144"/>
      <c r="EY162" s="144"/>
      <c r="EZ162" s="144"/>
      <c r="FA162" s="144"/>
      <c r="FB162" s="144"/>
      <c r="FC162" s="144"/>
      <c r="FD162" s="144"/>
      <c r="FE162" s="144"/>
      <c r="FF162" s="144"/>
      <c r="FG162" s="144"/>
      <c r="FH162" s="144"/>
      <c r="FI162" s="144"/>
      <c r="FJ162" s="144"/>
      <c r="FK162" s="144"/>
      <c r="FL162" s="144"/>
      <c r="FM162" s="144"/>
      <c r="FN162" s="144"/>
      <c r="FO162" s="144"/>
      <c r="FP162" s="144"/>
      <c r="FQ162" s="144"/>
      <c r="FR162" s="144"/>
      <c r="FS162" s="144"/>
      <c r="FT162" s="144"/>
      <c r="FU162" s="144"/>
      <c r="FV162" s="144"/>
      <c r="FW162" s="144"/>
      <c r="FX162" s="144"/>
    </row>
    <row r="163" spans="1:180" s="56" customFormat="1" x14ac:dyDescent="0.2">
      <c r="A163" s="67"/>
      <c r="B163" s="66"/>
      <c r="C163" s="65">
        <f t="shared" si="19"/>
        <v>0</v>
      </c>
      <c r="D163" s="49"/>
      <c r="E163" s="65">
        <f t="shared" si="20"/>
        <v>0</v>
      </c>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c r="BC163" s="144"/>
      <c r="BD163" s="144"/>
      <c r="BE163" s="144"/>
      <c r="BF163" s="144"/>
      <c r="BG163" s="144"/>
      <c r="BH163" s="144"/>
      <c r="BI163" s="144"/>
      <c r="BJ163" s="144"/>
      <c r="BK163" s="144"/>
      <c r="BL163" s="144"/>
      <c r="BM163" s="144"/>
      <c r="BN163" s="144"/>
      <c r="BO163" s="144"/>
      <c r="BP163" s="144"/>
      <c r="BQ163" s="144"/>
      <c r="BR163" s="144"/>
      <c r="BS163" s="144"/>
      <c r="BT163" s="144"/>
      <c r="BU163" s="144"/>
      <c r="BV163" s="144"/>
      <c r="BW163" s="144"/>
      <c r="BX163" s="144"/>
      <c r="BY163" s="144"/>
      <c r="BZ163" s="144"/>
      <c r="CA163" s="144"/>
      <c r="CB163" s="144"/>
      <c r="CC163" s="144"/>
      <c r="CD163" s="144"/>
      <c r="CE163" s="144"/>
      <c r="CF163" s="144"/>
      <c r="CG163" s="144"/>
      <c r="CH163" s="144"/>
      <c r="CI163" s="144"/>
      <c r="CJ163" s="144"/>
      <c r="CK163" s="144"/>
      <c r="CL163" s="144"/>
      <c r="CM163" s="144"/>
      <c r="CN163" s="144"/>
      <c r="CO163" s="144"/>
      <c r="CP163" s="144"/>
      <c r="CQ163" s="144"/>
      <c r="CR163" s="144"/>
      <c r="CS163" s="144"/>
      <c r="CT163" s="144"/>
      <c r="CU163" s="144"/>
      <c r="CV163" s="144"/>
      <c r="CW163" s="144"/>
      <c r="CX163" s="144"/>
      <c r="CY163" s="144"/>
      <c r="CZ163" s="144"/>
      <c r="DA163" s="144"/>
      <c r="DB163" s="144"/>
      <c r="DC163" s="144"/>
      <c r="DD163" s="144"/>
      <c r="DE163" s="144"/>
      <c r="DF163" s="144"/>
      <c r="DG163" s="144"/>
      <c r="DH163" s="144"/>
      <c r="DI163" s="144"/>
      <c r="DJ163" s="144"/>
      <c r="DK163" s="144"/>
      <c r="DL163" s="144"/>
      <c r="DM163" s="144"/>
      <c r="DN163" s="144"/>
      <c r="DO163" s="144"/>
      <c r="DP163" s="144"/>
      <c r="DQ163" s="144"/>
      <c r="DR163" s="144"/>
      <c r="DS163" s="144"/>
      <c r="DT163" s="144"/>
      <c r="DU163" s="144"/>
      <c r="DV163" s="144"/>
      <c r="DW163" s="144"/>
      <c r="DX163" s="144"/>
      <c r="DY163" s="144"/>
      <c r="DZ163" s="144"/>
      <c r="EA163" s="144"/>
      <c r="EB163" s="144"/>
      <c r="EC163" s="144"/>
      <c r="ED163" s="144"/>
      <c r="EE163" s="144"/>
      <c r="EF163" s="144"/>
      <c r="EG163" s="144"/>
      <c r="EH163" s="144"/>
      <c r="EI163" s="144"/>
      <c r="EJ163" s="144"/>
      <c r="EK163" s="144"/>
      <c r="EL163" s="144"/>
      <c r="EM163" s="144"/>
      <c r="EN163" s="144"/>
      <c r="EO163" s="144"/>
      <c r="EP163" s="144"/>
      <c r="EQ163" s="144"/>
      <c r="ER163" s="144"/>
      <c r="ES163" s="144"/>
      <c r="ET163" s="144"/>
      <c r="EU163" s="144"/>
      <c r="EV163" s="144"/>
      <c r="EW163" s="144"/>
      <c r="EX163" s="144"/>
      <c r="EY163" s="144"/>
      <c r="EZ163" s="144"/>
      <c r="FA163" s="144"/>
      <c r="FB163" s="144"/>
      <c r="FC163" s="144"/>
      <c r="FD163" s="144"/>
      <c r="FE163" s="144"/>
      <c r="FF163" s="144"/>
      <c r="FG163" s="144"/>
      <c r="FH163" s="144"/>
      <c r="FI163" s="144"/>
      <c r="FJ163" s="144"/>
      <c r="FK163" s="144"/>
      <c r="FL163" s="144"/>
      <c r="FM163" s="144"/>
      <c r="FN163" s="144"/>
      <c r="FO163" s="144"/>
      <c r="FP163" s="144"/>
      <c r="FQ163" s="144"/>
      <c r="FR163" s="144"/>
      <c r="FS163" s="144"/>
      <c r="FT163" s="144"/>
      <c r="FU163" s="144"/>
      <c r="FV163" s="144"/>
      <c r="FW163" s="144"/>
      <c r="FX163" s="144"/>
    </row>
    <row r="164" spans="1:180" s="56" customFormat="1" x14ac:dyDescent="0.2">
      <c r="A164" s="67"/>
      <c r="B164" s="66"/>
      <c r="C164" s="65">
        <f t="shared" si="19"/>
        <v>0</v>
      </c>
      <c r="D164" s="49"/>
      <c r="E164" s="65">
        <f t="shared" si="20"/>
        <v>0</v>
      </c>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144"/>
      <c r="BC164" s="144"/>
      <c r="BD164" s="144"/>
      <c r="BE164" s="144"/>
      <c r="BF164" s="144"/>
      <c r="BG164" s="144"/>
      <c r="BH164" s="144"/>
      <c r="BI164" s="144"/>
      <c r="BJ164" s="144"/>
      <c r="BK164" s="144"/>
      <c r="BL164" s="144"/>
      <c r="BM164" s="144"/>
      <c r="BN164" s="144"/>
      <c r="BO164" s="144"/>
      <c r="BP164" s="144"/>
      <c r="BQ164" s="144"/>
      <c r="BR164" s="144"/>
      <c r="BS164" s="144"/>
      <c r="BT164" s="144"/>
      <c r="BU164" s="144"/>
      <c r="BV164" s="144"/>
      <c r="BW164" s="144"/>
      <c r="BX164" s="144"/>
      <c r="BY164" s="144"/>
      <c r="BZ164" s="144"/>
      <c r="CA164" s="144"/>
      <c r="CB164" s="144"/>
      <c r="CC164" s="144"/>
      <c r="CD164" s="144"/>
      <c r="CE164" s="144"/>
      <c r="CF164" s="144"/>
      <c r="CG164" s="144"/>
      <c r="CH164" s="144"/>
      <c r="CI164" s="144"/>
      <c r="CJ164" s="144"/>
      <c r="CK164" s="144"/>
      <c r="CL164" s="144"/>
      <c r="CM164" s="144"/>
      <c r="CN164" s="144"/>
      <c r="CO164" s="144"/>
      <c r="CP164" s="144"/>
      <c r="CQ164" s="144"/>
      <c r="CR164" s="144"/>
      <c r="CS164" s="144"/>
      <c r="CT164" s="144"/>
      <c r="CU164" s="144"/>
      <c r="CV164" s="144"/>
      <c r="CW164" s="144"/>
      <c r="CX164" s="144"/>
      <c r="CY164" s="144"/>
      <c r="CZ164" s="144"/>
      <c r="DA164" s="144"/>
      <c r="DB164" s="144"/>
      <c r="DC164" s="144"/>
      <c r="DD164" s="144"/>
      <c r="DE164" s="144"/>
      <c r="DF164" s="144"/>
      <c r="DG164" s="144"/>
      <c r="DH164" s="144"/>
      <c r="DI164" s="144"/>
      <c r="DJ164" s="144"/>
      <c r="DK164" s="144"/>
      <c r="DL164" s="144"/>
      <c r="DM164" s="144"/>
      <c r="DN164" s="144"/>
      <c r="DO164" s="144"/>
      <c r="DP164" s="144"/>
      <c r="DQ164" s="144"/>
      <c r="DR164" s="144"/>
      <c r="DS164" s="144"/>
      <c r="DT164" s="144"/>
      <c r="DU164" s="144"/>
      <c r="DV164" s="144"/>
      <c r="DW164" s="144"/>
      <c r="DX164" s="144"/>
      <c r="DY164" s="144"/>
      <c r="DZ164" s="144"/>
      <c r="EA164" s="144"/>
      <c r="EB164" s="144"/>
      <c r="EC164" s="144"/>
      <c r="ED164" s="144"/>
      <c r="EE164" s="144"/>
      <c r="EF164" s="144"/>
      <c r="EG164" s="144"/>
      <c r="EH164" s="144"/>
      <c r="EI164" s="144"/>
      <c r="EJ164" s="144"/>
      <c r="EK164" s="144"/>
      <c r="EL164" s="144"/>
      <c r="EM164" s="144"/>
      <c r="EN164" s="144"/>
      <c r="EO164" s="144"/>
      <c r="EP164" s="144"/>
      <c r="EQ164" s="144"/>
      <c r="ER164" s="144"/>
      <c r="ES164" s="144"/>
      <c r="ET164" s="144"/>
      <c r="EU164" s="144"/>
      <c r="EV164" s="144"/>
      <c r="EW164" s="144"/>
      <c r="EX164" s="144"/>
      <c r="EY164" s="144"/>
      <c r="EZ164" s="144"/>
      <c r="FA164" s="144"/>
      <c r="FB164" s="144"/>
      <c r="FC164" s="144"/>
      <c r="FD164" s="144"/>
      <c r="FE164" s="144"/>
      <c r="FF164" s="144"/>
      <c r="FG164" s="144"/>
      <c r="FH164" s="144"/>
      <c r="FI164" s="144"/>
      <c r="FJ164" s="144"/>
      <c r="FK164" s="144"/>
      <c r="FL164" s="144"/>
      <c r="FM164" s="144"/>
      <c r="FN164" s="144"/>
      <c r="FO164" s="144"/>
      <c r="FP164" s="144"/>
      <c r="FQ164" s="144"/>
      <c r="FR164" s="144"/>
      <c r="FS164" s="144"/>
      <c r="FT164" s="144"/>
      <c r="FU164" s="144"/>
      <c r="FV164" s="144"/>
      <c r="FW164" s="144"/>
      <c r="FX164" s="144"/>
    </row>
    <row r="165" spans="1:180" s="56" customFormat="1" x14ac:dyDescent="0.2">
      <c r="A165" s="67"/>
      <c r="B165" s="66"/>
      <c r="C165" s="65">
        <f t="shared" si="19"/>
        <v>0</v>
      </c>
      <c r="D165" s="49"/>
      <c r="E165" s="65">
        <f t="shared" si="20"/>
        <v>0</v>
      </c>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144"/>
      <c r="BC165" s="144"/>
      <c r="BD165" s="144"/>
      <c r="BE165" s="144"/>
      <c r="BF165" s="144"/>
      <c r="BG165" s="144"/>
      <c r="BH165" s="144"/>
      <c r="BI165" s="144"/>
      <c r="BJ165" s="144"/>
      <c r="BK165" s="144"/>
      <c r="BL165" s="144"/>
      <c r="BM165" s="144"/>
      <c r="BN165" s="144"/>
      <c r="BO165" s="144"/>
      <c r="BP165" s="144"/>
      <c r="BQ165" s="144"/>
      <c r="BR165" s="144"/>
      <c r="BS165" s="144"/>
      <c r="BT165" s="144"/>
      <c r="BU165" s="144"/>
      <c r="BV165" s="144"/>
      <c r="BW165" s="144"/>
      <c r="BX165" s="144"/>
      <c r="BY165" s="144"/>
      <c r="BZ165" s="144"/>
      <c r="CA165" s="144"/>
      <c r="CB165" s="144"/>
      <c r="CC165" s="144"/>
      <c r="CD165" s="144"/>
      <c r="CE165" s="144"/>
      <c r="CF165" s="144"/>
      <c r="CG165" s="144"/>
      <c r="CH165" s="144"/>
      <c r="CI165" s="144"/>
      <c r="CJ165" s="144"/>
      <c r="CK165" s="144"/>
      <c r="CL165" s="144"/>
      <c r="CM165" s="144"/>
      <c r="CN165" s="144"/>
      <c r="CO165" s="144"/>
      <c r="CP165" s="144"/>
      <c r="CQ165" s="144"/>
      <c r="CR165" s="144"/>
      <c r="CS165" s="144"/>
      <c r="CT165" s="144"/>
      <c r="CU165" s="144"/>
      <c r="CV165" s="144"/>
      <c r="CW165" s="144"/>
      <c r="CX165" s="144"/>
      <c r="CY165" s="144"/>
      <c r="CZ165" s="144"/>
      <c r="DA165" s="144"/>
      <c r="DB165" s="144"/>
      <c r="DC165" s="144"/>
      <c r="DD165" s="144"/>
      <c r="DE165" s="144"/>
      <c r="DF165" s="144"/>
      <c r="DG165" s="144"/>
      <c r="DH165" s="144"/>
      <c r="DI165" s="144"/>
      <c r="DJ165" s="144"/>
      <c r="DK165" s="144"/>
      <c r="DL165" s="144"/>
      <c r="DM165" s="144"/>
      <c r="DN165" s="144"/>
      <c r="DO165" s="144"/>
      <c r="DP165" s="144"/>
      <c r="DQ165" s="144"/>
      <c r="DR165" s="144"/>
      <c r="DS165" s="144"/>
      <c r="DT165" s="144"/>
      <c r="DU165" s="144"/>
      <c r="DV165" s="144"/>
      <c r="DW165" s="144"/>
      <c r="DX165" s="144"/>
      <c r="DY165" s="144"/>
      <c r="DZ165" s="144"/>
      <c r="EA165" s="144"/>
      <c r="EB165" s="144"/>
      <c r="EC165" s="144"/>
      <c r="ED165" s="144"/>
      <c r="EE165" s="144"/>
      <c r="EF165" s="144"/>
      <c r="EG165" s="144"/>
      <c r="EH165" s="144"/>
      <c r="EI165" s="144"/>
      <c r="EJ165" s="144"/>
      <c r="EK165" s="144"/>
      <c r="EL165" s="144"/>
      <c r="EM165" s="144"/>
      <c r="EN165" s="144"/>
      <c r="EO165" s="144"/>
      <c r="EP165" s="144"/>
      <c r="EQ165" s="144"/>
      <c r="ER165" s="144"/>
      <c r="ES165" s="144"/>
      <c r="ET165" s="144"/>
      <c r="EU165" s="144"/>
      <c r="EV165" s="144"/>
      <c r="EW165" s="144"/>
      <c r="EX165" s="144"/>
      <c r="EY165" s="144"/>
      <c r="EZ165" s="144"/>
      <c r="FA165" s="144"/>
      <c r="FB165" s="144"/>
      <c r="FC165" s="144"/>
      <c r="FD165" s="144"/>
      <c r="FE165" s="144"/>
      <c r="FF165" s="144"/>
      <c r="FG165" s="144"/>
      <c r="FH165" s="144"/>
      <c r="FI165" s="144"/>
      <c r="FJ165" s="144"/>
      <c r="FK165" s="144"/>
      <c r="FL165" s="144"/>
      <c r="FM165" s="144"/>
      <c r="FN165" s="144"/>
      <c r="FO165" s="144"/>
      <c r="FP165" s="144"/>
      <c r="FQ165" s="144"/>
      <c r="FR165" s="144"/>
      <c r="FS165" s="144"/>
      <c r="FT165" s="144"/>
      <c r="FU165" s="144"/>
      <c r="FV165" s="144"/>
      <c r="FW165" s="144"/>
      <c r="FX165" s="144"/>
    </row>
    <row r="166" spans="1:180" s="56" customFormat="1" x14ac:dyDescent="0.2">
      <c r="A166" s="67"/>
      <c r="B166" s="66"/>
      <c r="C166" s="65">
        <f t="shared" si="19"/>
        <v>0</v>
      </c>
      <c r="D166" s="49"/>
      <c r="E166" s="65">
        <f t="shared" si="20"/>
        <v>0</v>
      </c>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c r="BC166" s="144"/>
      <c r="BD166" s="144"/>
      <c r="BE166" s="144"/>
      <c r="BF166" s="144"/>
      <c r="BG166" s="144"/>
      <c r="BH166" s="144"/>
      <c r="BI166" s="144"/>
      <c r="BJ166" s="144"/>
      <c r="BK166" s="144"/>
      <c r="BL166" s="144"/>
      <c r="BM166" s="144"/>
      <c r="BN166" s="144"/>
      <c r="BO166" s="144"/>
      <c r="BP166" s="144"/>
      <c r="BQ166" s="144"/>
      <c r="BR166" s="144"/>
      <c r="BS166" s="144"/>
      <c r="BT166" s="144"/>
      <c r="BU166" s="144"/>
      <c r="BV166" s="144"/>
      <c r="BW166" s="144"/>
      <c r="BX166" s="144"/>
      <c r="BY166" s="144"/>
      <c r="BZ166" s="144"/>
      <c r="CA166" s="144"/>
      <c r="CB166" s="144"/>
      <c r="CC166" s="144"/>
      <c r="CD166" s="144"/>
      <c r="CE166" s="144"/>
      <c r="CF166" s="144"/>
      <c r="CG166" s="144"/>
      <c r="CH166" s="144"/>
      <c r="CI166" s="144"/>
      <c r="CJ166" s="144"/>
      <c r="CK166" s="144"/>
      <c r="CL166" s="144"/>
      <c r="CM166" s="144"/>
      <c r="CN166" s="144"/>
      <c r="CO166" s="144"/>
      <c r="CP166" s="144"/>
      <c r="CQ166" s="144"/>
      <c r="CR166" s="144"/>
      <c r="CS166" s="144"/>
      <c r="CT166" s="144"/>
      <c r="CU166" s="144"/>
      <c r="CV166" s="144"/>
      <c r="CW166" s="144"/>
      <c r="CX166" s="144"/>
      <c r="CY166" s="144"/>
      <c r="CZ166" s="144"/>
      <c r="DA166" s="144"/>
      <c r="DB166" s="144"/>
      <c r="DC166" s="144"/>
      <c r="DD166" s="144"/>
      <c r="DE166" s="144"/>
      <c r="DF166" s="144"/>
      <c r="DG166" s="144"/>
      <c r="DH166" s="144"/>
      <c r="DI166" s="144"/>
      <c r="DJ166" s="144"/>
      <c r="DK166" s="144"/>
      <c r="DL166" s="144"/>
      <c r="DM166" s="144"/>
      <c r="DN166" s="144"/>
      <c r="DO166" s="144"/>
      <c r="DP166" s="144"/>
      <c r="DQ166" s="144"/>
      <c r="DR166" s="144"/>
      <c r="DS166" s="144"/>
      <c r="DT166" s="144"/>
      <c r="DU166" s="144"/>
      <c r="DV166" s="144"/>
      <c r="DW166" s="144"/>
      <c r="DX166" s="144"/>
      <c r="DY166" s="144"/>
      <c r="DZ166" s="144"/>
      <c r="EA166" s="144"/>
      <c r="EB166" s="144"/>
      <c r="EC166" s="144"/>
      <c r="ED166" s="144"/>
      <c r="EE166" s="144"/>
      <c r="EF166" s="144"/>
      <c r="EG166" s="144"/>
      <c r="EH166" s="144"/>
      <c r="EI166" s="144"/>
      <c r="EJ166" s="144"/>
      <c r="EK166" s="144"/>
      <c r="EL166" s="144"/>
      <c r="EM166" s="144"/>
      <c r="EN166" s="144"/>
      <c r="EO166" s="144"/>
      <c r="EP166" s="144"/>
      <c r="EQ166" s="144"/>
      <c r="ER166" s="144"/>
      <c r="ES166" s="144"/>
      <c r="ET166" s="144"/>
      <c r="EU166" s="144"/>
      <c r="EV166" s="144"/>
      <c r="EW166" s="144"/>
      <c r="EX166" s="144"/>
      <c r="EY166" s="144"/>
      <c r="EZ166" s="144"/>
      <c r="FA166" s="144"/>
      <c r="FB166" s="144"/>
      <c r="FC166" s="144"/>
      <c r="FD166" s="144"/>
      <c r="FE166" s="144"/>
      <c r="FF166" s="144"/>
      <c r="FG166" s="144"/>
      <c r="FH166" s="144"/>
      <c r="FI166" s="144"/>
      <c r="FJ166" s="144"/>
      <c r="FK166" s="144"/>
      <c r="FL166" s="144"/>
      <c r="FM166" s="144"/>
      <c r="FN166" s="144"/>
      <c r="FO166" s="144"/>
      <c r="FP166" s="144"/>
      <c r="FQ166" s="144"/>
      <c r="FR166" s="144"/>
      <c r="FS166" s="144"/>
      <c r="FT166" s="144"/>
      <c r="FU166" s="144"/>
      <c r="FV166" s="144"/>
      <c r="FW166" s="144"/>
      <c r="FX166" s="144"/>
    </row>
    <row r="167" spans="1:180" s="56" customFormat="1" x14ac:dyDescent="0.2">
      <c r="A167" s="67"/>
      <c r="B167" s="66"/>
      <c r="C167" s="65">
        <f t="shared" si="19"/>
        <v>0</v>
      </c>
      <c r="D167" s="49"/>
      <c r="E167" s="65">
        <f t="shared" si="20"/>
        <v>0</v>
      </c>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c r="BC167" s="144"/>
      <c r="BD167" s="144"/>
      <c r="BE167" s="144"/>
      <c r="BF167" s="144"/>
      <c r="BG167" s="144"/>
      <c r="BH167" s="144"/>
      <c r="BI167" s="144"/>
      <c r="BJ167" s="144"/>
      <c r="BK167" s="144"/>
      <c r="BL167" s="144"/>
      <c r="BM167" s="144"/>
      <c r="BN167" s="144"/>
      <c r="BO167" s="144"/>
      <c r="BP167" s="144"/>
      <c r="BQ167" s="144"/>
      <c r="BR167" s="144"/>
      <c r="BS167" s="144"/>
      <c r="BT167" s="144"/>
      <c r="BU167" s="144"/>
      <c r="BV167" s="144"/>
      <c r="BW167" s="144"/>
      <c r="BX167" s="144"/>
      <c r="BY167" s="144"/>
      <c r="BZ167" s="144"/>
      <c r="CA167" s="144"/>
      <c r="CB167" s="144"/>
      <c r="CC167" s="144"/>
      <c r="CD167" s="144"/>
      <c r="CE167" s="144"/>
      <c r="CF167" s="144"/>
      <c r="CG167" s="144"/>
      <c r="CH167" s="144"/>
      <c r="CI167" s="144"/>
      <c r="CJ167" s="144"/>
      <c r="CK167" s="144"/>
      <c r="CL167" s="144"/>
      <c r="CM167" s="144"/>
      <c r="CN167" s="144"/>
      <c r="CO167" s="144"/>
      <c r="CP167" s="144"/>
      <c r="CQ167" s="144"/>
      <c r="CR167" s="144"/>
      <c r="CS167" s="144"/>
      <c r="CT167" s="144"/>
      <c r="CU167" s="144"/>
      <c r="CV167" s="144"/>
      <c r="CW167" s="144"/>
      <c r="CX167" s="144"/>
      <c r="CY167" s="144"/>
      <c r="CZ167" s="144"/>
      <c r="DA167" s="144"/>
      <c r="DB167" s="144"/>
      <c r="DC167" s="144"/>
      <c r="DD167" s="144"/>
      <c r="DE167" s="144"/>
      <c r="DF167" s="144"/>
      <c r="DG167" s="144"/>
      <c r="DH167" s="144"/>
      <c r="DI167" s="144"/>
      <c r="DJ167" s="144"/>
      <c r="DK167" s="144"/>
      <c r="DL167" s="144"/>
      <c r="DM167" s="144"/>
      <c r="DN167" s="144"/>
      <c r="DO167" s="144"/>
      <c r="DP167" s="144"/>
      <c r="DQ167" s="144"/>
      <c r="DR167" s="144"/>
      <c r="DS167" s="144"/>
      <c r="DT167" s="144"/>
      <c r="DU167" s="144"/>
      <c r="DV167" s="144"/>
      <c r="DW167" s="144"/>
      <c r="DX167" s="144"/>
      <c r="DY167" s="144"/>
      <c r="DZ167" s="144"/>
      <c r="EA167" s="144"/>
      <c r="EB167" s="144"/>
      <c r="EC167" s="144"/>
      <c r="ED167" s="144"/>
      <c r="EE167" s="144"/>
      <c r="EF167" s="144"/>
      <c r="EG167" s="144"/>
      <c r="EH167" s="144"/>
      <c r="EI167" s="144"/>
      <c r="EJ167" s="144"/>
      <c r="EK167" s="144"/>
      <c r="EL167" s="144"/>
      <c r="EM167" s="144"/>
      <c r="EN167" s="144"/>
      <c r="EO167" s="144"/>
      <c r="EP167" s="144"/>
      <c r="EQ167" s="144"/>
      <c r="ER167" s="144"/>
      <c r="ES167" s="144"/>
      <c r="ET167" s="144"/>
      <c r="EU167" s="144"/>
      <c r="EV167" s="144"/>
      <c r="EW167" s="144"/>
      <c r="EX167" s="144"/>
      <c r="EY167" s="144"/>
      <c r="EZ167" s="144"/>
      <c r="FA167" s="144"/>
      <c r="FB167" s="144"/>
      <c r="FC167" s="144"/>
      <c r="FD167" s="144"/>
      <c r="FE167" s="144"/>
      <c r="FF167" s="144"/>
      <c r="FG167" s="144"/>
      <c r="FH167" s="144"/>
      <c r="FI167" s="144"/>
      <c r="FJ167" s="144"/>
      <c r="FK167" s="144"/>
      <c r="FL167" s="144"/>
      <c r="FM167" s="144"/>
      <c r="FN167" s="144"/>
      <c r="FO167" s="144"/>
      <c r="FP167" s="144"/>
      <c r="FQ167" s="144"/>
      <c r="FR167" s="144"/>
      <c r="FS167" s="144"/>
      <c r="FT167" s="144"/>
      <c r="FU167" s="144"/>
      <c r="FV167" s="144"/>
      <c r="FW167" s="144"/>
      <c r="FX167" s="144"/>
    </row>
    <row r="168" spans="1:180" s="56" customFormat="1" x14ac:dyDescent="0.2">
      <c r="A168" s="67"/>
      <c r="B168" s="66"/>
      <c r="C168" s="65">
        <f t="shared" si="19"/>
        <v>0</v>
      </c>
      <c r="D168" s="49"/>
      <c r="E168" s="65">
        <f t="shared" si="20"/>
        <v>0</v>
      </c>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144"/>
      <c r="BC168" s="144"/>
      <c r="BD168" s="144"/>
      <c r="BE168" s="144"/>
      <c r="BF168" s="144"/>
      <c r="BG168" s="144"/>
      <c r="BH168" s="144"/>
      <c r="BI168" s="144"/>
      <c r="BJ168" s="144"/>
      <c r="BK168" s="144"/>
      <c r="BL168" s="144"/>
      <c r="BM168" s="144"/>
      <c r="BN168" s="144"/>
      <c r="BO168" s="144"/>
      <c r="BP168" s="144"/>
      <c r="BQ168" s="144"/>
      <c r="BR168" s="144"/>
      <c r="BS168" s="144"/>
      <c r="BT168" s="144"/>
      <c r="BU168" s="144"/>
      <c r="BV168" s="144"/>
      <c r="BW168" s="144"/>
      <c r="BX168" s="144"/>
      <c r="BY168" s="144"/>
      <c r="BZ168" s="144"/>
      <c r="CA168" s="144"/>
      <c r="CB168" s="144"/>
      <c r="CC168" s="144"/>
      <c r="CD168" s="144"/>
      <c r="CE168" s="144"/>
      <c r="CF168" s="144"/>
      <c r="CG168" s="144"/>
      <c r="CH168" s="144"/>
      <c r="CI168" s="144"/>
      <c r="CJ168" s="144"/>
      <c r="CK168" s="144"/>
      <c r="CL168" s="144"/>
      <c r="CM168" s="144"/>
      <c r="CN168" s="144"/>
      <c r="CO168" s="144"/>
      <c r="CP168" s="144"/>
      <c r="CQ168" s="144"/>
      <c r="CR168" s="144"/>
      <c r="CS168" s="144"/>
      <c r="CT168" s="144"/>
      <c r="CU168" s="144"/>
      <c r="CV168" s="144"/>
      <c r="CW168" s="144"/>
      <c r="CX168" s="144"/>
      <c r="CY168" s="144"/>
      <c r="CZ168" s="144"/>
      <c r="DA168" s="144"/>
      <c r="DB168" s="144"/>
      <c r="DC168" s="144"/>
      <c r="DD168" s="144"/>
      <c r="DE168" s="144"/>
      <c r="DF168" s="144"/>
      <c r="DG168" s="144"/>
      <c r="DH168" s="144"/>
      <c r="DI168" s="144"/>
      <c r="DJ168" s="144"/>
      <c r="DK168" s="144"/>
      <c r="DL168" s="144"/>
      <c r="DM168" s="144"/>
      <c r="DN168" s="144"/>
      <c r="DO168" s="144"/>
      <c r="DP168" s="144"/>
      <c r="DQ168" s="144"/>
      <c r="DR168" s="144"/>
      <c r="DS168" s="144"/>
      <c r="DT168" s="144"/>
      <c r="DU168" s="144"/>
      <c r="DV168" s="144"/>
      <c r="DW168" s="144"/>
      <c r="DX168" s="144"/>
      <c r="DY168" s="144"/>
      <c r="DZ168" s="144"/>
      <c r="EA168" s="144"/>
      <c r="EB168" s="144"/>
      <c r="EC168" s="144"/>
      <c r="ED168" s="144"/>
      <c r="EE168" s="144"/>
      <c r="EF168" s="144"/>
      <c r="EG168" s="144"/>
      <c r="EH168" s="144"/>
      <c r="EI168" s="144"/>
      <c r="EJ168" s="144"/>
      <c r="EK168" s="144"/>
      <c r="EL168" s="144"/>
      <c r="EM168" s="144"/>
      <c r="EN168" s="144"/>
      <c r="EO168" s="144"/>
      <c r="EP168" s="144"/>
      <c r="EQ168" s="144"/>
      <c r="ER168" s="144"/>
      <c r="ES168" s="144"/>
      <c r="ET168" s="144"/>
      <c r="EU168" s="144"/>
      <c r="EV168" s="144"/>
      <c r="EW168" s="144"/>
      <c r="EX168" s="144"/>
      <c r="EY168" s="144"/>
      <c r="EZ168" s="144"/>
      <c r="FA168" s="144"/>
      <c r="FB168" s="144"/>
      <c r="FC168" s="144"/>
      <c r="FD168" s="144"/>
      <c r="FE168" s="144"/>
      <c r="FF168" s="144"/>
      <c r="FG168" s="144"/>
      <c r="FH168" s="144"/>
      <c r="FI168" s="144"/>
      <c r="FJ168" s="144"/>
      <c r="FK168" s="144"/>
      <c r="FL168" s="144"/>
      <c r="FM168" s="144"/>
      <c r="FN168" s="144"/>
      <c r="FO168" s="144"/>
      <c r="FP168" s="144"/>
      <c r="FQ168" s="144"/>
      <c r="FR168" s="144"/>
      <c r="FS168" s="144"/>
      <c r="FT168" s="144"/>
      <c r="FU168" s="144"/>
      <c r="FV168" s="144"/>
      <c r="FW168" s="144"/>
      <c r="FX168" s="144"/>
    </row>
    <row r="169" spans="1:180" s="56" customFormat="1" x14ac:dyDescent="0.2">
      <c r="A169" s="67"/>
      <c r="B169" s="66"/>
      <c r="C169" s="65">
        <f t="shared" si="19"/>
        <v>0</v>
      </c>
      <c r="D169" s="49"/>
      <c r="E169" s="65">
        <f t="shared" si="20"/>
        <v>0</v>
      </c>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144"/>
      <c r="BC169" s="144"/>
      <c r="BD169" s="144"/>
      <c r="BE169" s="144"/>
      <c r="BF169" s="144"/>
      <c r="BG169" s="144"/>
      <c r="BH169" s="144"/>
      <c r="BI169" s="144"/>
      <c r="BJ169" s="144"/>
      <c r="BK169" s="144"/>
      <c r="BL169" s="144"/>
      <c r="BM169" s="144"/>
      <c r="BN169" s="144"/>
      <c r="BO169" s="144"/>
      <c r="BP169" s="144"/>
      <c r="BQ169" s="144"/>
      <c r="BR169" s="144"/>
      <c r="BS169" s="144"/>
      <c r="BT169" s="144"/>
      <c r="BU169" s="144"/>
      <c r="BV169" s="144"/>
      <c r="BW169" s="144"/>
      <c r="BX169" s="144"/>
      <c r="BY169" s="144"/>
      <c r="BZ169" s="144"/>
      <c r="CA169" s="144"/>
      <c r="CB169" s="144"/>
      <c r="CC169" s="144"/>
      <c r="CD169" s="144"/>
      <c r="CE169" s="144"/>
      <c r="CF169" s="144"/>
      <c r="CG169" s="144"/>
      <c r="CH169" s="144"/>
      <c r="CI169" s="144"/>
      <c r="CJ169" s="144"/>
      <c r="CK169" s="144"/>
      <c r="CL169" s="144"/>
      <c r="CM169" s="144"/>
      <c r="CN169" s="144"/>
      <c r="CO169" s="144"/>
      <c r="CP169" s="144"/>
      <c r="CQ169" s="144"/>
      <c r="CR169" s="144"/>
      <c r="CS169" s="144"/>
      <c r="CT169" s="144"/>
      <c r="CU169" s="144"/>
      <c r="CV169" s="144"/>
      <c r="CW169" s="144"/>
      <c r="CX169" s="144"/>
      <c r="CY169" s="144"/>
      <c r="CZ169" s="144"/>
      <c r="DA169" s="144"/>
      <c r="DB169" s="144"/>
      <c r="DC169" s="144"/>
      <c r="DD169" s="144"/>
      <c r="DE169" s="144"/>
      <c r="DF169" s="144"/>
      <c r="DG169" s="144"/>
      <c r="DH169" s="144"/>
      <c r="DI169" s="144"/>
      <c r="DJ169" s="144"/>
      <c r="DK169" s="144"/>
      <c r="DL169" s="144"/>
      <c r="DM169" s="144"/>
      <c r="DN169" s="144"/>
      <c r="DO169" s="144"/>
      <c r="DP169" s="144"/>
      <c r="DQ169" s="144"/>
      <c r="DR169" s="144"/>
      <c r="DS169" s="144"/>
      <c r="DT169" s="144"/>
      <c r="DU169" s="144"/>
      <c r="DV169" s="144"/>
      <c r="DW169" s="144"/>
      <c r="DX169" s="144"/>
      <c r="DY169" s="144"/>
      <c r="DZ169" s="144"/>
      <c r="EA169" s="144"/>
      <c r="EB169" s="144"/>
      <c r="EC169" s="144"/>
      <c r="ED169" s="144"/>
      <c r="EE169" s="144"/>
      <c r="EF169" s="144"/>
      <c r="EG169" s="144"/>
      <c r="EH169" s="144"/>
      <c r="EI169" s="144"/>
      <c r="EJ169" s="144"/>
      <c r="EK169" s="144"/>
      <c r="EL169" s="144"/>
      <c r="EM169" s="144"/>
      <c r="EN169" s="144"/>
      <c r="EO169" s="144"/>
      <c r="EP169" s="144"/>
      <c r="EQ169" s="144"/>
      <c r="ER169" s="144"/>
      <c r="ES169" s="144"/>
      <c r="ET169" s="144"/>
      <c r="EU169" s="144"/>
      <c r="EV169" s="144"/>
      <c r="EW169" s="144"/>
      <c r="EX169" s="144"/>
      <c r="EY169" s="144"/>
      <c r="EZ169" s="144"/>
      <c r="FA169" s="144"/>
      <c r="FB169" s="144"/>
      <c r="FC169" s="144"/>
      <c r="FD169" s="144"/>
      <c r="FE169" s="144"/>
      <c r="FF169" s="144"/>
      <c r="FG169" s="144"/>
      <c r="FH169" s="144"/>
      <c r="FI169" s="144"/>
      <c r="FJ169" s="144"/>
      <c r="FK169" s="144"/>
      <c r="FL169" s="144"/>
      <c r="FM169" s="144"/>
      <c r="FN169" s="144"/>
      <c r="FO169" s="144"/>
      <c r="FP169" s="144"/>
      <c r="FQ169" s="144"/>
      <c r="FR169" s="144"/>
      <c r="FS169" s="144"/>
      <c r="FT169" s="144"/>
      <c r="FU169" s="144"/>
      <c r="FV169" s="144"/>
      <c r="FW169" s="144"/>
      <c r="FX169" s="144"/>
    </row>
    <row r="170" spans="1:180" s="56" customFormat="1" x14ac:dyDescent="0.2">
      <c r="A170" s="67"/>
      <c r="B170" s="66"/>
      <c r="C170" s="65">
        <f t="shared" si="19"/>
        <v>0</v>
      </c>
      <c r="D170" s="49"/>
      <c r="E170" s="65">
        <f t="shared" si="20"/>
        <v>0</v>
      </c>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144"/>
      <c r="BC170" s="144"/>
      <c r="BD170" s="144"/>
      <c r="BE170" s="144"/>
      <c r="BF170" s="144"/>
      <c r="BG170" s="144"/>
      <c r="BH170" s="144"/>
      <c r="BI170" s="144"/>
      <c r="BJ170" s="144"/>
      <c r="BK170" s="144"/>
      <c r="BL170" s="144"/>
      <c r="BM170" s="144"/>
      <c r="BN170" s="144"/>
      <c r="BO170" s="144"/>
      <c r="BP170" s="144"/>
      <c r="BQ170" s="144"/>
      <c r="BR170" s="144"/>
      <c r="BS170" s="144"/>
      <c r="BT170" s="144"/>
      <c r="BU170" s="144"/>
      <c r="BV170" s="144"/>
      <c r="BW170" s="144"/>
      <c r="BX170" s="144"/>
      <c r="BY170" s="144"/>
      <c r="BZ170" s="144"/>
      <c r="CA170" s="144"/>
      <c r="CB170" s="144"/>
      <c r="CC170" s="144"/>
      <c r="CD170" s="144"/>
      <c r="CE170" s="144"/>
      <c r="CF170" s="144"/>
      <c r="CG170" s="144"/>
      <c r="CH170" s="144"/>
      <c r="CI170" s="144"/>
      <c r="CJ170" s="144"/>
      <c r="CK170" s="144"/>
      <c r="CL170" s="144"/>
      <c r="CM170" s="144"/>
      <c r="CN170" s="144"/>
      <c r="CO170" s="144"/>
      <c r="CP170" s="144"/>
      <c r="CQ170" s="144"/>
      <c r="CR170" s="144"/>
      <c r="CS170" s="144"/>
      <c r="CT170" s="144"/>
      <c r="CU170" s="144"/>
      <c r="CV170" s="144"/>
      <c r="CW170" s="144"/>
      <c r="CX170" s="144"/>
      <c r="CY170" s="144"/>
      <c r="CZ170" s="144"/>
      <c r="DA170" s="144"/>
      <c r="DB170" s="144"/>
      <c r="DC170" s="144"/>
      <c r="DD170" s="144"/>
      <c r="DE170" s="144"/>
      <c r="DF170" s="144"/>
      <c r="DG170" s="144"/>
      <c r="DH170" s="144"/>
      <c r="DI170" s="144"/>
      <c r="DJ170" s="144"/>
      <c r="DK170" s="144"/>
      <c r="DL170" s="144"/>
      <c r="DM170" s="144"/>
      <c r="DN170" s="144"/>
      <c r="DO170" s="144"/>
      <c r="DP170" s="144"/>
      <c r="DQ170" s="144"/>
      <c r="DR170" s="144"/>
      <c r="DS170" s="144"/>
      <c r="DT170" s="144"/>
      <c r="DU170" s="144"/>
      <c r="DV170" s="144"/>
      <c r="DW170" s="144"/>
      <c r="DX170" s="144"/>
      <c r="DY170" s="144"/>
      <c r="DZ170" s="144"/>
      <c r="EA170" s="144"/>
      <c r="EB170" s="144"/>
      <c r="EC170" s="144"/>
      <c r="ED170" s="144"/>
      <c r="EE170" s="144"/>
      <c r="EF170" s="144"/>
      <c r="EG170" s="144"/>
      <c r="EH170" s="144"/>
      <c r="EI170" s="144"/>
      <c r="EJ170" s="144"/>
      <c r="EK170" s="144"/>
      <c r="EL170" s="144"/>
      <c r="EM170" s="144"/>
      <c r="EN170" s="144"/>
      <c r="EO170" s="144"/>
      <c r="EP170" s="144"/>
      <c r="EQ170" s="144"/>
      <c r="ER170" s="144"/>
      <c r="ES170" s="144"/>
      <c r="ET170" s="144"/>
      <c r="EU170" s="144"/>
      <c r="EV170" s="144"/>
      <c r="EW170" s="144"/>
      <c r="EX170" s="144"/>
      <c r="EY170" s="144"/>
      <c r="EZ170" s="144"/>
      <c r="FA170" s="144"/>
      <c r="FB170" s="144"/>
      <c r="FC170" s="144"/>
      <c r="FD170" s="144"/>
      <c r="FE170" s="144"/>
      <c r="FF170" s="144"/>
      <c r="FG170" s="144"/>
      <c r="FH170" s="144"/>
      <c r="FI170" s="144"/>
      <c r="FJ170" s="144"/>
      <c r="FK170" s="144"/>
      <c r="FL170" s="144"/>
      <c r="FM170" s="144"/>
      <c r="FN170" s="144"/>
      <c r="FO170" s="144"/>
      <c r="FP170" s="144"/>
      <c r="FQ170" s="144"/>
      <c r="FR170" s="144"/>
      <c r="FS170" s="144"/>
      <c r="FT170" s="144"/>
      <c r="FU170" s="144"/>
      <c r="FV170" s="144"/>
      <c r="FW170" s="144"/>
      <c r="FX170" s="144"/>
    </row>
    <row r="171" spans="1:180" s="56" customFormat="1" x14ac:dyDescent="0.2">
      <c r="A171" s="67"/>
      <c r="B171" s="66"/>
      <c r="C171" s="65">
        <f t="shared" si="19"/>
        <v>0</v>
      </c>
      <c r="D171" s="49"/>
      <c r="E171" s="65">
        <f t="shared" si="20"/>
        <v>0</v>
      </c>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c r="AX171" s="144"/>
      <c r="AY171" s="144"/>
      <c r="AZ171" s="144"/>
      <c r="BA171" s="144"/>
      <c r="BB171" s="144"/>
      <c r="BC171" s="144"/>
      <c r="BD171" s="144"/>
      <c r="BE171" s="144"/>
      <c r="BF171" s="144"/>
      <c r="BG171" s="144"/>
      <c r="BH171" s="144"/>
      <c r="BI171" s="144"/>
      <c r="BJ171" s="144"/>
      <c r="BK171" s="144"/>
      <c r="BL171" s="144"/>
      <c r="BM171" s="144"/>
      <c r="BN171" s="144"/>
      <c r="BO171" s="144"/>
      <c r="BP171" s="144"/>
      <c r="BQ171" s="144"/>
      <c r="BR171" s="144"/>
      <c r="BS171" s="144"/>
      <c r="BT171" s="144"/>
      <c r="BU171" s="144"/>
      <c r="BV171" s="144"/>
      <c r="BW171" s="144"/>
      <c r="BX171" s="144"/>
      <c r="BY171" s="144"/>
      <c r="BZ171" s="144"/>
      <c r="CA171" s="144"/>
      <c r="CB171" s="144"/>
      <c r="CC171" s="144"/>
      <c r="CD171" s="144"/>
      <c r="CE171" s="144"/>
      <c r="CF171" s="144"/>
      <c r="CG171" s="144"/>
      <c r="CH171" s="144"/>
      <c r="CI171" s="144"/>
      <c r="CJ171" s="144"/>
      <c r="CK171" s="144"/>
      <c r="CL171" s="144"/>
      <c r="CM171" s="144"/>
      <c r="CN171" s="144"/>
      <c r="CO171" s="144"/>
      <c r="CP171" s="144"/>
      <c r="CQ171" s="144"/>
      <c r="CR171" s="144"/>
      <c r="CS171" s="144"/>
      <c r="CT171" s="144"/>
      <c r="CU171" s="144"/>
      <c r="CV171" s="144"/>
      <c r="CW171" s="144"/>
      <c r="CX171" s="144"/>
      <c r="CY171" s="144"/>
      <c r="CZ171" s="144"/>
      <c r="DA171" s="144"/>
      <c r="DB171" s="144"/>
      <c r="DC171" s="144"/>
      <c r="DD171" s="144"/>
      <c r="DE171" s="144"/>
      <c r="DF171" s="144"/>
      <c r="DG171" s="144"/>
      <c r="DH171" s="144"/>
      <c r="DI171" s="144"/>
      <c r="DJ171" s="144"/>
      <c r="DK171" s="144"/>
      <c r="DL171" s="144"/>
      <c r="DM171" s="144"/>
      <c r="DN171" s="144"/>
      <c r="DO171" s="144"/>
      <c r="DP171" s="144"/>
      <c r="DQ171" s="144"/>
      <c r="DR171" s="144"/>
      <c r="DS171" s="144"/>
      <c r="DT171" s="144"/>
      <c r="DU171" s="144"/>
      <c r="DV171" s="144"/>
      <c r="DW171" s="144"/>
      <c r="DX171" s="144"/>
      <c r="DY171" s="144"/>
      <c r="DZ171" s="144"/>
      <c r="EA171" s="144"/>
      <c r="EB171" s="144"/>
      <c r="EC171" s="144"/>
      <c r="ED171" s="144"/>
      <c r="EE171" s="144"/>
      <c r="EF171" s="144"/>
      <c r="EG171" s="144"/>
      <c r="EH171" s="144"/>
      <c r="EI171" s="144"/>
      <c r="EJ171" s="144"/>
      <c r="EK171" s="144"/>
      <c r="EL171" s="144"/>
      <c r="EM171" s="144"/>
      <c r="EN171" s="144"/>
      <c r="EO171" s="144"/>
      <c r="EP171" s="144"/>
      <c r="EQ171" s="144"/>
      <c r="ER171" s="144"/>
      <c r="ES171" s="144"/>
      <c r="ET171" s="144"/>
      <c r="EU171" s="144"/>
      <c r="EV171" s="144"/>
      <c r="EW171" s="144"/>
      <c r="EX171" s="144"/>
      <c r="EY171" s="144"/>
      <c r="EZ171" s="144"/>
      <c r="FA171" s="144"/>
      <c r="FB171" s="144"/>
      <c r="FC171" s="144"/>
      <c r="FD171" s="144"/>
      <c r="FE171" s="144"/>
      <c r="FF171" s="144"/>
      <c r="FG171" s="144"/>
      <c r="FH171" s="144"/>
      <c r="FI171" s="144"/>
      <c r="FJ171" s="144"/>
      <c r="FK171" s="144"/>
      <c r="FL171" s="144"/>
      <c r="FM171" s="144"/>
      <c r="FN171" s="144"/>
      <c r="FO171" s="144"/>
      <c r="FP171" s="144"/>
      <c r="FQ171" s="144"/>
      <c r="FR171" s="144"/>
      <c r="FS171" s="144"/>
      <c r="FT171" s="144"/>
      <c r="FU171" s="144"/>
      <c r="FV171" s="144"/>
      <c r="FW171" s="144"/>
      <c r="FX171" s="144"/>
    </row>
    <row r="172" spans="1:180" s="56" customFormat="1" x14ac:dyDescent="0.2">
      <c r="A172" s="67"/>
      <c r="B172" s="66"/>
      <c r="C172" s="65">
        <f t="shared" ref="C172:C203" si="21">E172*D$5</f>
        <v>0</v>
      </c>
      <c r="D172" s="49"/>
      <c r="E172" s="65">
        <f t="shared" si="20"/>
        <v>0</v>
      </c>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4"/>
      <c r="BQ172" s="144"/>
      <c r="BR172" s="144"/>
      <c r="BS172" s="144"/>
      <c r="BT172" s="144"/>
      <c r="BU172" s="144"/>
      <c r="BV172" s="144"/>
      <c r="BW172" s="144"/>
      <c r="BX172" s="144"/>
      <c r="BY172" s="144"/>
      <c r="BZ172" s="144"/>
      <c r="CA172" s="144"/>
      <c r="CB172" s="144"/>
      <c r="CC172" s="144"/>
      <c r="CD172" s="144"/>
      <c r="CE172" s="144"/>
      <c r="CF172" s="144"/>
      <c r="CG172" s="144"/>
      <c r="CH172" s="144"/>
      <c r="CI172" s="144"/>
      <c r="CJ172" s="144"/>
      <c r="CK172" s="144"/>
      <c r="CL172" s="144"/>
      <c r="CM172" s="144"/>
      <c r="CN172" s="144"/>
      <c r="CO172" s="144"/>
      <c r="CP172" s="144"/>
      <c r="CQ172" s="144"/>
      <c r="CR172" s="144"/>
      <c r="CS172" s="144"/>
      <c r="CT172" s="144"/>
      <c r="CU172" s="144"/>
      <c r="CV172" s="144"/>
      <c r="CW172" s="144"/>
      <c r="CX172" s="144"/>
      <c r="CY172" s="144"/>
      <c r="CZ172" s="144"/>
      <c r="DA172" s="144"/>
      <c r="DB172" s="144"/>
      <c r="DC172" s="144"/>
      <c r="DD172" s="144"/>
      <c r="DE172" s="144"/>
      <c r="DF172" s="144"/>
      <c r="DG172" s="144"/>
      <c r="DH172" s="144"/>
      <c r="DI172" s="144"/>
      <c r="DJ172" s="144"/>
      <c r="DK172" s="144"/>
      <c r="DL172" s="144"/>
      <c r="DM172" s="144"/>
      <c r="DN172" s="144"/>
      <c r="DO172" s="144"/>
      <c r="DP172" s="144"/>
      <c r="DQ172" s="144"/>
      <c r="DR172" s="144"/>
      <c r="DS172" s="144"/>
      <c r="DT172" s="144"/>
      <c r="DU172" s="144"/>
      <c r="DV172" s="144"/>
      <c r="DW172" s="144"/>
      <c r="DX172" s="144"/>
      <c r="DY172" s="144"/>
      <c r="DZ172" s="144"/>
      <c r="EA172" s="144"/>
      <c r="EB172" s="144"/>
      <c r="EC172" s="144"/>
      <c r="ED172" s="144"/>
      <c r="EE172" s="144"/>
      <c r="EF172" s="144"/>
      <c r="EG172" s="144"/>
      <c r="EH172" s="144"/>
      <c r="EI172" s="144"/>
      <c r="EJ172" s="144"/>
      <c r="EK172" s="144"/>
      <c r="EL172" s="144"/>
      <c r="EM172" s="144"/>
      <c r="EN172" s="144"/>
      <c r="EO172" s="144"/>
      <c r="EP172" s="144"/>
      <c r="EQ172" s="144"/>
      <c r="ER172" s="144"/>
      <c r="ES172" s="144"/>
      <c r="ET172" s="144"/>
      <c r="EU172" s="144"/>
      <c r="EV172" s="144"/>
      <c r="EW172" s="144"/>
      <c r="EX172" s="144"/>
      <c r="EY172" s="144"/>
      <c r="EZ172" s="144"/>
      <c r="FA172" s="144"/>
      <c r="FB172" s="144"/>
      <c r="FC172" s="144"/>
      <c r="FD172" s="144"/>
      <c r="FE172" s="144"/>
      <c r="FF172" s="144"/>
      <c r="FG172" s="144"/>
      <c r="FH172" s="144"/>
      <c r="FI172" s="144"/>
      <c r="FJ172" s="144"/>
      <c r="FK172" s="144"/>
      <c r="FL172" s="144"/>
      <c r="FM172" s="144"/>
      <c r="FN172" s="144"/>
      <c r="FO172" s="144"/>
      <c r="FP172" s="144"/>
      <c r="FQ172" s="144"/>
      <c r="FR172" s="144"/>
      <c r="FS172" s="144"/>
      <c r="FT172" s="144"/>
      <c r="FU172" s="144"/>
      <c r="FV172" s="144"/>
      <c r="FW172" s="144"/>
      <c r="FX172" s="144"/>
    </row>
    <row r="173" spans="1:180" s="56" customFormat="1" x14ac:dyDescent="0.2">
      <c r="A173" s="67"/>
      <c r="B173" s="66"/>
      <c r="C173" s="65">
        <f t="shared" si="21"/>
        <v>0</v>
      </c>
      <c r="D173" s="49"/>
      <c r="E173" s="65">
        <f t="shared" si="20"/>
        <v>0</v>
      </c>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44"/>
      <c r="BN173" s="144"/>
      <c r="BO173" s="144"/>
      <c r="BP173" s="144"/>
      <c r="BQ173" s="144"/>
      <c r="BR173" s="144"/>
      <c r="BS173" s="144"/>
      <c r="BT173" s="144"/>
      <c r="BU173" s="144"/>
      <c r="BV173" s="144"/>
      <c r="BW173" s="144"/>
      <c r="BX173" s="144"/>
      <c r="BY173" s="144"/>
      <c r="BZ173" s="144"/>
      <c r="CA173" s="144"/>
      <c r="CB173" s="144"/>
      <c r="CC173" s="144"/>
      <c r="CD173" s="144"/>
      <c r="CE173" s="144"/>
      <c r="CF173" s="144"/>
      <c r="CG173" s="144"/>
      <c r="CH173" s="144"/>
      <c r="CI173" s="144"/>
      <c r="CJ173" s="144"/>
      <c r="CK173" s="144"/>
      <c r="CL173" s="144"/>
      <c r="CM173" s="144"/>
      <c r="CN173" s="144"/>
      <c r="CO173" s="144"/>
      <c r="CP173" s="144"/>
      <c r="CQ173" s="144"/>
      <c r="CR173" s="144"/>
      <c r="CS173" s="144"/>
      <c r="CT173" s="144"/>
      <c r="CU173" s="144"/>
      <c r="CV173" s="144"/>
      <c r="CW173" s="144"/>
      <c r="CX173" s="144"/>
      <c r="CY173" s="144"/>
      <c r="CZ173" s="144"/>
      <c r="DA173" s="144"/>
      <c r="DB173" s="144"/>
      <c r="DC173" s="144"/>
      <c r="DD173" s="144"/>
      <c r="DE173" s="144"/>
      <c r="DF173" s="144"/>
      <c r="DG173" s="144"/>
      <c r="DH173" s="144"/>
      <c r="DI173" s="144"/>
      <c r="DJ173" s="144"/>
      <c r="DK173" s="144"/>
      <c r="DL173" s="144"/>
      <c r="DM173" s="144"/>
      <c r="DN173" s="144"/>
      <c r="DO173" s="144"/>
      <c r="DP173" s="144"/>
      <c r="DQ173" s="144"/>
      <c r="DR173" s="144"/>
      <c r="DS173" s="144"/>
      <c r="DT173" s="144"/>
      <c r="DU173" s="144"/>
      <c r="DV173" s="144"/>
      <c r="DW173" s="144"/>
      <c r="DX173" s="144"/>
      <c r="DY173" s="144"/>
      <c r="DZ173" s="144"/>
      <c r="EA173" s="144"/>
      <c r="EB173" s="144"/>
      <c r="EC173" s="144"/>
      <c r="ED173" s="144"/>
      <c r="EE173" s="144"/>
      <c r="EF173" s="144"/>
      <c r="EG173" s="144"/>
      <c r="EH173" s="144"/>
      <c r="EI173" s="144"/>
      <c r="EJ173" s="144"/>
      <c r="EK173" s="144"/>
      <c r="EL173" s="144"/>
      <c r="EM173" s="144"/>
      <c r="EN173" s="144"/>
      <c r="EO173" s="144"/>
      <c r="EP173" s="144"/>
      <c r="EQ173" s="144"/>
      <c r="ER173" s="144"/>
      <c r="ES173" s="144"/>
      <c r="ET173" s="144"/>
      <c r="EU173" s="144"/>
      <c r="EV173" s="144"/>
      <c r="EW173" s="144"/>
      <c r="EX173" s="144"/>
      <c r="EY173" s="144"/>
      <c r="EZ173" s="144"/>
      <c r="FA173" s="144"/>
      <c r="FB173" s="144"/>
      <c r="FC173" s="144"/>
      <c r="FD173" s="144"/>
      <c r="FE173" s="144"/>
      <c r="FF173" s="144"/>
      <c r="FG173" s="144"/>
      <c r="FH173" s="144"/>
      <c r="FI173" s="144"/>
      <c r="FJ173" s="144"/>
      <c r="FK173" s="144"/>
      <c r="FL173" s="144"/>
      <c r="FM173" s="144"/>
      <c r="FN173" s="144"/>
      <c r="FO173" s="144"/>
      <c r="FP173" s="144"/>
      <c r="FQ173" s="144"/>
      <c r="FR173" s="144"/>
      <c r="FS173" s="144"/>
      <c r="FT173" s="144"/>
      <c r="FU173" s="144"/>
      <c r="FV173" s="144"/>
      <c r="FW173" s="144"/>
      <c r="FX173" s="144"/>
    </row>
    <row r="174" spans="1:180" s="56" customFormat="1" x14ac:dyDescent="0.2">
      <c r="A174" s="67"/>
      <c r="B174" s="66"/>
      <c r="C174" s="65">
        <f t="shared" si="21"/>
        <v>0</v>
      </c>
      <c r="D174" s="49"/>
      <c r="E174" s="65">
        <f t="shared" si="20"/>
        <v>0</v>
      </c>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44"/>
      <c r="BN174" s="144"/>
      <c r="BO174" s="144"/>
      <c r="BP174" s="144"/>
      <c r="BQ174" s="144"/>
      <c r="BR174" s="144"/>
      <c r="BS174" s="144"/>
      <c r="BT174" s="144"/>
      <c r="BU174" s="144"/>
      <c r="BV174" s="144"/>
      <c r="BW174" s="144"/>
      <c r="BX174" s="144"/>
      <c r="BY174" s="144"/>
      <c r="BZ174" s="144"/>
      <c r="CA174" s="144"/>
      <c r="CB174" s="144"/>
      <c r="CC174" s="144"/>
      <c r="CD174" s="144"/>
      <c r="CE174" s="144"/>
      <c r="CF174" s="144"/>
      <c r="CG174" s="144"/>
      <c r="CH174" s="144"/>
      <c r="CI174" s="144"/>
      <c r="CJ174" s="144"/>
      <c r="CK174" s="144"/>
      <c r="CL174" s="144"/>
      <c r="CM174" s="144"/>
      <c r="CN174" s="144"/>
      <c r="CO174" s="144"/>
      <c r="CP174" s="144"/>
      <c r="CQ174" s="144"/>
      <c r="CR174" s="144"/>
      <c r="CS174" s="144"/>
      <c r="CT174" s="144"/>
      <c r="CU174" s="144"/>
      <c r="CV174" s="144"/>
      <c r="CW174" s="144"/>
      <c r="CX174" s="144"/>
      <c r="CY174" s="144"/>
      <c r="CZ174" s="144"/>
      <c r="DA174" s="144"/>
      <c r="DB174" s="144"/>
      <c r="DC174" s="144"/>
      <c r="DD174" s="144"/>
      <c r="DE174" s="144"/>
      <c r="DF174" s="144"/>
      <c r="DG174" s="144"/>
      <c r="DH174" s="144"/>
      <c r="DI174" s="144"/>
      <c r="DJ174" s="144"/>
      <c r="DK174" s="144"/>
      <c r="DL174" s="144"/>
      <c r="DM174" s="144"/>
      <c r="DN174" s="144"/>
      <c r="DO174" s="144"/>
      <c r="DP174" s="144"/>
      <c r="DQ174" s="144"/>
      <c r="DR174" s="144"/>
      <c r="DS174" s="144"/>
      <c r="DT174" s="144"/>
      <c r="DU174" s="144"/>
      <c r="DV174" s="144"/>
      <c r="DW174" s="144"/>
      <c r="DX174" s="144"/>
      <c r="DY174" s="144"/>
      <c r="DZ174" s="144"/>
      <c r="EA174" s="144"/>
      <c r="EB174" s="144"/>
      <c r="EC174" s="144"/>
      <c r="ED174" s="144"/>
      <c r="EE174" s="144"/>
      <c r="EF174" s="144"/>
      <c r="EG174" s="144"/>
      <c r="EH174" s="144"/>
      <c r="EI174" s="144"/>
      <c r="EJ174" s="144"/>
      <c r="EK174" s="144"/>
      <c r="EL174" s="144"/>
      <c r="EM174" s="144"/>
      <c r="EN174" s="144"/>
      <c r="EO174" s="144"/>
      <c r="EP174" s="144"/>
      <c r="EQ174" s="144"/>
      <c r="ER174" s="144"/>
      <c r="ES174" s="144"/>
      <c r="ET174" s="144"/>
      <c r="EU174" s="144"/>
      <c r="EV174" s="144"/>
      <c r="EW174" s="144"/>
      <c r="EX174" s="144"/>
      <c r="EY174" s="144"/>
      <c r="EZ174" s="144"/>
      <c r="FA174" s="144"/>
      <c r="FB174" s="144"/>
      <c r="FC174" s="144"/>
      <c r="FD174" s="144"/>
      <c r="FE174" s="144"/>
      <c r="FF174" s="144"/>
      <c r="FG174" s="144"/>
      <c r="FH174" s="144"/>
      <c r="FI174" s="144"/>
      <c r="FJ174" s="144"/>
      <c r="FK174" s="144"/>
      <c r="FL174" s="144"/>
      <c r="FM174" s="144"/>
      <c r="FN174" s="144"/>
      <c r="FO174" s="144"/>
      <c r="FP174" s="144"/>
      <c r="FQ174" s="144"/>
      <c r="FR174" s="144"/>
      <c r="FS174" s="144"/>
      <c r="FT174" s="144"/>
      <c r="FU174" s="144"/>
      <c r="FV174" s="144"/>
      <c r="FW174" s="144"/>
      <c r="FX174" s="144"/>
    </row>
    <row r="175" spans="1:180" s="56" customFormat="1" x14ac:dyDescent="0.2">
      <c r="A175" s="67"/>
      <c r="B175" s="66"/>
      <c r="C175" s="65">
        <f t="shared" si="21"/>
        <v>0</v>
      </c>
      <c r="D175" s="49"/>
      <c r="E175" s="65">
        <f t="shared" si="20"/>
        <v>0</v>
      </c>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44"/>
      <c r="BN175" s="144"/>
      <c r="BO175" s="144"/>
      <c r="BP175" s="144"/>
      <c r="BQ175" s="144"/>
      <c r="BR175" s="144"/>
      <c r="BS175" s="144"/>
      <c r="BT175" s="144"/>
      <c r="BU175" s="144"/>
      <c r="BV175" s="144"/>
      <c r="BW175" s="144"/>
      <c r="BX175" s="144"/>
      <c r="BY175" s="144"/>
      <c r="BZ175" s="144"/>
      <c r="CA175" s="144"/>
      <c r="CB175" s="144"/>
      <c r="CC175" s="144"/>
      <c r="CD175" s="144"/>
      <c r="CE175" s="144"/>
      <c r="CF175" s="144"/>
      <c r="CG175" s="144"/>
      <c r="CH175" s="144"/>
      <c r="CI175" s="144"/>
      <c r="CJ175" s="144"/>
      <c r="CK175" s="144"/>
      <c r="CL175" s="144"/>
      <c r="CM175" s="144"/>
      <c r="CN175" s="144"/>
      <c r="CO175" s="144"/>
      <c r="CP175" s="144"/>
      <c r="CQ175" s="144"/>
      <c r="CR175" s="144"/>
      <c r="CS175" s="144"/>
      <c r="CT175" s="144"/>
      <c r="CU175" s="144"/>
      <c r="CV175" s="144"/>
      <c r="CW175" s="144"/>
      <c r="CX175" s="144"/>
      <c r="CY175" s="144"/>
      <c r="CZ175" s="144"/>
      <c r="DA175" s="144"/>
      <c r="DB175" s="144"/>
      <c r="DC175" s="144"/>
      <c r="DD175" s="144"/>
      <c r="DE175" s="144"/>
      <c r="DF175" s="144"/>
      <c r="DG175" s="144"/>
      <c r="DH175" s="144"/>
      <c r="DI175" s="144"/>
      <c r="DJ175" s="144"/>
      <c r="DK175" s="144"/>
      <c r="DL175" s="144"/>
      <c r="DM175" s="144"/>
      <c r="DN175" s="144"/>
      <c r="DO175" s="144"/>
      <c r="DP175" s="144"/>
      <c r="DQ175" s="144"/>
      <c r="DR175" s="144"/>
      <c r="DS175" s="144"/>
      <c r="DT175" s="144"/>
      <c r="DU175" s="144"/>
      <c r="DV175" s="144"/>
      <c r="DW175" s="144"/>
      <c r="DX175" s="144"/>
      <c r="DY175" s="144"/>
      <c r="DZ175" s="144"/>
      <c r="EA175" s="144"/>
      <c r="EB175" s="144"/>
      <c r="EC175" s="144"/>
      <c r="ED175" s="144"/>
      <c r="EE175" s="144"/>
      <c r="EF175" s="144"/>
      <c r="EG175" s="144"/>
      <c r="EH175" s="144"/>
      <c r="EI175" s="144"/>
      <c r="EJ175" s="144"/>
      <c r="EK175" s="144"/>
      <c r="EL175" s="144"/>
      <c r="EM175" s="144"/>
      <c r="EN175" s="144"/>
      <c r="EO175" s="144"/>
      <c r="EP175" s="144"/>
      <c r="EQ175" s="144"/>
      <c r="ER175" s="144"/>
      <c r="ES175" s="144"/>
      <c r="ET175" s="144"/>
      <c r="EU175" s="144"/>
      <c r="EV175" s="144"/>
      <c r="EW175" s="144"/>
      <c r="EX175" s="144"/>
      <c r="EY175" s="144"/>
      <c r="EZ175" s="144"/>
      <c r="FA175" s="144"/>
      <c r="FB175" s="144"/>
      <c r="FC175" s="144"/>
      <c r="FD175" s="144"/>
      <c r="FE175" s="144"/>
      <c r="FF175" s="144"/>
      <c r="FG175" s="144"/>
      <c r="FH175" s="144"/>
      <c r="FI175" s="144"/>
      <c r="FJ175" s="144"/>
      <c r="FK175" s="144"/>
      <c r="FL175" s="144"/>
      <c r="FM175" s="144"/>
      <c r="FN175" s="144"/>
      <c r="FO175" s="144"/>
      <c r="FP175" s="144"/>
      <c r="FQ175" s="144"/>
      <c r="FR175" s="144"/>
      <c r="FS175" s="144"/>
      <c r="FT175" s="144"/>
      <c r="FU175" s="144"/>
      <c r="FV175" s="144"/>
      <c r="FW175" s="144"/>
      <c r="FX175" s="144"/>
    </row>
    <row r="176" spans="1:180" s="56" customFormat="1" x14ac:dyDescent="0.2">
      <c r="A176" s="67"/>
      <c r="B176" s="66"/>
      <c r="C176" s="65">
        <f t="shared" si="21"/>
        <v>0</v>
      </c>
      <c r="D176" s="49"/>
      <c r="E176" s="65">
        <f t="shared" si="20"/>
        <v>0</v>
      </c>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44"/>
      <c r="BN176" s="144"/>
      <c r="BO176" s="144"/>
      <c r="BP176" s="144"/>
      <c r="BQ176" s="144"/>
      <c r="BR176" s="144"/>
      <c r="BS176" s="144"/>
      <c r="BT176" s="144"/>
      <c r="BU176" s="144"/>
      <c r="BV176" s="144"/>
      <c r="BW176" s="144"/>
      <c r="BX176" s="144"/>
      <c r="BY176" s="144"/>
      <c r="BZ176" s="144"/>
      <c r="CA176" s="144"/>
      <c r="CB176" s="144"/>
      <c r="CC176" s="144"/>
      <c r="CD176" s="144"/>
      <c r="CE176" s="144"/>
      <c r="CF176" s="144"/>
      <c r="CG176" s="144"/>
      <c r="CH176" s="144"/>
      <c r="CI176" s="144"/>
      <c r="CJ176" s="144"/>
      <c r="CK176" s="144"/>
      <c r="CL176" s="144"/>
      <c r="CM176" s="144"/>
      <c r="CN176" s="144"/>
      <c r="CO176" s="144"/>
      <c r="CP176" s="144"/>
      <c r="CQ176" s="144"/>
      <c r="CR176" s="144"/>
      <c r="CS176" s="144"/>
      <c r="CT176" s="144"/>
      <c r="CU176" s="144"/>
      <c r="CV176" s="144"/>
      <c r="CW176" s="144"/>
      <c r="CX176" s="144"/>
      <c r="CY176" s="144"/>
      <c r="CZ176" s="144"/>
      <c r="DA176" s="144"/>
      <c r="DB176" s="144"/>
      <c r="DC176" s="144"/>
      <c r="DD176" s="144"/>
      <c r="DE176" s="144"/>
      <c r="DF176" s="144"/>
      <c r="DG176" s="144"/>
      <c r="DH176" s="144"/>
      <c r="DI176" s="144"/>
      <c r="DJ176" s="144"/>
      <c r="DK176" s="144"/>
      <c r="DL176" s="144"/>
      <c r="DM176" s="144"/>
      <c r="DN176" s="144"/>
      <c r="DO176" s="144"/>
      <c r="DP176" s="144"/>
      <c r="DQ176" s="144"/>
      <c r="DR176" s="144"/>
      <c r="DS176" s="144"/>
      <c r="DT176" s="144"/>
      <c r="DU176" s="144"/>
      <c r="DV176" s="144"/>
      <c r="DW176" s="144"/>
      <c r="DX176" s="144"/>
      <c r="DY176" s="144"/>
      <c r="DZ176" s="144"/>
      <c r="EA176" s="144"/>
      <c r="EB176" s="144"/>
      <c r="EC176" s="144"/>
      <c r="ED176" s="144"/>
      <c r="EE176" s="144"/>
      <c r="EF176" s="144"/>
      <c r="EG176" s="144"/>
      <c r="EH176" s="144"/>
      <c r="EI176" s="144"/>
      <c r="EJ176" s="144"/>
      <c r="EK176" s="144"/>
      <c r="EL176" s="144"/>
      <c r="EM176" s="144"/>
      <c r="EN176" s="144"/>
      <c r="EO176" s="144"/>
      <c r="EP176" s="144"/>
      <c r="EQ176" s="144"/>
      <c r="ER176" s="144"/>
      <c r="ES176" s="144"/>
      <c r="ET176" s="144"/>
      <c r="EU176" s="144"/>
      <c r="EV176" s="144"/>
      <c r="EW176" s="144"/>
      <c r="EX176" s="144"/>
      <c r="EY176" s="144"/>
      <c r="EZ176" s="144"/>
      <c r="FA176" s="144"/>
      <c r="FB176" s="144"/>
      <c r="FC176" s="144"/>
      <c r="FD176" s="144"/>
      <c r="FE176" s="144"/>
      <c r="FF176" s="144"/>
      <c r="FG176" s="144"/>
      <c r="FH176" s="144"/>
      <c r="FI176" s="144"/>
      <c r="FJ176" s="144"/>
      <c r="FK176" s="144"/>
      <c r="FL176" s="144"/>
      <c r="FM176" s="144"/>
      <c r="FN176" s="144"/>
      <c r="FO176" s="144"/>
      <c r="FP176" s="144"/>
      <c r="FQ176" s="144"/>
      <c r="FR176" s="144"/>
      <c r="FS176" s="144"/>
      <c r="FT176" s="144"/>
      <c r="FU176" s="144"/>
      <c r="FV176" s="144"/>
      <c r="FW176" s="144"/>
      <c r="FX176" s="144"/>
    </row>
    <row r="177" spans="1:180" s="56" customFormat="1" x14ac:dyDescent="0.2">
      <c r="A177" s="67"/>
      <c r="B177" s="66"/>
      <c r="C177" s="65">
        <f t="shared" si="21"/>
        <v>0</v>
      </c>
      <c r="D177" s="49"/>
      <c r="E177" s="65">
        <f t="shared" si="20"/>
        <v>0</v>
      </c>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44"/>
      <c r="BN177" s="144"/>
      <c r="BO177" s="144"/>
      <c r="BP177" s="144"/>
      <c r="BQ177" s="144"/>
      <c r="BR177" s="144"/>
      <c r="BS177" s="144"/>
      <c r="BT177" s="144"/>
      <c r="BU177" s="144"/>
      <c r="BV177" s="144"/>
      <c r="BW177" s="144"/>
      <c r="BX177" s="144"/>
      <c r="BY177" s="144"/>
      <c r="BZ177" s="144"/>
      <c r="CA177" s="144"/>
      <c r="CB177" s="144"/>
      <c r="CC177" s="144"/>
      <c r="CD177" s="144"/>
      <c r="CE177" s="144"/>
      <c r="CF177" s="144"/>
      <c r="CG177" s="144"/>
      <c r="CH177" s="144"/>
      <c r="CI177" s="144"/>
      <c r="CJ177" s="144"/>
      <c r="CK177" s="144"/>
      <c r="CL177" s="144"/>
      <c r="CM177" s="144"/>
      <c r="CN177" s="144"/>
      <c r="CO177" s="144"/>
      <c r="CP177" s="144"/>
      <c r="CQ177" s="144"/>
      <c r="CR177" s="144"/>
      <c r="CS177" s="144"/>
      <c r="CT177" s="144"/>
      <c r="CU177" s="144"/>
      <c r="CV177" s="144"/>
      <c r="CW177" s="144"/>
      <c r="CX177" s="144"/>
      <c r="CY177" s="144"/>
      <c r="CZ177" s="144"/>
      <c r="DA177" s="144"/>
      <c r="DB177" s="144"/>
      <c r="DC177" s="144"/>
      <c r="DD177" s="144"/>
      <c r="DE177" s="144"/>
      <c r="DF177" s="144"/>
      <c r="DG177" s="144"/>
      <c r="DH177" s="144"/>
      <c r="DI177" s="144"/>
      <c r="DJ177" s="144"/>
      <c r="DK177" s="144"/>
      <c r="DL177" s="144"/>
      <c r="DM177" s="144"/>
      <c r="DN177" s="144"/>
      <c r="DO177" s="144"/>
      <c r="DP177" s="144"/>
      <c r="DQ177" s="144"/>
      <c r="DR177" s="144"/>
      <c r="DS177" s="144"/>
      <c r="DT177" s="144"/>
      <c r="DU177" s="144"/>
      <c r="DV177" s="144"/>
      <c r="DW177" s="144"/>
      <c r="DX177" s="144"/>
      <c r="DY177" s="144"/>
      <c r="DZ177" s="144"/>
      <c r="EA177" s="144"/>
      <c r="EB177" s="144"/>
      <c r="EC177" s="144"/>
      <c r="ED177" s="144"/>
      <c r="EE177" s="144"/>
      <c r="EF177" s="144"/>
      <c r="EG177" s="144"/>
      <c r="EH177" s="144"/>
      <c r="EI177" s="144"/>
      <c r="EJ177" s="144"/>
      <c r="EK177" s="144"/>
      <c r="EL177" s="144"/>
      <c r="EM177" s="144"/>
      <c r="EN177" s="144"/>
      <c r="EO177" s="144"/>
      <c r="EP177" s="144"/>
      <c r="EQ177" s="144"/>
      <c r="ER177" s="144"/>
      <c r="ES177" s="144"/>
      <c r="ET177" s="144"/>
      <c r="EU177" s="144"/>
      <c r="EV177" s="144"/>
      <c r="EW177" s="144"/>
      <c r="EX177" s="144"/>
      <c r="EY177" s="144"/>
      <c r="EZ177" s="144"/>
      <c r="FA177" s="144"/>
      <c r="FB177" s="144"/>
      <c r="FC177" s="144"/>
      <c r="FD177" s="144"/>
      <c r="FE177" s="144"/>
      <c r="FF177" s="144"/>
      <c r="FG177" s="144"/>
      <c r="FH177" s="144"/>
      <c r="FI177" s="144"/>
      <c r="FJ177" s="144"/>
      <c r="FK177" s="144"/>
      <c r="FL177" s="144"/>
      <c r="FM177" s="144"/>
      <c r="FN177" s="144"/>
      <c r="FO177" s="144"/>
      <c r="FP177" s="144"/>
      <c r="FQ177" s="144"/>
      <c r="FR177" s="144"/>
      <c r="FS177" s="144"/>
      <c r="FT177" s="144"/>
      <c r="FU177" s="144"/>
      <c r="FV177" s="144"/>
      <c r="FW177" s="144"/>
      <c r="FX177" s="144"/>
    </row>
    <row r="178" spans="1:180" s="56" customFormat="1" x14ac:dyDescent="0.2">
      <c r="A178" s="67"/>
      <c r="B178" s="66"/>
      <c r="C178" s="65">
        <f t="shared" si="21"/>
        <v>0</v>
      </c>
      <c r="D178" s="49"/>
      <c r="E178" s="65">
        <f t="shared" si="20"/>
        <v>0</v>
      </c>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c r="BC178" s="144"/>
      <c r="BD178" s="144"/>
      <c r="BE178" s="144"/>
      <c r="BF178" s="144"/>
      <c r="BG178" s="144"/>
      <c r="BH178" s="144"/>
      <c r="BI178" s="144"/>
      <c r="BJ178" s="144"/>
      <c r="BK178" s="144"/>
      <c r="BL178" s="144"/>
      <c r="BM178" s="144"/>
      <c r="BN178" s="144"/>
      <c r="BO178" s="144"/>
      <c r="BP178" s="144"/>
      <c r="BQ178" s="144"/>
      <c r="BR178" s="144"/>
      <c r="BS178" s="144"/>
      <c r="BT178" s="144"/>
      <c r="BU178" s="144"/>
      <c r="BV178" s="144"/>
      <c r="BW178" s="144"/>
      <c r="BX178" s="144"/>
      <c r="BY178" s="144"/>
      <c r="BZ178" s="144"/>
      <c r="CA178" s="144"/>
      <c r="CB178" s="144"/>
      <c r="CC178" s="144"/>
      <c r="CD178" s="144"/>
      <c r="CE178" s="144"/>
      <c r="CF178" s="144"/>
      <c r="CG178" s="144"/>
      <c r="CH178" s="144"/>
      <c r="CI178" s="144"/>
      <c r="CJ178" s="144"/>
      <c r="CK178" s="144"/>
      <c r="CL178" s="144"/>
      <c r="CM178" s="144"/>
      <c r="CN178" s="144"/>
      <c r="CO178" s="144"/>
      <c r="CP178" s="144"/>
      <c r="CQ178" s="144"/>
      <c r="CR178" s="144"/>
      <c r="CS178" s="144"/>
      <c r="CT178" s="144"/>
      <c r="CU178" s="144"/>
      <c r="CV178" s="144"/>
      <c r="CW178" s="144"/>
      <c r="CX178" s="144"/>
      <c r="CY178" s="144"/>
      <c r="CZ178" s="144"/>
      <c r="DA178" s="144"/>
      <c r="DB178" s="144"/>
      <c r="DC178" s="144"/>
      <c r="DD178" s="144"/>
      <c r="DE178" s="144"/>
      <c r="DF178" s="144"/>
      <c r="DG178" s="144"/>
      <c r="DH178" s="144"/>
      <c r="DI178" s="144"/>
      <c r="DJ178" s="144"/>
      <c r="DK178" s="144"/>
      <c r="DL178" s="144"/>
      <c r="DM178" s="144"/>
      <c r="DN178" s="144"/>
      <c r="DO178" s="144"/>
      <c r="DP178" s="144"/>
      <c r="DQ178" s="144"/>
      <c r="DR178" s="144"/>
      <c r="DS178" s="144"/>
      <c r="DT178" s="144"/>
      <c r="DU178" s="144"/>
      <c r="DV178" s="144"/>
      <c r="DW178" s="144"/>
      <c r="DX178" s="144"/>
      <c r="DY178" s="144"/>
      <c r="DZ178" s="144"/>
      <c r="EA178" s="144"/>
      <c r="EB178" s="144"/>
      <c r="EC178" s="144"/>
      <c r="ED178" s="144"/>
      <c r="EE178" s="144"/>
      <c r="EF178" s="144"/>
      <c r="EG178" s="144"/>
      <c r="EH178" s="144"/>
      <c r="EI178" s="144"/>
      <c r="EJ178" s="144"/>
      <c r="EK178" s="144"/>
      <c r="EL178" s="144"/>
      <c r="EM178" s="144"/>
      <c r="EN178" s="144"/>
      <c r="EO178" s="144"/>
      <c r="EP178" s="144"/>
      <c r="EQ178" s="144"/>
      <c r="ER178" s="144"/>
      <c r="ES178" s="144"/>
      <c r="ET178" s="144"/>
      <c r="EU178" s="144"/>
      <c r="EV178" s="144"/>
      <c r="EW178" s="144"/>
      <c r="EX178" s="144"/>
      <c r="EY178" s="144"/>
      <c r="EZ178" s="144"/>
      <c r="FA178" s="144"/>
      <c r="FB178" s="144"/>
      <c r="FC178" s="144"/>
      <c r="FD178" s="144"/>
      <c r="FE178" s="144"/>
      <c r="FF178" s="144"/>
      <c r="FG178" s="144"/>
      <c r="FH178" s="144"/>
      <c r="FI178" s="144"/>
      <c r="FJ178" s="144"/>
      <c r="FK178" s="144"/>
      <c r="FL178" s="144"/>
      <c r="FM178" s="144"/>
      <c r="FN178" s="144"/>
      <c r="FO178" s="144"/>
      <c r="FP178" s="144"/>
      <c r="FQ178" s="144"/>
      <c r="FR178" s="144"/>
      <c r="FS178" s="144"/>
      <c r="FT178" s="144"/>
      <c r="FU178" s="144"/>
      <c r="FV178" s="144"/>
      <c r="FW178" s="144"/>
      <c r="FX178" s="144"/>
    </row>
    <row r="179" spans="1:180" s="56" customFormat="1" x14ac:dyDescent="0.2">
      <c r="A179" s="67"/>
      <c r="B179" s="66"/>
      <c r="C179" s="65">
        <f t="shared" si="21"/>
        <v>0</v>
      </c>
      <c r="D179" s="49"/>
      <c r="E179" s="65">
        <f t="shared" si="20"/>
        <v>0</v>
      </c>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c r="BC179" s="144"/>
      <c r="BD179" s="144"/>
      <c r="BE179" s="144"/>
      <c r="BF179" s="144"/>
      <c r="BG179" s="144"/>
      <c r="BH179" s="144"/>
      <c r="BI179" s="144"/>
      <c r="BJ179" s="144"/>
      <c r="BK179" s="144"/>
      <c r="BL179" s="144"/>
      <c r="BM179" s="144"/>
      <c r="BN179" s="144"/>
      <c r="BO179" s="144"/>
      <c r="BP179" s="144"/>
      <c r="BQ179" s="144"/>
      <c r="BR179" s="144"/>
      <c r="BS179" s="144"/>
      <c r="BT179" s="144"/>
      <c r="BU179" s="144"/>
      <c r="BV179" s="144"/>
      <c r="BW179" s="144"/>
      <c r="BX179" s="144"/>
      <c r="BY179" s="144"/>
      <c r="BZ179" s="144"/>
      <c r="CA179" s="144"/>
      <c r="CB179" s="144"/>
      <c r="CC179" s="144"/>
      <c r="CD179" s="144"/>
      <c r="CE179" s="144"/>
      <c r="CF179" s="144"/>
      <c r="CG179" s="144"/>
      <c r="CH179" s="144"/>
      <c r="CI179" s="144"/>
      <c r="CJ179" s="144"/>
      <c r="CK179" s="144"/>
      <c r="CL179" s="144"/>
      <c r="CM179" s="144"/>
      <c r="CN179" s="144"/>
      <c r="CO179" s="144"/>
      <c r="CP179" s="144"/>
      <c r="CQ179" s="144"/>
      <c r="CR179" s="144"/>
      <c r="CS179" s="144"/>
      <c r="CT179" s="144"/>
      <c r="CU179" s="144"/>
      <c r="CV179" s="144"/>
      <c r="CW179" s="144"/>
      <c r="CX179" s="144"/>
      <c r="CY179" s="144"/>
      <c r="CZ179" s="144"/>
      <c r="DA179" s="144"/>
      <c r="DB179" s="144"/>
      <c r="DC179" s="144"/>
      <c r="DD179" s="144"/>
      <c r="DE179" s="144"/>
      <c r="DF179" s="144"/>
      <c r="DG179" s="144"/>
      <c r="DH179" s="144"/>
      <c r="DI179" s="144"/>
      <c r="DJ179" s="144"/>
      <c r="DK179" s="144"/>
      <c r="DL179" s="144"/>
      <c r="DM179" s="144"/>
      <c r="DN179" s="144"/>
      <c r="DO179" s="144"/>
      <c r="DP179" s="144"/>
      <c r="DQ179" s="144"/>
      <c r="DR179" s="144"/>
      <c r="DS179" s="144"/>
      <c r="DT179" s="144"/>
      <c r="DU179" s="144"/>
      <c r="DV179" s="144"/>
      <c r="DW179" s="144"/>
      <c r="DX179" s="144"/>
      <c r="DY179" s="144"/>
      <c r="DZ179" s="144"/>
      <c r="EA179" s="144"/>
      <c r="EB179" s="144"/>
      <c r="EC179" s="144"/>
      <c r="ED179" s="144"/>
      <c r="EE179" s="144"/>
      <c r="EF179" s="144"/>
      <c r="EG179" s="144"/>
      <c r="EH179" s="144"/>
      <c r="EI179" s="144"/>
      <c r="EJ179" s="144"/>
      <c r="EK179" s="144"/>
      <c r="EL179" s="144"/>
      <c r="EM179" s="144"/>
      <c r="EN179" s="144"/>
      <c r="EO179" s="144"/>
      <c r="EP179" s="144"/>
      <c r="EQ179" s="144"/>
      <c r="ER179" s="144"/>
      <c r="ES179" s="144"/>
      <c r="ET179" s="144"/>
      <c r="EU179" s="144"/>
      <c r="EV179" s="144"/>
      <c r="EW179" s="144"/>
      <c r="EX179" s="144"/>
      <c r="EY179" s="144"/>
      <c r="EZ179" s="144"/>
      <c r="FA179" s="144"/>
      <c r="FB179" s="144"/>
      <c r="FC179" s="144"/>
      <c r="FD179" s="144"/>
      <c r="FE179" s="144"/>
      <c r="FF179" s="144"/>
      <c r="FG179" s="144"/>
      <c r="FH179" s="144"/>
      <c r="FI179" s="144"/>
      <c r="FJ179" s="144"/>
      <c r="FK179" s="144"/>
      <c r="FL179" s="144"/>
      <c r="FM179" s="144"/>
      <c r="FN179" s="144"/>
      <c r="FO179" s="144"/>
      <c r="FP179" s="144"/>
      <c r="FQ179" s="144"/>
      <c r="FR179" s="144"/>
      <c r="FS179" s="144"/>
      <c r="FT179" s="144"/>
      <c r="FU179" s="144"/>
      <c r="FV179" s="144"/>
      <c r="FW179" s="144"/>
      <c r="FX179" s="144"/>
    </row>
    <row r="180" spans="1:180" s="56" customFormat="1" x14ac:dyDescent="0.2">
      <c r="A180" s="67"/>
      <c r="B180" s="66"/>
      <c r="C180" s="65">
        <f t="shared" si="21"/>
        <v>0</v>
      </c>
      <c r="D180" s="49"/>
      <c r="E180" s="65">
        <f t="shared" si="20"/>
        <v>0</v>
      </c>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c r="BC180" s="144"/>
      <c r="BD180" s="144"/>
      <c r="BE180" s="144"/>
      <c r="BF180" s="144"/>
      <c r="BG180" s="144"/>
      <c r="BH180" s="144"/>
      <c r="BI180" s="144"/>
      <c r="BJ180" s="144"/>
      <c r="BK180" s="144"/>
      <c r="BL180" s="144"/>
      <c r="BM180" s="144"/>
      <c r="BN180" s="144"/>
      <c r="BO180" s="144"/>
      <c r="BP180" s="144"/>
      <c r="BQ180" s="144"/>
      <c r="BR180" s="144"/>
      <c r="BS180" s="144"/>
      <c r="BT180" s="144"/>
      <c r="BU180" s="144"/>
      <c r="BV180" s="144"/>
      <c r="BW180" s="144"/>
      <c r="BX180" s="144"/>
      <c r="BY180" s="144"/>
      <c r="BZ180" s="144"/>
      <c r="CA180" s="144"/>
      <c r="CB180" s="144"/>
      <c r="CC180" s="144"/>
      <c r="CD180" s="144"/>
      <c r="CE180" s="144"/>
      <c r="CF180" s="144"/>
      <c r="CG180" s="144"/>
      <c r="CH180" s="144"/>
      <c r="CI180" s="144"/>
      <c r="CJ180" s="144"/>
      <c r="CK180" s="144"/>
      <c r="CL180" s="144"/>
      <c r="CM180" s="144"/>
      <c r="CN180" s="144"/>
      <c r="CO180" s="144"/>
      <c r="CP180" s="144"/>
      <c r="CQ180" s="144"/>
      <c r="CR180" s="144"/>
      <c r="CS180" s="144"/>
      <c r="CT180" s="144"/>
      <c r="CU180" s="144"/>
      <c r="CV180" s="144"/>
      <c r="CW180" s="144"/>
      <c r="CX180" s="144"/>
      <c r="CY180" s="144"/>
      <c r="CZ180" s="144"/>
      <c r="DA180" s="144"/>
      <c r="DB180" s="144"/>
      <c r="DC180" s="144"/>
      <c r="DD180" s="144"/>
      <c r="DE180" s="144"/>
      <c r="DF180" s="144"/>
      <c r="DG180" s="144"/>
      <c r="DH180" s="144"/>
      <c r="DI180" s="144"/>
      <c r="DJ180" s="144"/>
      <c r="DK180" s="144"/>
      <c r="DL180" s="144"/>
      <c r="DM180" s="144"/>
      <c r="DN180" s="144"/>
      <c r="DO180" s="144"/>
      <c r="DP180" s="144"/>
      <c r="DQ180" s="144"/>
      <c r="DR180" s="144"/>
      <c r="DS180" s="144"/>
      <c r="DT180" s="144"/>
      <c r="DU180" s="144"/>
      <c r="DV180" s="144"/>
      <c r="DW180" s="144"/>
      <c r="DX180" s="144"/>
      <c r="DY180" s="144"/>
      <c r="DZ180" s="144"/>
      <c r="EA180" s="144"/>
      <c r="EB180" s="144"/>
      <c r="EC180" s="144"/>
      <c r="ED180" s="144"/>
      <c r="EE180" s="144"/>
      <c r="EF180" s="144"/>
      <c r="EG180" s="144"/>
      <c r="EH180" s="144"/>
      <c r="EI180" s="144"/>
      <c r="EJ180" s="144"/>
      <c r="EK180" s="144"/>
      <c r="EL180" s="144"/>
      <c r="EM180" s="144"/>
      <c r="EN180" s="144"/>
      <c r="EO180" s="144"/>
      <c r="EP180" s="144"/>
      <c r="EQ180" s="144"/>
      <c r="ER180" s="144"/>
      <c r="ES180" s="144"/>
      <c r="ET180" s="144"/>
      <c r="EU180" s="144"/>
      <c r="EV180" s="144"/>
      <c r="EW180" s="144"/>
      <c r="EX180" s="144"/>
      <c r="EY180" s="144"/>
      <c r="EZ180" s="144"/>
      <c r="FA180" s="144"/>
      <c r="FB180" s="144"/>
      <c r="FC180" s="144"/>
      <c r="FD180" s="144"/>
      <c r="FE180" s="144"/>
      <c r="FF180" s="144"/>
      <c r="FG180" s="144"/>
      <c r="FH180" s="144"/>
      <c r="FI180" s="144"/>
      <c r="FJ180" s="144"/>
      <c r="FK180" s="144"/>
      <c r="FL180" s="144"/>
      <c r="FM180" s="144"/>
      <c r="FN180" s="144"/>
      <c r="FO180" s="144"/>
      <c r="FP180" s="144"/>
      <c r="FQ180" s="144"/>
      <c r="FR180" s="144"/>
      <c r="FS180" s="144"/>
      <c r="FT180" s="144"/>
      <c r="FU180" s="144"/>
      <c r="FV180" s="144"/>
      <c r="FW180" s="144"/>
      <c r="FX180" s="144"/>
    </row>
    <row r="181" spans="1:180" s="56" customFormat="1" x14ac:dyDescent="0.2">
      <c r="A181" s="67"/>
      <c r="B181" s="66"/>
      <c r="C181" s="65">
        <f t="shared" si="21"/>
        <v>0</v>
      </c>
      <c r="D181" s="49"/>
      <c r="E181" s="65">
        <f t="shared" si="20"/>
        <v>0</v>
      </c>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c r="BC181" s="144"/>
      <c r="BD181" s="144"/>
      <c r="BE181" s="144"/>
      <c r="BF181" s="144"/>
      <c r="BG181" s="144"/>
      <c r="BH181" s="144"/>
      <c r="BI181" s="144"/>
      <c r="BJ181" s="144"/>
      <c r="BK181" s="144"/>
      <c r="BL181" s="144"/>
      <c r="BM181" s="144"/>
      <c r="BN181" s="144"/>
      <c r="BO181" s="144"/>
      <c r="BP181" s="144"/>
      <c r="BQ181" s="144"/>
      <c r="BR181" s="144"/>
      <c r="BS181" s="144"/>
      <c r="BT181" s="144"/>
      <c r="BU181" s="144"/>
      <c r="BV181" s="144"/>
      <c r="BW181" s="144"/>
      <c r="BX181" s="144"/>
      <c r="BY181" s="144"/>
      <c r="BZ181" s="144"/>
      <c r="CA181" s="144"/>
      <c r="CB181" s="144"/>
      <c r="CC181" s="144"/>
      <c r="CD181" s="144"/>
      <c r="CE181" s="144"/>
      <c r="CF181" s="144"/>
      <c r="CG181" s="144"/>
      <c r="CH181" s="144"/>
      <c r="CI181" s="144"/>
      <c r="CJ181" s="144"/>
      <c r="CK181" s="144"/>
      <c r="CL181" s="144"/>
      <c r="CM181" s="144"/>
      <c r="CN181" s="144"/>
      <c r="CO181" s="144"/>
      <c r="CP181" s="144"/>
      <c r="CQ181" s="144"/>
      <c r="CR181" s="144"/>
      <c r="CS181" s="144"/>
      <c r="CT181" s="144"/>
      <c r="CU181" s="144"/>
      <c r="CV181" s="144"/>
      <c r="CW181" s="144"/>
      <c r="CX181" s="144"/>
      <c r="CY181" s="144"/>
      <c r="CZ181" s="144"/>
      <c r="DA181" s="144"/>
      <c r="DB181" s="144"/>
      <c r="DC181" s="144"/>
      <c r="DD181" s="144"/>
      <c r="DE181" s="144"/>
      <c r="DF181" s="144"/>
      <c r="DG181" s="144"/>
      <c r="DH181" s="144"/>
      <c r="DI181" s="144"/>
      <c r="DJ181" s="144"/>
      <c r="DK181" s="144"/>
      <c r="DL181" s="144"/>
      <c r="DM181" s="144"/>
      <c r="DN181" s="144"/>
      <c r="DO181" s="144"/>
      <c r="DP181" s="144"/>
      <c r="DQ181" s="144"/>
      <c r="DR181" s="144"/>
      <c r="DS181" s="144"/>
      <c r="DT181" s="144"/>
      <c r="DU181" s="144"/>
      <c r="DV181" s="144"/>
      <c r="DW181" s="144"/>
      <c r="DX181" s="144"/>
      <c r="DY181" s="144"/>
      <c r="DZ181" s="144"/>
      <c r="EA181" s="144"/>
      <c r="EB181" s="144"/>
      <c r="EC181" s="144"/>
      <c r="ED181" s="144"/>
      <c r="EE181" s="144"/>
      <c r="EF181" s="144"/>
      <c r="EG181" s="144"/>
      <c r="EH181" s="144"/>
      <c r="EI181" s="144"/>
      <c r="EJ181" s="144"/>
      <c r="EK181" s="144"/>
      <c r="EL181" s="144"/>
      <c r="EM181" s="144"/>
      <c r="EN181" s="144"/>
      <c r="EO181" s="144"/>
      <c r="EP181" s="144"/>
      <c r="EQ181" s="144"/>
      <c r="ER181" s="144"/>
      <c r="ES181" s="144"/>
      <c r="ET181" s="144"/>
      <c r="EU181" s="144"/>
      <c r="EV181" s="144"/>
      <c r="EW181" s="144"/>
      <c r="EX181" s="144"/>
      <c r="EY181" s="144"/>
      <c r="EZ181" s="144"/>
      <c r="FA181" s="144"/>
      <c r="FB181" s="144"/>
      <c r="FC181" s="144"/>
      <c r="FD181" s="144"/>
      <c r="FE181" s="144"/>
      <c r="FF181" s="144"/>
      <c r="FG181" s="144"/>
      <c r="FH181" s="144"/>
      <c r="FI181" s="144"/>
      <c r="FJ181" s="144"/>
      <c r="FK181" s="144"/>
      <c r="FL181" s="144"/>
      <c r="FM181" s="144"/>
      <c r="FN181" s="144"/>
      <c r="FO181" s="144"/>
      <c r="FP181" s="144"/>
      <c r="FQ181" s="144"/>
      <c r="FR181" s="144"/>
      <c r="FS181" s="144"/>
      <c r="FT181" s="144"/>
      <c r="FU181" s="144"/>
      <c r="FV181" s="144"/>
      <c r="FW181" s="144"/>
      <c r="FX181" s="144"/>
    </row>
    <row r="182" spans="1:180" s="56" customFormat="1" x14ac:dyDescent="0.2">
      <c r="A182" s="67"/>
      <c r="B182" s="66"/>
      <c r="C182" s="65">
        <f t="shared" si="21"/>
        <v>0</v>
      </c>
      <c r="D182" s="49"/>
      <c r="E182" s="65">
        <f t="shared" si="20"/>
        <v>0</v>
      </c>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44"/>
      <c r="BN182" s="144"/>
      <c r="BO182" s="144"/>
      <c r="BP182" s="144"/>
      <c r="BQ182" s="144"/>
      <c r="BR182" s="144"/>
      <c r="BS182" s="144"/>
      <c r="BT182" s="144"/>
      <c r="BU182" s="144"/>
      <c r="BV182" s="144"/>
      <c r="BW182" s="144"/>
      <c r="BX182" s="144"/>
      <c r="BY182" s="144"/>
      <c r="BZ182" s="144"/>
      <c r="CA182" s="144"/>
      <c r="CB182" s="144"/>
      <c r="CC182" s="144"/>
      <c r="CD182" s="144"/>
      <c r="CE182" s="144"/>
      <c r="CF182" s="144"/>
      <c r="CG182" s="144"/>
      <c r="CH182" s="144"/>
      <c r="CI182" s="144"/>
      <c r="CJ182" s="144"/>
      <c r="CK182" s="144"/>
      <c r="CL182" s="144"/>
      <c r="CM182" s="144"/>
      <c r="CN182" s="144"/>
      <c r="CO182" s="144"/>
      <c r="CP182" s="144"/>
      <c r="CQ182" s="144"/>
      <c r="CR182" s="144"/>
      <c r="CS182" s="144"/>
      <c r="CT182" s="144"/>
      <c r="CU182" s="144"/>
      <c r="CV182" s="144"/>
      <c r="CW182" s="144"/>
      <c r="CX182" s="144"/>
      <c r="CY182" s="144"/>
      <c r="CZ182" s="144"/>
      <c r="DA182" s="144"/>
      <c r="DB182" s="144"/>
      <c r="DC182" s="144"/>
      <c r="DD182" s="144"/>
      <c r="DE182" s="144"/>
      <c r="DF182" s="144"/>
      <c r="DG182" s="144"/>
      <c r="DH182" s="144"/>
      <c r="DI182" s="144"/>
      <c r="DJ182" s="144"/>
      <c r="DK182" s="144"/>
      <c r="DL182" s="144"/>
      <c r="DM182" s="144"/>
      <c r="DN182" s="144"/>
      <c r="DO182" s="144"/>
      <c r="DP182" s="144"/>
      <c r="DQ182" s="144"/>
      <c r="DR182" s="144"/>
      <c r="DS182" s="144"/>
      <c r="DT182" s="144"/>
      <c r="DU182" s="144"/>
      <c r="DV182" s="144"/>
      <c r="DW182" s="144"/>
      <c r="DX182" s="144"/>
      <c r="DY182" s="144"/>
      <c r="DZ182" s="144"/>
      <c r="EA182" s="144"/>
      <c r="EB182" s="144"/>
      <c r="EC182" s="144"/>
      <c r="ED182" s="144"/>
      <c r="EE182" s="144"/>
      <c r="EF182" s="144"/>
      <c r="EG182" s="144"/>
      <c r="EH182" s="144"/>
      <c r="EI182" s="144"/>
      <c r="EJ182" s="144"/>
      <c r="EK182" s="144"/>
      <c r="EL182" s="144"/>
      <c r="EM182" s="144"/>
      <c r="EN182" s="144"/>
      <c r="EO182" s="144"/>
      <c r="EP182" s="144"/>
      <c r="EQ182" s="144"/>
      <c r="ER182" s="144"/>
      <c r="ES182" s="144"/>
      <c r="ET182" s="144"/>
      <c r="EU182" s="144"/>
      <c r="EV182" s="144"/>
      <c r="EW182" s="144"/>
      <c r="EX182" s="144"/>
      <c r="EY182" s="144"/>
      <c r="EZ182" s="144"/>
      <c r="FA182" s="144"/>
      <c r="FB182" s="144"/>
      <c r="FC182" s="144"/>
      <c r="FD182" s="144"/>
      <c r="FE182" s="144"/>
      <c r="FF182" s="144"/>
      <c r="FG182" s="144"/>
      <c r="FH182" s="144"/>
      <c r="FI182" s="144"/>
      <c r="FJ182" s="144"/>
      <c r="FK182" s="144"/>
      <c r="FL182" s="144"/>
      <c r="FM182" s="144"/>
      <c r="FN182" s="144"/>
      <c r="FO182" s="144"/>
      <c r="FP182" s="144"/>
      <c r="FQ182" s="144"/>
      <c r="FR182" s="144"/>
      <c r="FS182" s="144"/>
      <c r="FT182" s="144"/>
      <c r="FU182" s="144"/>
      <c r="FV182" s="144"/>
      <c r="FW182" s="144"/>
      <c r="FX182" s="144"/>
    </row>
    <row r="183" spans="1:180" s="56" customFormat="1" x14ac:dyDescent="0.2">
      <c r="A183" s="67"/>
      <c r="B183" s="66"/>
      <c r="C183" s="65">
        <f t="shared" si="21"/>
        <v>0</v>
      </c>
      <c r="D183" s="49"/>
      <c r="E183" s="65">
        <f t="shared" si="20"/>
        <v>0</v>
      </c>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c r="BC183" s="144"/>
      <c r="BD183" s="144"/>
      <c r="BE183" s="144"/>
      <c r="BF183" s="144"/>
      <c r="BG183" s="144"/>
      <c r="BH183" s="144"/>
      <c r="BI183" s="144"/>
      <c r="BJ183" s="144"/>
      <c r="BK183" s="144"/>
      <c r="BL183" s="144"/>
      <c r="BM183" s="144"/>
      <c r="BN183" s="144"/>
      <c r="BO183" s="144"/>
      <c r="BP183" s="144"/>
      <c r="BQ183" s="144"/>
      <c r="BR183" s="144"/>
      <c r="BS183" s="144"/>
      <c r="BT183" s="144"/>
      <c r="BU183" s="144"/>
      <c r="BV183" s="144"/>
      <c r="BW183" s="144"/>
      <c r="BX183" s="144"/>
      <c r="BY183" s="144"/>
      <c r="BZ183" s="144"/>
      <c r="CA183" s="144"/>
      <c r="CB183" s="144"/>
      <c r="CC183" s="144"/>
      <c r="CD183" s="144"/>
      <c r="CE183" s="144"/>
      <c r="CF183" s="144"/>
      <c r="CG183" s="144"/>
      <c r="CH183" s="144"/>
      <c r="CI183" s="144"/>
      <c r="CJ183" s="144"/>
      <c r="CK183" s="144"/>
      <c r="CL183" s="144"/>
      <c r="CM183" s="144"/>
      <c r="CN183" s="144"/>
      <c r="CO183" s="144"/>
      <c r="CP183" s="144"/>
      <c r="CQ183" s="144"/>
      <c r="CR183" s="144"/>
      <c r="CS183" s="144"/>
      <c r="CT183" s="144"/>
      <c r="CU183" s="144"/>
      <c r="CV183" s="144"/>
      <c r="CW183" s="144"/>
      <c r="CX183" s="144"/>
      <c r="CY183" s="144"/>
      <c r="CZ183" s="144"/>
      <c r="DA183" s="144"/>
      <c r="DB183" s="144"/>
      <c r="DC183" s="144"/>
      <c r="DD183" s="144"/>
      <c r="DE183" s="144"/>
      <c r="DF183" s="144"/>
      <c r="DG183" s="144"/>
      <c r="DH183" s="144"/>
      <c r="DI183" s="144"/>
      <c r="DJ183" s="144"/>
      <c r="DK183" s="144"/>
      <c r="DL183" s="144"/>
      <c r="DM183" s="144"/>
      <c r="DN183" s="144"/>
      <c r="DO183" s="144"/>
      <c r="DP183" s="144"/>
      <c r="DQ183" s="144"/>
      <c r="DR183" s="144"/>
      <c r="DS183" s="144"/>
      <c r="DT183" s="144"/>
      <c r="DU183" s="144"/>
      <c r="DV183" s="144"/>
      <c r="DW183" s="144"/>
      <c r="DX183" s="144"/>
      <c r="DY183" s="144"/>
      <c r="DZ183" s="144"/>
      <c r="EA183" s="144"/>
      <c r="EB183" s="144"/>
      <c r="EC183" s="144"/>
      <c r="ED183" s="144"/>
      <c r="EE183" s="144"/>
      <c r="EF183" s="144"/>
      <c r="EG183" s="144"/>
      <c r="EH183" s="144"/>
      <c r="EI183" s="144"/>
      <c r="EJ183" s="144"/>
      <c r="EK183" s="144"/>
      <c r="EL183" s="144"/>
      <c r="EM183" s="144"/>
      <c r="EN183" s="144"/>
      <c r="EO183" s="144"/>
      <c r="EP183" s="144"/>
      <c r="EQ183" s="144"/>
      <c r="ER183" s="144"/>
      <c r="ES183" s="144"/>
      <c r="ET183" s="144"/>
      <c r="EU183" s="144"/>
      <c r="EV183" s="144"/>
      <c r="EW183" s="144"/>
      <c r="EX183" s="144"/>
      <c r="EY183" s="144"/>
      <c r="EZ183" s="144"/>
      <c r="FA183" s="144"/>
      <c r="FB183" s="144"/>
      <c r="FC183" s="144"/>
      <c r="FD183" s="144"/>
      <c r="FE183" s="144"/>
      <c r="FF183" s="144"/>
      <c r="FG183" s="144"/>
      <c r="FH183" s="144"/>
      <c r="FI183" s="144"/>
      <c r="FJ183" s="144"/>
      <c r="FK183" s="144"/>
      <c r="FL183" s="144"/>
      <c r="FM183" s="144"/>
      <c r="FN183" s="144"/>
      <c r="FO183" s="144"/>
      <c r="FP183" s="144"/>
      <c r="FQ183" s="144"/>
      <c r="FR183" s="144"/>
      <c r="FS183" s="144"/>
      <c r="FT183" s="144"/>
      <c r="FU183" s="144"/>
      <c r="FV183" s="144"/>
      <c r="FW183" s="144"/>
      <c r="FX183" s="144"/>
    </row>
    <row r="184" spans="1:180" s="56" customFormat="1" x14ac:dyDescent="0.2">
      <c r="A184" s="67"/>
      <c r="B184" s="66"/>
      <c r="C184" s="65">
        <f t="shared" si="21"/>
        <v>0</v>
      </c>
      <c r="D184" s="49"/>
      <c r="E184" s="65">
        <f t="shared" si="20"/>
        <v>0</v>
      </c>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c r="BC184" s="144"/>
      <c r="BD184" s="144"/>
      <c r="BE184" s="144"/>
      <c r="BF184" s="144"/>
      <c r="BG184" s="144"/>
      <c r="BH184" s="144"/>
      <c r="BI184" s="144"/>
      <c r="BJ184" s="144"/>
      <c r="BK184" s="144"/>
      <c r="BL184" s="144"/>
      <c r="BM184" s="144"/>
      <c r="BN184" s="144"/>
      <c r="BO184" s="144"/>
      <c r="BP184" s="144"/>
      <c r="BQ184" s="144"/>
      <c r="BR184" s="144"/>
      <c r="BS184" s="144"/>
      <c r="BT184" s="144"/>
      <c r="BU184" s="144"/>
      <c r="BV184" s="144"/>
      <c r="BW184" s="144"/>
      <c r="BX184" s="144"/>
      <c r="BY184" s="144"/>
      <c r="BZ184" s="144"/>
      <c r="CA184" s="144"/>
      <c r="CB184" s="144"/>
      <c r="CC184" s="144"/>
      <c r="CD184" s="144"/>
      <c r="CE184" s="144"/>
      <c r="CF184" s="144"/>
      <c r="CG184" s="144"/>
      <c r="CH184" s="144"/>
      <c r="CI184" s="144"/>
      <c r="CJ184" s="144"/>
      <c r="CK184" s="144"/>
      <c r="CL184" s="144"/>
      <c r="CM184" s="144"/>
      <c r="CN184" s="144"/>
      <c r="CO184" s="144"/>
      <c r="CP184" s="144"/>
      <c r="CQ184" s="144"/>
      <c r="CR184" s="144"/>
      <c r="CS184" s="144"/>
      <c r="CT184" s="144"/>
      <c r="CU184" s="144"/>
      <c r="CV184" s="144"/>
      <c r="CW184" s="144"/>
      <c r="CX184" s="144"/>
      <c r="CY184" s="144"/>
      <c r="CZ184" s="144"/>
      <c r="DA184" s="144"/>
      <c r="DB184" s="144"/>
      <c r="DC184" s="144"/>
      <c r="DD184" s="144"/>
      <c r="DE184" s="144"/>
      <c r="DF184" s="144"/>
      <c r="DG184" s="144"/>
      <c r="DH184" s="144"/>
      <c r="DI184" s="144"/>
      <c r="DJ184" s="144"/>
      <c r="DK184" s="144"/>
      <c r="DL184" s="144"/>
      <c r="DM184" s="144"/>
      <c r="DN184" s="144"/>
      <c r="DO184" s="144"/>
      <c r="DP184" s="144"/>
      <c r="DQ184" s="144"/>
      <c r="DR184" s="144"/>
      <c r="DS184" s="144"/>
      <c r="DT184" s="144"/>
      <c r="DU184" s="144"/>
      <c r="DV184" s="144"/>
      <c r="DW184" s="144"/>
      <c r="DX184" s="144"/>
      <c r="DY184" s="144"/>
      <c r="DZ184" s="144"/>
      <c r="EA184" s="144"/>
      <c r="EB184" s="144"/>
      <c r="EC184" s="144"/>
      <c r="ED184" s="144"/>
      <c r="EE184" s="144"/>
      <c r="EF184" s="144"/>
      <c r="EG184" s="144"/>
      <c r="EH184" s="144"/>
      <c r="EI184" s="144"/>
      <c r="EJ184" s="144"/>
      <c r="EK184" s="144"/>
      <c r="EL184" s="144"/>
      <c r="EM184" s="144"/>
      <c r="EN184" s="144"/>
      <c r="EO184" s="144"/>
      <c r="EP184" s="144"/>
      <c r="EQ184" s="144"/>
      <c r="ER184" s="144"/>
      <c r="ES184" s="144"/>
      <c r="ET184" s="144"/>
      <c r="EU184" s="144"/>
      <c r="EV184" s="144"/>
      <c r="EW184" s="144"/>
      <c r="EX184" s="144"/>
      <c r="EY184" s="144"/>
      <c r="EZ184" s="144"/>
      <c r="FA184" s="144"/>
      <c r="FB184" s="144"/>
      <c r="FC184" s="144"/>
      <c r="FD184" s="144"/>
      <c r="FE184" s="144"/>
      <c r="FF184" s="144"/>
      <c r="FG184" s="144"/>
      <c r="FH184" s="144"/>
      <c r="FI184" s="144"/>
      <c r="FJ184" s="144"/>
      <c r="FK184" s="144"/>
      <c r="FL184" s="144"/>
      <c r="FM184" s="144"/>
      <c r="FN184" s="144"/>
      <c r="FO184" s="144"/>
      <c r="FP184" s="144"/>
      <c r="FQ184" s="144"/>
      <c r="FR184" s="144"/>
      <c r="FS184" s="144"/>
      <c r="FT184" s="144"/>
      <c r="FU184" s="144"/>
      <c r="FV184" s="144"/>
      <c r="FW184" s="144"/>
      <c r="FX184" s="144"/>
    </row>
    <row r="185" spans="1:180" s="56" customFormat="1" x14ac:dyDescent="0.2">
      <c r="A185" s="67"/>
      <c r="B185" s="66"/>
      <c r="C185" s="65">
        <f t="shared" si="21"/>
        <v>0</v>
      </c>
      <c r="D185" s="49"/>
      <c r="E185" s="65">
        <f t="shared" si="20"/>
        <v>0</v>
      </c>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c r="BC185" s="144"/>
      <c r="BD185" s="144"/>
      <c r="BE185" s="144"/>
      <c r="BF185" s="144"/>
      <c r="BG185" s="144"/>
      <c r="BH185" s="144"/>
      <c r="BI185" s="144"/>
      <c r="BJ185" s="144"/>
      <c r="BK185" s="144"/>
      <c r="BL185" s="144"/>
      <c r="BM185" s="144"/>
      <c r="BN185" s="144"/>
      <c r="BO185" s="144"/>
      <c r="BP185" s="144"/>
      <c r="BQ185" s="144"/>
      <c r="BR185" s="144"/>
      <c r="BS185" s="144"/>
      <c r="BT185" s="144"/>
      <c r="BU185" s="144"/>
      <c r="BV185" s="144"/>
      <c r="BW185" s="144"/>
      <c r="BX185" s="144"/>
      <c r="BY185" s="144"/>
      <c r="BZ185" s="144"/>
      <c r="CA185" s="144"/>
      <c r="CB185" s="144"/>
      <c r="CC185" s="144"/>
      <c r="CD185" s="144"/>
      <c r="CE185" s="144"/>
      <c r="CF185" s="144"/>
      <c r="CG185" s="144"/>
      <c r="CH185" s="144"/>
      <c r="CI185" s="144"/>
      <c r="CJ185" s="144"/>
      <c r="CK185" s="144"/>
      <c r="CL185" s="144"/>
      <c r="CM185" s="144"/>
      <c r="CN185" s="144"/>
      <c r="CO185" s="144"/>
      <c r="CP185" s="144"/>
      <c r="CQ185" s="144"/>
      <c r="CR185" s="144"/>
      <c r="CS185" s="144"/>
      <c r="CT185" s="144"/>
      <c r="CU185" s="144"/>
      <c r="CV185" s="144"/>
      <c r="CW185" s="144"/>
      <c r="CX185" s="144"/>
      <c r="CY185" s="144"/>
      <c r="CZ185" s="144"/>
      <c r="DA185" s="144"/>
      <c r="DB185" s="144"/>
      <c r="DC185" s="144"/>
      <c r="DD185" s="144"/>
      <c r="DE185" s="144"/>
      <c r="DF185" s="144"/>
      <c r="DG185" s="144"/>
      <c r="DH185" s="144"/>
      <c r="DI185" s="144"/>
      <c r="DJ185" s="144"/>
      <c r="DK185" s="144"/>
      <c r="DL185" s="144"/>
      <c r="DM185" s="144"/>
      <c r="DN185" s="144"/>
      <c r="DO185" s="144"/>
      <c r="DP185" s="144"/>
      <c r="DQ185" s="144"/>
      <c r="DR185" s="144"/>
      <c r="DS185" s="144"/>
      <c r="DT185" s="144"/>
      <c r="DU185" s="144"/>
      <c r="DV185" s="144"/>
      <c r="DW185" s="144"/>
      <c r="DX185" s="144"/>
      <c r="DY185" s="144"/>
      <c r="DZ185" s="144"/>
      <c r="EA185" s="144"/>
      <c r="EB185" s="144"/>
      <c r="EC185" s="144"/>
      <c r="ED185" s="144"/>
      <c r="EE185" s="144"/>
      <c r="EF185" s="144"/>
      <c r="EG185" s="144"/>
      <c r="EH185" s="144"/>
      <c r="EI185" s="144"/>
      <c r="EJ185" s="144"/>
      <c r="EK185" s="144"/>
      <c r="EL185" s="144"/>
      <c r="EM185" s="144"/>
      <c r="EN185" s="144"/>
      <c r="EO185" s="144"/>
      <c r="EP185" s="144"/>
      <c r="EQ185" s="144"/>
      <c r="ER185" s="144"/>
      <c r="ES185" s="144"/>
      <c r="ET185" s="144"/>
      <c r="EU185" s="144"/>
      <c r="EV185" s="144"/>
      <c r="EW185" s="144"/>
      <c r="EX185" s="144"/>
      <c r="EY185" s="144"/>
      <c r="EZ185" s="144"/>
      <c r="FA185" s="144"/>
      <c r="FB185" s="144"/>
      <c r="FC185" s="144"/>
      <c r="FD185" s="144"/>
      <c r="FE185" s="144"/>
      <c r="FF185" s="144"/>
      <c r="FG185" s="144"/>
      <c r="FH185" s="144"/>
      <c r="FI185" s="144"/>
      <c r="FJ185" s="144"/>
      <c r="FK185" s="144"/>
      <c r="FL185" s="144"/>
      <c r="FM185" s="144"/>
      <c r="FN185" s="144"/>
      <c r="FO185" s="144"/>
      <c r="FP185" s="144"/>
      <c r="FQ185" s="144"/>
      <c r="FR185" s="144"/>
      <c r="FS185" s="144"/>
      <c r="FT185" s="144"/>
      <c r="FU185" s="144"/>
      <c r="FV185" s="144"/>
      <c r="FW185" s="144"/>
      <c r="FX185" s="144"/>
    </row>
    <row r="186" spans="1:180" s="56" customFormat="1" x14ac:dyDescent="0.2">
      <c r="A186" s="67"/>
      <c r="B186" s="66"/>
      <c r="C186" s="65">
        <f t="shared" si="21"/>
        <v>0</v>
      </c>
      <c r="D186" s="49"/>
      <c r="E186" s="65">
        <f t="shared" si="20"/>
        <v>0</v>
      </c>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44"/>
      <c r="BN186" s="144"/>
      <c r="BO186" s="144"/>
      <c r="BP186" s="144"/>
      <c r="BQ186" s="144"/>
      <c r="BR186" s="144"/>
      <c r="BS186" s="144"/>
      <c r="BT186" s="144"/>
      <c r="BU186" s="144"/>
      <c r="BV186" s="144"/>
      <c r="BW186" s="144"/>
      <c r="BX186" s="144"/>
      <c r="BY186" s="144"/>
      <c r="BZ186" s="144"/>
      <c r="CA186" s="144"/>
      <c r="CB186" s="144"/>
      <c r="CC186" s="144"/>
      <c r="CD186" s="144"/>
      <c r="CE186" s="144"/>
      <c r="CF186" s="144"/>
      <c r="CG186" s="144"/>
      <c r="CH186" s="144"/>
      <c r="CI186" s="144"/>
      <c r="CJ186" s="144"/>
      <c r="CK186" s="144"/>
      <c r="CL186" s="144"/>
      <c r="CM186" s="144"/>
      <c r="CN186" s="144"/>
      <c r="CO186" s="144"/>
      <c r="CP186" s="144"/>
      <c r="CQ186" s="144"/>
      <c r="CR186" s="144"/>
      <c r="CS186" s="144"/>
      <c r="CT186" s="144"/>
      <c r="CU186" s="144"/>
      <c r="CV186" s="144"/>
      <c r="CW186" s="144"/>
      <c r="CX186" s="144"/>
      <c r="CY186" s="144"/>
      <c r="CZ186" s="144"/>
      <c r="DA186" s="144"/>
      <c r="DB186" s="144"/>
      <c r="DC186" s="144"/>
      <c r="DD186" s="144"/>
      <c r="DE186" s="144"/>
      <c r="DF186" s="144"/>
      <c r="DG186" s="144"/>
      <c r="DH186" s="144"/>
      <c r="DI186" s="144"/>
      <c r="DJ186" s="144"/>
      <c r="DK186" s="144"/>
      <c r="DL186" s="144"/>
      <c r="DM186" s="144"/>
      <c r="DN186" s="144"/>
      <c r="DO186" s="144"/>
      <c r="DP186" s="144"/>
      <c r="DQ186" s="144"/>
      <c r="DR186" s="144"/>
      <c r="DS186" s="144"/>
      <c r="DT186" s="144"/>
      <c r="DU186" s="144"/>
      <c r="DV186" s="144"/>
      <c r="DW186" s="144"/>
      <c r="DX186" s="144"/>
      <c r="DY186" s="144"/>
      <c r="DZ186" s="144"/>
      <c r="EA186" s="144"/>
      <c r="EB186" s="144"/>
      <c r="EC186" s="144"/>
      <c r="ED186" s="144"/>
      <c r="EE186" s="144"/>
      <c r="EF186" s="144"/>
      <c r="EG186" s="144"/>
      <c r="EH186" s="144"/>
      <c r="EI186" s="144"/>
      <c r="EJ186" s="144"/>
      <c r="EK186" s="144"/>
      <c r="EL186" s="144"/>
      <c r="EM186" s="144"/>
      <c r="EN186" s="144"/>
      <c r="EO186" s="144"/>
      <c r="EP186" s="144"/>
      <c r="EQ186" s="144"/>
      <c r="ER186" s="144"/>
      <c r="ES186" s="144"/>
      <c r="ET186" s="144"/>
      <c r="EU186" s="144"/>
      <c r="EV186" s="144"/>
      <c r="EW186" s="144"/>
      <c r="EX186" s="144"/>
      <c r="EY186" s="144"/>
      <c r="EZ186" s="144"/>
      <c r="FA186" s="144"/>
      <c r="FB186" s="144"/>
      <c r="FC186" s="144"/>
      <c r="FD186" s="144"/>
      <c r="FE186" s="144"/>
      <c r="FF186" s="144"/>
      <c r="FG186" s="144"/>
      <c r="FH186" s="144"/>
      <c r="FI186" s="144"/>
      <c r="FJ186" s="144"/>
      <c r="FK186" s="144"/>
      <c r="FL186" s="144"/>
      <c r="FM186" s="144"/>
      <c r="FN186" s="144"/>
      <c r="FO186" s="144"/>
      <c r="FP186" s="144"/>
      <c r="FQ186" s="144"/>
      <c r="FR186" s="144"/>
      <c r="FS186" s="144"/>
      <c r="FT186" s="144"/>
      <c r="FU186" s="144"/>
      <c r="FV186" s="144"/>
      <c r="FW186" s="144"/>
      <c r="FX186" s="144"/>
    </row>
    <row r="187" spans="1:180" s="56" customFormat="1" x14ac:dyDescent="0.2">
      <c r="A187" s="67"/>
      <c r="B187" s="66"/>
      <c r="C187" s="65">
        <f t="shared" si="21"/>
        <v>0</v>
      </c>
      <c r="D187" s="49"/>
      <c r="E187" s="65">
        <f t="shared" si="20"/>
        <v>0</v>
      </c>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c r="BC187" s="144"/>
      <c r="BD187" s="144"/>
      <c r="BE187" s="144"/>
      <c r="BF187" s="144"/>
      <c r="BG187" s="144"/>
      <c r="BH187" s="144"/>
      <c r="BI187" s="144"/>
      <c r="BJ187" s="144"/>
      <c r="BK187" s="144"/>
      <c r="BL187" s="144"/>
      <c r="BM187" s="144"/>
      <c r="BN187" s="144"/>
      <c r="BO187" s="144"/>
      <c r="BP187" s="144"/>
      <c r="BQ187" s="144"/>
      <c r="BR187" s="144"/>
      <c r="BS187" s="144"/>
      <c r="BT187" s="144"/>
      <c r="BU187" s="144"/>
      <c r="BV187" s="144"/>
      <c r="BW187" s="144"/>
      <c r="BX187" s="144"/>
      <c r="BY187" s="144"/>
      <c r="BZ187" s="144"/>
      <c r="CA187" s="144"/>
      <c r="CB187" s="144"/>
      <c r="CC187" s="144"/>
      <c r="CD187" s="144"/>
      <c r="CE187" s="144"/>
      <c r="CF187" s="144"/>
      <c r="CG187" s="144"/>
      <c r="CH187" s="144"/>
      <c r="CI187" s="144"/>
      <c r="CJ187" s="144"/>
      <c r="CK187" s="144"/>
      <c r="CL187" s="144"/>
      <c r="CM187" s="144"/>
      <c r="CN187" s="144"/>
      <c r="CO187" s="144"/>
      <c r="CP187" s="144"/>
      <c r="CQ187" s="144"/>
      <c r="CR187" s="144"/>
      <c r="CS187" s="144"/>
      <c r="CT187" s="144"/>
      <c r="CU187" s="144"/>
      <c r="CV187" s="144"/>
      <c r="CW187" s="144"/>
      <c r="CX187" s="144"/>
      <c r="CY187" s="144"/>
      <c r="CZ187" s="144"/>
      <c r="DA187" s="144"/>
      <c r="DB187" s="144"/>
      <c r="DC187" s="144"/>
      <c r="DD187" s="144"/>
      <c r="DE187" s="144"/>
      <c r="DF187" s="144"/>
      <c r="DG187" s="144"/>
      <c r="DH187" s="144"/>
      <c r="DI187" s="144"/>
      <c r="DJ187" s="144"/>
      <c r="DK187" s="144"/>
      <c r="DL187" s="144"/>
      <c r="DM187" s="144"/>
      <c r="DN187" s="144"/>
      <c r="DO187" s="144"/>
      <c r="DP187" s="144"/>
      <c r="DQ187" s="144"/>
      <c r="DR187" s="144"/>
      <c r="DS187" s="144"/>
      <c r="DT187" s="144"/>
      <c r="DU187" s="144"/>
      <c r="DV187" s="144"/>
      <c r="DW187" s="144"/>
      <c r="DX187" s="144"/>
      <c r="DY187" s="144"/>
      <c r="DZ187" s="144"/>
      <c r="EA187" s="144"/>
      <c r="EB187" s="144"/>
      <c r="EC187" s="144"/>
      <c r="ED187" s="144"/>
      <c r="EE187" s="144"/>
      <c r="EF187" s="144"/>
      <c r="EG187" s="144"/>
      <c r="EH187" s="144"/>
      <c r="EI187" s="144"/>
      <c r="EJ187" s="144"/>
      <c r="EK187" s="144"/>
      <c r="EL187" s="144"/>
      <c r="EM187" s="144"/>
      <c r="EN187" s="144"/>
      <c r="EO187" s="144"/>
      <c r="EP187" s="144"/>
      <c r="EQ187" s="144"/>
      <c r="ER187" s="144"/>
      <c r="ES187" s="144"/>
      <c r="ET187" s="144"/>
      <c r="EU187" s="144"/>
      <c r="EV187" s="144"/>
      <c r="EW187" s="144"/>
      <c r="EX187" s="144"/>
      <c r="EY187" s="144"/>
      <c r="EZ187" s="144"/>
      <c r="FA187" s="144"/>
      <c r="FB187" s="144"/>
      <c r="FC187" s="144"/>
      <c r="FD187" s="144"/>
      <c r="FE187" s="144"/>
      <c r="FF187" s="144"/>
      <c r="FG187" s="144"/>
      <c r="FH187" s="144"/>
      <c r="FI187" s="144"/>
      <c r="FJ187" s="144"/>
      <c r="FK187" s="144"/>
      <c r="FL187" s="144"/>
      <c r="FM187" s="144"/>
      <c r="FN187" s="144"/>
      <c r="FO187" s="144"/>
      <c r="FP187" s="144"/>
      <c r="FQ187" s="144"/>
      <c r="FR187" s="144"/>
      <c r="FS187" s="144"/>
      <c r="FT187" s="144"/>
      <c r="FU187" s="144"/>
      <c r="FV187" s="144"/>
      <c r="FW187" s="144"/>
      <c r="FX187" s="144"/>
    </row>
    <row r="188" spans="1:180" s="56" customFormat="1" x14ac:dyDescent="0.2">
      <c r="A188" s="67"/>
      <c r="B188" s="66"/>
      <c r="C188" s="65">
        <f t="shared" si="21"/>
        <v>0</v>
      </c>
      <c r="D188" s="49"/>
      <c r="E188" s="65">
        <f t="shared" si="20"/>
        <v>0</v>
      </c>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c r="BC188" s="144"/>
      <c r="BD188" s="144"/>
      <c r="BE188" s="144"/>
      <c r="BF188" s="144"/>
      <c r="BG188" s="144"/>
      <c r="BH188" s="144"/>
      <c r="BI188" s="144"/>
      <c r="BJ188" s="144"/>
      <c r="BK188" s="144"/>
      <c r="BL188" s="144"/>
      <c r="BM188" s="144"/>
      <c r="BN188" s="144"/>
      <c r="BO188" s="144"/>
      <c r="BP188" s="144"/>
      <c r="BQ188" s="144"/>
      <c r="BR188" s="144"/>
      <c r="BS188" s="144"/>
      <c r="BT188" s="144"/>
      <c r="BU188" s="144"/>
      <c r="BV188" s="144"/>
      <c r="BW188" s="144"/>
      <c r="BX188" s="144"/>
      <c r="BY188" s="144"/>
      <c r="BZ188" s="144"/>
      <c r="CA188" s="144"/>
      <c r="CB188" s="144"/>
      <c r="CC188" s="144"/>
      <c r="CD188" s="144"/>
      <c r="CE188" s="144"/>
      <c r="CF188" s="144"/>
      <c r="CG188" s="144"/>
      <c r="CH188" s="144"/>
      <c r="CI188" s="144"/>
      <c r="CJ188" s="144"/>
      <c r="CK188" s="144"/>
      <c r="CL188" s="144"/>
      <c r="CM188" s="144"/>
      <c r="CN188" s="144"/>
      <c r="CO188" s="144"/>
      <c r="CP188" s="144"/>
      <c r="CQ188" s="144"/>
      <c r="CR188" s="144"/>
      <c r="CS188" s="144"/>
      <c r="CT188" s="144"/>
      <c r="CU188" s="144"/>
      <c r="CV188" s="144"/>
      <c r="CW188" s="144"/>
      <c r="CX188" s="144"/>
      <c r="CY188" s="144"/>
      <c r="CZ188" s="144"/>
      <c r="DA188" s="144"/>
      <c r="DB188" s="144"/>
      <c r="DC188" s="144"/>
      <c r="DD188" s="144"/>
      <c r="DE188" s="144"/>
      <c r="DF188" s="144"/>
      <c r="DG188" s="144"/>
      <c r="DH188" s="144"/>
      <c r="DI188" s="144"/>
      <c r="DJ188" s="144"/>
      <c r="DK188" s="144"/>
      <c r="DL188" s="144"/>
      <c r="DM188" s="144"/>
      <c r="DN188" s="144"/>
      <c r="DO188" s="144"/>
      <c r="DP188" s="144"/>
      <c r="DQ188" s="144"/>
      <c r="DR188" s="144"/>
      <c r="DS188" s="144"/>
      <c r="DT188" s="144"/>
      <c r="DU188" s="144"/>
      <c r="DV188" s="144"/>
      <c r="DW188" s="144"/>
      <c r="DX188" s="144"/>
      <c r="DY188" s="144"/>
      <c r="DZ188" s="144"/>
      <c r="EA188" s="144"/>
      <c r="EB188" s="144"/>
      <c r="EC188" s="144"/>
      <c r="ED188" s="144"/>
      <c r="EE188" s="144"/>
      <c r="EF188" s="144"/>
      <c r="EG188" s="144"/>
      <c r="EH188" s="144"/>
      <c r="EI188" s="144"/>
      <c r="EJ188" s="144"/>
      <c r="EK188" s="144"/>
      <c r="EL188" s="144"/>
      <c r="EM188" s="144"/>
      <c r="EN188" s="144"/>
      <c r="EO188" s="144"/>
      <c r="EP188" s="144"/>
      <c r="EQ188" s="144"/>
      <c r="ER188" s="144"/>
      <c r="ES188" s="144"/>
      <c r="ET188" s="144"/>
      <c r="EU188" s="144"/>
      <c r="EV188" s="144"/>
      <c r="EW188" s="144"/>
      <c r="EX188" s="144"/>
      <c r="EY188" s="144"/>
      <c r="EZ188" s="144"/>
      <c r="FA188" s="144"/>
      <c r="FB188" s="144"/>
      <c r="FC188" s="144"/>
      <c r="FD188" s="144"/>
      <c r="FE188" s="144"/>
      <c r="FF188" s="144"/>
      <c r="FG188" s="144"/>
      <c r="FH188" s="144"/>
      <c r="FI188" s="144"/>
      <c r="FJ188" s="144"/>
      <c r="FK188" s="144"/>
      <c r="FL188" s="144"/>
      <c r="FM188" s="144"/>
      <c r="FN188" s="144"/>
      <c r="FO188" s="144"/>
      <c r="FP188" s="144"/>
      <c r="FQ188" s="144"/>
      <c r="FR188" s="144"/>
      <c r="FS188" s="144"/>
      <c r="FT188" s="144"/>
      <c r="FU188" s="144"/>
      <c r="FV188" s="144"/>
      <c r="FW188" s="144"/>
      <c r="FX188" s="144"/>
    </row>
    <row r="189" spans="1:180" s="56" customFormat="1" x14ac:dyDescent="0.2">
      <c r="A189" s="67"/>
      <c r="B189" s="66"/>
      <c r="C189" s="65">
        <f t="shared" si="21"/>
        <v>0</v>
      </c>
      <c r="D189" s="49"/>
      <c r="E189" s="65">
        <f t="shared" si="20"/>
        <v>0</v>
      </c>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c r="BC189" s="144"/>
      <c r="BD189" s="144"/>
      <c r="BE189" s="144"/>
      <c r="BF189" s="144"/>
      <c r="BG189" s="144"/>
      <c r="BH189" s="144"/>
      <c r="BI189" s="144"/>
      <c r="BJ189" s="144"/>
      <c r="BK189" s="144"/>
      <c r="BL189" s="144"/>
      <c r="BM189" s="144"/>
      <c r="BN189" s="144"/>
      <c r="BO189" s="144"/>
      <c r="BP189" s="144"/>
      <c r="BQ189" s="144"/>
      <c r="BR189" s="144"/>
      <c r="BS189" s="144"/>
      <c r="BT189" s="144"/>
      <c r="BU189" s="144"/>
      <c r="BV189" s="144"/>
      <c r="BW189" s="144"/>
      <c r="BX189" s="144"/>
      <c r="BY189" s="144"/>
      <c r="BZ189" s="144"/>
      <c r="CA189" s="144"/>
      <c r="CB189" s="144"/>
      <c r="CC189" s="144"/>
      <c r="CD189" s="144"/>
      <c r="CE189" s="144"/>
      <c r="CF189" s="144"/>
      <c r="CG189" s="144"/>
      <c r="CH189" s="144"/>
      <c r="CI189" s="144"/>
      <c r="CJ189" s="144"/>
      <c r="CK189" s="144"/>
      <c r="CL189" s="144"/>
      <c r="CM189" s="144"/>
      <c r="CN189" s="144"/>
      <c r="CO189" s="144"/>
      <c r="CP189" s="144"/>
      <c r="CQ189" s="144"/>
      <c r="CR189" s="144"/>
      <c r="CS189" s="144"/>
      <c r="CT189" s="144"/>
      <c r="CU189" s="144"/>
      <c r="CV189" s="144"/>
      <c r="CW189" s="144"/>
      <c r="CX189" s="144"/>
      <c r="CY189" s="144"/>
      <c r="CZ189" s="144"/>
      <c r="DA189" s="144"/>
      <c r="DB189" s="144"/>
      <c r="DC189" s="144"/>
      <c r="DD189" s="144"/>
      <c r="DE189" s="144"/>
      <c r="DF189" s="144"/>
      <c r="DG189" s="144"/>
      <c r="DH189" s="144"/>
      <c r="DI189" s="144"/>
      <c r="DJ189" s="144"/>
      <c r="DK189" s="144"/>
      <c r="DL189" s="144"/>
      <c r="DM189" s="144"/>
      <c r="DN189" s="144"/>
      <c r="DO189" s="144"/>
      <c r="DP189" s="144"/>
      <c r="DQ189" s="144"/>
      <c r="DR189" s="144"/>
      <c r="DS189" s="144"/>
      <c r="DT189" s="144"/>
      <c r="DU189" s="144"/>
      <c r="DV189" s="144"/>
      <c r="DW189" s="144"/>
      <c r="DX189" s="144"/>
      <c r="DY189" s="144"/>
      <c r="DZ189" s="144"/>
      <c r="EA189" s="144"/>
      <c r="EB189" s="144"/>
      <c r="EC189" s="144"/>
      <c r="ED189" s="144"/>
      <c r="EE189" s="144"/>
      <c r="EF189" s="144"/>
      <c r="EG189" s="144"/>
      <c r="EH189" s="144"/>
      <c r="EI189" s="144"/>
      <c r="EJ189" s="144"/>
      <c r="EK189" s="144"/>
      <c r="EL189" s="144"/>
      <c r="EM189" s="144"/>
      <c r="EN189" s="144"/>
      <c r="EO189" s="144"/>
      <c r="EP189" s="144"/>
      <c r="EQ189" s="144"/>
      <c r="ER189" s="144"/>
      <c r="ES189" s="144"/>
      <c r="ET189" s="144"/>
      <c r="EU189" s="144"/>
      <c r="EV189" s="144"/>
      <c r="EW189" s="144"/>
      <c r="EX189" s="144"/>
      <c r="EY189" s="144"/>
      <c r="EZ189" s="144"/>
      <c r="FA189" s="144"/>
      <c r="FB189" s="144"/>
      <c r="FC189" s="144"/>
      <c r="FD189" s="144"/>
      <c r="FE189" s="144"/>
      <c r="FF189" s="144"/>
      <c r="FG189" s="144"/>
      <c r="FH189" s="144"/>
      <c r="FI189" s="144"/>
      <c r="FJ189" s="144"/>
      <c r="FK189" s="144"/>
      <c r="FL189" s="144"/>
      <c r="FM189" s="144"/>
      <c r="FN189" s="144"/>
      <c r="FO189" s="144"/>
      <c r="FP189" s="144"/>
      <c r="FQ189" s="144"/>
      <c r="FR189" s="144"/>
      <c r="FS189" s="144"/>
      <c r="FT189" s="144"/>
      <c r="FU189" s="144"/>
      <c r="FV189" s="144"/>
      <c r="FW189" s="144"/>
      <c r="FX189" s="144"/>
    </row>
    <row r="190" spans="1:180" s="56" customFormat="1" x14ac:dyDescent="0.2">
      <c r="A190" s="67"/>
      <c r="B190" s="66"/>
      <c r="C190" s="65">
        <f t="shared" si="21"/>
        <v>0</v>
      </c>
      <c r="D190" s="49"/>
      <c r="E190" s="65">
        <f t="shared" si="20"/>
        <v>0</v>
      </c>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44"/>
      <c r="BN190" s="144"/>
      <c r="BO190" s="144"/>
      <c r="BP190" s="144"/>
      <c r="BQ190" s="144"/>
      <c r="BR190" s="144"/>
      <c r="BS190" s="144"/>
      <c r="BT190" s="144"/>
      <c r="BU190" s="144"/>
      <c r="BV190" s="144"/>
      <c r="BW190" s="144"/>
      <c r="BX190" s="144"/>
      <c r="BY190" s="144"/>
      <c r="BZ190" s="144"/>
      <c r="CA190" s="144"/>
      <c r="CB190" s="144"/>
      <c r="CC190" s="144"/>
      <c r="CD190" s="144"/>
      <c r="CE190" s="144"/>
      <c r="CF190" s="144"/>
      <c r="CG190" s="144"/>
      <c r="CH190" s="144"/>
      <c r="CI190" s="144"/>
      <c r="CJ190" s="144"/>
      <c r="CK190" s="144"/>
      <c r="CL190" s="144"/>
      <c r="CM190" s="144"/>
      <c r="CN190" s="144"/>
      <c r="CO190" s="144"/>
      <c r="CP190" s="144"/>
      <c r="CQ190" s="144"/>
      <c r="CR190" s="144"/>
      <c r="CS190" s="144"/>
      <c r="CT190" s="144"/>
      <c r="CU190" s="144"/>
      <c r="CV190" s="144"/>
      <c r="CW190" s="144"/>
      <c r="CX190" s="144"/>
      <c r="CY190" s="144"/>
      <c r="CZ190" s="144"/>
      <c r="DA190" s="144"/>
      <c r="DB190" s="144"/>
      <c r="DC190" s="144"/>
      <c r="DD190" s="144"/>
      <c r="DE190" s="144"/>
      <c r="DF190" s="144"/>
      <c r="DG190" s="144"/>
      <c r="DH190" s="144"/>
      <c r="DI190" s="144"/>
      <c r="DJ190" s="144"/>
      <c r="DK190" s="144"/>
      <c r="DL190" s="144"/>
      <c r="DM190" s="144"/>
      <c r="DN190" s="144"/>
      <c r="DO190" s="144"/>
      <c r="DP190" s="144"/>
      <c r="DQ190" s="144"/>
      <c r="DR190" s="144"/>
      <c r="DS190" s="144"/>
      <c r="DT190" s="144"/>
      <c r="DU190" s="144"/>
      <c r="DV190" s="144"/>
      <c r="DW190" s="144"/>
      <c r="DX190" s="144"/>
      <c r="DY190" s="144"/>
      <c r="DZ190" s="144"/>
      <c r="EA190" s="144"/>
      <c r="EB190" s="144"/>
      <c r="EC190" s="144"/>
      <c r="ED190" s="144"/>
      <c r="EE190" s="144"/>
      <c r="EF190" s="144"/>
      <c r="EG190" s="144"/>
      <c r="EH190" s="144"/>
      <c r="EI190" s="144"/>
      <c r="EJ190" s="144"/>
      <c r="EK190" s="144"/>
      <c r="EL190" s="144"/>
      <c r="EM190" s="144"/>
      <c r="EN190" s="144"/>
      <c r="EO190" s="144"/>
      <c r="EP190" s="144"/>
      <c r="EQ190" s="144"/>
      <c r="ER190" s="144"/>
      <c r="ES190" s="144"/>
      <c r="ET190" s="144"/>
      <c r="EU190" s="144"/>
      <c r="EV190" s="144"/>
      <c r="EW190" s="144"/>
      <c r="EX190" s="144"/>
      <c r="EY190" s="144"/>
      <c r="EZ190" s="144"/>
      <c r="FA190" s="144"/>
      <c r="FB190" s="144"/>
      <c r="FC190" s="144"/>
      <c r="FD190" s="144"/>
      <c r="FE190" s="144"/>
      <c r="FF190" s="144"/>
      <c r="FG190" s="144"/>
      <c r="FH190" s="144"/>
      <c r="FI190" s="144"/>
      <c r="FJ190" s="144"/>
      <c r="FK190" s="144"/>
      <c r="FL190" s="144"/>
      <c r="FM190" s="144"/>
      <c r="FN190" s="144"/>
      <c r="FO190" s="144"/>
      <c r="FP190" s="144"/>
      <c r="FQ190" s="144"/>
      <c r="FR190" s="144"/>
      <c r="FS190" s="144"/>
      <c r="FT190" s="144"/>
      <c r="FU190" s="144"/>
      <c r="FV190" s="144"/>
      <c r="FW190" s="144"/>
      <c r="FX190" s="144"/>
    </row>
    <row r="191" spans="1:180" s="56" customFormat="1" x14ac:dyDescent="0.2">
      <c r="A191" s="67"/>
      <c r="B191" s="66"/>
      <c r="C191" s="65">
        <f t="shared" si="21"/>
        <v>0</v>
      </c>
      <c r="D191" s="49"/>
      <c r="E191" s="65">
        <f t="shared" si="20"/>
        <v>0</v>
      </c>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c r="AX191" s="144"/>
      <c r="AY191" s="144"/>
      <c r="AZ191" s="144"/>
      <c r="BA191" s="144"/>
      <c r="BB191" s="144"/>
      <c r="BC191" s="144"/>
      <c r="BD191" s="144"/>
      <c r="BE191" s="144"/>
      <c r="BF191" s="144"/>
      <c r="BG191" s="144"/>
      <c r="BH191" s="144"/>
      <c r="BI191" s="144"/>
      <c r="BJ191" s="144"/>
      <c r="BK191" s="144"/>
      <c r="BL191" s="144"/>
      <c r="BM191" s="144"/>
      <c r="BN191" s="144"/>
      <c r="BO191" s="144"/>
      <c r="BP191" s="144"/>
      <c r="BQ191" s="144"/>
      <c r="BR191" s="144"/>
      <c r="BS191" s="144"/>
      <c r="BT191" s="144"/>
      <c r="BU191" s="144"/>
      <c r="BV191" s="144"/>
      <c r="BW191" s="144"/>
      <c r="BX191" s="144"/>
      <c r="BY191" s="144"/>
      <c r="BZ191" s="144"/>
      <c r="CA191" s="144"/>
      <c r="CB191" s="144"/>
      <c r="CC191" s="144"/>
      <c r="CD191" s="144"/>
      <c r="CE191" s="144"/>
      <c r="CF191" s="144"/>
      <c r="CG191" s="144"/>
      <c r="CH191" s="144"/>
      <c r="CI191" s="144"/>
      <c r="CJ191" s="144"/>
      <c r="CK191" s="144"/>
      <c r="CL191" s="144"/>
      <c r="CM191" s="144"/>
      <c r="CN191" s="144"/>
      <c r="CO191" s="144"/>
      <c r="CP191" s="144"/>
      <c r="CQ191" s="144"/>
      <c r="CR191" s="144"/>
      <c r="CS191" s="144"/>
      <c r="CT191" s="144"/>
      <c r="CU191" s="144"/>
      <c r="CV191" s="144"/>
      <c r="CW191" s="144"/>
      <c r="CX191" s="144"/>
      <c r="CY191" s="144"/>
      <c r="CZ191" s="144"/>
      <c r="DA191" s="144"/>
      <c r="DB191" s="144"/>
      <c r="DC191" s="144"/>
      <c r="DD191" s="144"/>
      <c r="DE191" s="144"/>
      <c r="DF191" s="144"/>
      <c r="DG191" s="144"/>
      <c r="DH191" s="144"/>
      <c r="DI191" s="144"/>
      <c r="DJ191" s="144"/>
      <c r="DK191" s="144"/>
      <c r="DL191" s="144"/>
      <c r="DM191" s="144"/>
      <c r="DN191" s="144"/>
      <c r="DO191" s="144"/>
      <c r="DP191" s="144"/>
      <c r="DQ191" s="144"/>
      <c r="DR191" s="144"/>
      <c r="DS191" s="144"/>
      <c r="DT191" s="144"/>
      <c r="DU191" s="144"/>
      <c r="DV191" s="144"/>
      <c r="DW191" s="144"/>
      <c r="DX191" s="144"/>
      <c r="DY191" s="144"/>
      <c r="DZ191" s="144"/>
      <c r="EA191" s="144"/>
      <c r="EB191" s="144"/>
      <c r="EC191" s="144"/>
      <c r="ED191" s="144"/>
      <c r="EE191" s="144"/>
      <c r="EF191" s="144"/>
      <c r="EG191" s="144"/>
      <c r="EH191" s="144"/>
      <c r="EI191" s="144"/>
      <c r="EJ191" s="144"/>
      <c r="EK191" s="144"/>
      <c r="EL191" s="144"/>
      <c r="EM191" s="144"/>
      <c r="EN191" s="144"/>
      <c r="EO191" s="144"/>
      <c r="EP191" s="144"/>
      <c r="EQ191" s="144"/>
      <c r="ER191" s="144"/>
      <c r="ES191" s="144"/>
      <c r="ET191" s="144"/>
      <c r="EU191" s="144"/>
      <c r="EV191" s="144"/>
      <c r="EW191" s="144"/>
      <c r="EX191" s="144"/>
      <c r="EY191" s="144"/>
      <c r="EZ191" s="144"/>
      <c r="FA191" s="144"/>
      <c r="FB191" s="144"/>
      <c r="FC191" s="144"/>
      <c r="FD191" s="144"/>
      <c r="FE191" s="144"/>
      <c r="FF191" s="144"/>
      <c r="FG191" s="144"/>
      <c r="FH191" s="144"/>
      <c r="FI191" s="144"/>
      <c r="FJ191" s="144"/>
      <c r="FK191" s="144"/>
      <c r="FL191" s="144"/>
      <c r="FM191" s="144"/>
      <c r="FN191" s="144"/>
      <c r="FO191" s="144"/>
      <c r="FP191" s="144"/>
      <c r="FQ191" s="144"/>
      <c r="FR191" s="144"/>
      <c r="FS191" s="144"/>
      <c r="FT191" s="144"/>
      <c r="FU191" s="144"/>
      <c r="FV191" s="144"/>
      <c r="FW191" s="144"/>
      <c r="FX191" s="144"/>
    </row>
    <row r="192" spans="1:180" s="56" customFormat="1" x14ac:dyDescent="0.2">
      <c r="A192" s="67"/>
      <c r="B192" s="66"/>
      <c r="C192" s="65">
        <f t="shared" si="21"/>
        <v>0</v>
      </c>
      <c r="D192" s="49"/>
      <c r="E192" s="65">
        <f t="shared" si="20"/>
        <v>0</v>
      </c>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c r="BC192" s="144"/>
      <c r="BD192" s="144"/>
      <c r="BE192" s="144"/>
      <c r="BF192" s="144"/>
      <c r="BG192" s="144"/>
      <c r="BH192" s="144"/>
      <c r="BI192" s="144"/>
      <c r="BJ192" s="144"/>
      <c r="BK192" s="144"/>
      <c r="BL192" s="144"/>
      <c r="BM192" s="144"/>
      <c r="BN192" s="144"/>
      <c r="BO192" s="144"/>
      <c r="BP192" s="144"/>
      <c r="BQ192" s="144"/>
      <c r="BR192" s="144"/>
      <c r="BS192" s="144"/>
      <c r="BT192" s="144"/>
      <c r="BU192" s="144"/>
      <c r="BV192" s="144"/>
      <c r="BW192" s="144"/>
      <c r="BX192" s="144"/>
      <c r="BY192" s="144"/>
      <c r="BZ192" s="144"/>
      <c r="CA192" s="144"/>
      <c r="CB192" s="144"/>
      <c r="CC192" s="144"/>
      <c r="CD192" s="144"/>
      <c r="CE192" s="144"/>
      <c r="CF192" s="144"/>
      <c r="CG192" s="144"/>
      <c r="CH192" s="144"/>
      <c r="CI192" s="144"/>
      <c r="CJ192" s="144"/>
      <c r="CK192" s="144"/>
      <c r="CL192" s="144"/>
      <c r="CM192" s="144"/>
      <c r="CN192" s="144"/>
      <c r="CO192" s="144"/>
      <c r="CP192" s="144"/>
      <c r="CQ192" s="144"/>
      <c r="CR192" s="144"/>
      <c r="CS192" s="144"/>
      <c r="CT192" s="144"/>
      <c r="CU192" s="144"/>
      <c r="CV192" s="144"/>
      <c r="CW192" s="144"/>
      <c r="CX192" s="144"/>
      <c r="CY192" s="144"/>
      <c r="CZ192" s="144"/>
      <c r="DA192" s="144"/>
      <c r="DB192" s="144"/>
      <c r="DC192" s="144"/>
      <c r="DD192" s="144"/>
      <c r="DE192" s="144"/>
      <c r="DF192" s="144"/>
      <c r="DG192" s="144"/>
      <c r="DH192" s="144"/>
      <c r="DI192" s="144"/>
      <c r="DJ192" s="144"/>
      <c r="DK192" s="144"/>
      <c r="DL192" s="144"/>
      <c r="DM192" s="144"/>
      <c r="DN192" s="144"/>
      <c r="DO192" s="144"/>
      <c r="DP192" s="144"/>
      <c r="DQ192" s="144"/>
      <c r="DR192" s="144"/>
      <c r="DS192" s="144"/>
      <c r="DT192" s="144"/>
      <c r="DU192" s="144"/>
      <c r="DV192" s="144"/>
      <c r="DW192" s="144"/>
      <c r="DX192" s="144"/>
      <c r="DY192" s="144"/>
      <c r="DZ192" s="144"/>
      <c r="EA192" s="144"/>
      <c r="EB192" s="144"/>
      <c r="EC192" s="144"/>
      <c r="ED192" s="144"/>
      <c r="EE192" s="144"/>
      <c r="EF192" s="144"/>
      <c r="EG192" s="144"/>
      <c r="EH192" s="144"/>
      <c r="EI192" s="144"/>
      <c r="EJ192" s="144"/>
      <c r="EK192" s="144"/>
      <c r="EL192" s="144"/>
      <c r="EM192" s="144"/>
      <c r="EN192" s="144"/>
      <c r="EO192" s="144"/>
      <c r="EP192" s="144"/>
      <c r="EQ192" s="144"/>
      <c r="ER192" s="144"/>
      <c r="ES192" s="144"/>
      <c r="ET192" s="144"/>
      <c r="EU192" s="144"/>
      <c r="EV192" s="144"/>
      <c r="EW192" s="144"/>
      <c r="EX192" s="144"/>
      <c r="EY192" s="144"/>
      <c r="EZ192" s="144"/>
      <c r="FA192" s="144"/>
      <c r="FB192" s="144"/>
      <c r="FC192" s="144"/>
      <c r="FD192" s="144"/>
      <c r="FE192" s="144"/>
      <c r="FF192" s="144"/>
      <c r="FG192" s="144"/>
      <c r="FH192" s="144"/>
      <c r="FI192" s="144"/>
      <c r="FJ192" s="144"/>
      <c r="FK192" s="144"/>
      <c r="FL192" s="144"/>
      <c r="FM192" s="144"/>
      <c r="FN192" s="144"/>
      <c r="FO192" s="144"/>
      <c r="FP192" s="144"/>
      <c r="FQ192" s="144"/>
      <c r="FR192" s="144"/>
      <c r="FS192" s="144"/>
      <c r="FT192" s="144"/>
      <c r="FU192" s="144"/>
      <c r="FV192" s="144"/>
      <c r="FW192" s="144"/>
      <c r="FX192" s="144"/>
    </row>
    <row r="193" spans="1:180" s="56" customFormat="1" x14ac:dyDescent="0.2">
      <c r="A193" s="67"/>
      <c r="B193" s="66"/>
      <c r="C193" s="65">
        <f t="shared" si="21"/>
        <v>0</v>
      </c>
      <c r="D193" s="49"/>
      <c r="E193" s="65">
        <f t="shared" ref="E193:E205" si="22">SUM(G193:HQ193)</f>
        <v>0</v>
      </c>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c r="AX193" s="144"/>
      <c r="AY193" s="144"/>
      <c r="AZ193" s="144"/>
      <c r="BA193" s="144"/>
      <c r="BB193" s="144"/>
      <c r="BC193" s="144"/>
      <c r="BD193" s="144"/>
      <c r="BE193" s="144"/>
      <c r="BF193" s="144"/>
      <c r="BG193" s="144"/>
      <c r="BH193" s="144"/>
      <c r="BI193" s="144"/>
      <c r="BJ193" s="144"/>
      <c r="BK193" s="144"/>
      <c r="BL193" s="144"/>
      <c r="BM193" s="144"/>
      <c r="BN193" s="144"/>
      <c r="BO193" s="144"/>
      <c r="BP193" s="144"/>
      <c r="BQ193" s="144"/>
      <c r="BR193" s="144"/>
      <c r="BS193" s="144"/>
      <c r="BT193" s="144"/>
      <c r="BU193" s="144"/>
      <c r="BV193" s="144"/>
      <c r="BW193" s="144"/>
      <c r="BX193" s="144"/>
      <c r="BY193" s="144"/>
      <c r="BZ193" s="144"/>
      <c r="CA193" s="144"/>
      <c r="CB193" s="144"/>
      <c r="CC193" s="144"/>
      <c r="CD193" s="144"/>
      <c r="CE193" s="144"/>
      <c r="CF193" s="144"/>
      <c r="CG193" s="144"/>
      <c r="CH193" s="144"/>
      <c r="CI193" s="144"/>
      <c r="CJ193" s="144"/>
      <c r="CK193" s="144"/>
      <c r="CL193" s="144"/>
      <c r="CM193" s="144"/>
      <c r="CN193" s="144"/>
      <c r="CO193" s="144"/>
      <c r="CP193" s="144"/>
      <c r="CQ193" s="144"/>
      <c r="CR193" s="144"/>
      <c r="CS193" s="144"/>
      <c r="CT193" s="144"/>
      <c r="CU193" s="144"/>
      <c r="CV193" s="144"/>
      <c r="CW193" s="144"/>
      <c r="CX193" s="144"/>
      <c r="CY193" s="144"/>
      <c r="CZ193" s="144"/>
      <c r="DA193" s="144"/>
      <c r="DB193" s="144"/>
      <c r="DC193" s="144"/>
      <c r="DD193" s="144"/>
      <c r="DE193" s="144"/>
      <c r="DF193" s="144"/>
      <c r="DG193" s="144"/>
      <c r="DH193" s="144"/>
      <c r="DI193" s="144"/>
      <c r="DJ193" s="144"/>
      <c r="DK193" s="144"/>
      <c r="DL193" s="144"/>
      <c r="DM193" s="144"/>
      <c r="DN193" s="144"/>
      <c r="DO193" s="144"/>
      <c r="DP193" s="144"/>
      <c r="DQ193" s="144"/>
      <c r="DR193" s="144"/>
      <c r="DS193" s="144"/>
      <c r="DT193" s="144"/>
      <c r="DU193" s="144"/>
      <c r="DV193" s="144"/>
      <c r="DW193" s="144"/>
      <c r="DX193" s="144"/>
      <c r="DY193" s="144"/>
      <c r="DZ193" s="144"/>
      <c r="EA193" s="144"/>
      <c r="EB193" s="144"/>
      <c r="EC193" s="144"/>
      <c r="ED193" s="144"/>
      <c r="EE193" s="144"/>
      <c r="EF193" s="144"/>
      <c r="EG193" s="144"/>
      <c r="EH193" s="144"/>
      <c r="EI193" s="144"/>
      <c r="EJ193" s="144"/>
      <c r="EK193" s="144"/>
      <c r="EL193" s="144"/>
      <c r="EM193" s="144"/>
      <c r="EN193" s="144"/>
      <c r="EO193" s="144"/>
      <c r="EP193" s="144"/>
      <c r="EQ193" s="144"/>
      <c r="ER193" s="144"/>
      <c r="ES193" s="144"/>
      <c r="ET193" s="144"/>
      <c r="EU193" s="144"/>
      <c r="EV193" s="144"/>
      <c r="EW193" s="144"/>
      <c r="EX193" s="144"/>
      <c r="EY193" s="144"/>
      <c r="EZ193" s="144"/>
      <c r="FA193" s="144"/>
      <c r="FB193" s="144"/>
      <c r="FC193" s="144"/>
      <c r="FD193" s="144"/>
      <c r="FE193" s="144"/>
      <c r="FF193" s="144"/>
      <c r="FG193" s="144"/>
      <c r="FH193" s="144"/>
      <c r="FI193" s="144"/>
      <c r="FJ193" s="144"/>
      <c r="FK193" s="144"/>
      <c r="FL193" s="144"/>
      <c r="FM193" s="144"/>
      <c r="FN193" s="144"/>
      <c r="FO193" s="144"/>
      <c r="FP193" s="144"/>
      <c r="FQ193" s="144"/>
      <c r="FR193" s="144"/>
      <c r="FS193" s="144"/>
      <c r="FT193" s="144"/>
      <c r="FU193" s="144"/>
      <c r="FV193" s="144"/>
      <c r="FW193" s="144"/>
      <c r="FX193" s="144"/>
    </row>
    <row r="194" spans="1:180" s="56" customFormat="1" x14ac:dyDescent="0.2">
      <c r="A194" s="67"/>
      <c r="B194" s="66"/>
      <c r="C194" s="65">
        <f t="shared" si="21"/>
        <v>0</v>
      </c>
      <c r="D194" s="49"/>
      <c r="E194" s="65">
        <f t="shared" si="22"/>
        <v>0</v>
      </c>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c r="BC194" s="144"/>
      <c r="BD194" s="144"/>
      <c r="BE194" s="144"/>
      <c r="BF194" s="144"/>
      <c r="BG194" s="144"/>
      <c r="BH194" s="144"/>
      <c r="BI194" s="144"/>
      <c r="BJ194" s="144"/>
      <c r="BK194" s="144"/>
      <c r="BL194" s="144"/>
      <c r="BM194" s="144"/>
      <c r="BN194" s="144"/>
      <c r="BO194" s="144"/>
      <c r="BP194" s="144"/>
      <c r="BQ194" s="144"/>
      <c r="BR194" s="144"/>
      <c r="BS194" s="144"/>
      <c r="BT194" s="144"/>
      <c r="BU194" s="144"/>
      <c r="BV194" s="144"/>
      <c r="BW194" s="144"/>
      <c r="BX194" s="144"/>
      <c r="BY194" s="144"/>
      <c r="BZ194" s="144"/>
      <c r="CA194" s="144"/>
      <c r="CB194" s="144"/>
      <c r="CC194" s="144"/>
      <c r="CD194" s="144"/>
      <c r="CE194" s="144"/>
      <c r="CF194" s="144"/>
      <c r="CG194" s="144"/>
      <c r="CH194" s="144"/>
      <c r="CI194" s="144"/>
      <c r="CJ194" s="144"/>
      <c r="CK194" s="144"/>
      <c r="CL194" s="144"/>
      <c r="CM194" s="144"/>
      <c r="CN194" s="144"/>
      <c r="CO194" s="144"/>
      <c r="CP194" s="144"/>
      <c r="CQ194" s="144"/>
      <c r="CR194" s="144"/>
      <c r="CS194" s="144"/>
      <c r="CT194" s="144"/>
      <c r="CU194" s="144"/>
      <c r="CV194" s="144"/>
      <c r="CW194" s="144"/>
      <c r="CX194" s="144"/>
      <c r="CY194" s="144"/>
      <c r="CZ194" s="144"/>
      <c r="DA194" s="144"/>
      <c r="DB194" s="144"/>
      <c r="DC194" s="144"/>
      <c r="DD194" s="144"/>
      <c r="DE194" s="144"/>
      <c r="DF194" s="144"/>
      <c r="DG194" s="144"/>
      <c r="DH194" s="144"/>
      <c r="DI194" s="144"/>
      <c r="DJ194" s="144"/>
      <c r="DK194" s="144"/>
      <c r="DL194" s="144"/>
      <c r="DM194" s="144"/>
      <c r="DN194" s="144"/>
      <c r="DO194" s="144"/>
      <c r="DP194" s="144"/>
      <c r="DQ194" s="144"/>
      <c r="DR194" s="144"/>
      <c r="DS194" s="144"/>
      <c r="DT194" s="144"/>
      <c r="DU194" s="144"/>
      <c r="DV194" s="144"/>
      <c r="DW194" s="144"/>
      <c r="DX194" s="144"/>
      <c r="DY194" s="144"/>
      <c r="DZ194" s="144"/>
      <c r="EA194" s="144"/>
      <c r="EB194" s="144"/>
      <c r="EC194" s="144"/>
      <c r="ED194" s="144"/>
      <c r="EE194" s="144"/>
      <c r="EF194" s="144"/>
      <c r="EG194" s="144"/>
      <c r="EH194" s="144"/>
      <c r="EI194" s="144"/>
      <c r="EJ194" s="144"/>
      <c r="EK194" s="144"/>
      <c r="EL194" s="144"/>
      <c r="EM194" s="144"/>
      <c r="EN194" s="144"/>
      <c r="EO194" s="144"/>
      <c r="EP194" s="144"/>
      <c r="EQ194" s="144"/>
      <c r="ER194" s="144"/>
      <c r="ES194" s="144"/>
      <c r="ET194" s="144"/>
      <c r="EU194" s="144"/>
      <c r="EV194" s="144"/>
      <c r="EW194" s="144"/>
      <c r="EX194" s="144"/>
      <c r="EY194" s="144"/>
      <c r="EZ194" s="144"/>
      <c r="FA194" s="144"/>
      <c r="FB194" s="144"/>
      <c r="FC194" s="144"/>
      <c r="FD194" s="144"/>
      <c r="FE194" s="144"/>
      <c r="FF194" s="144"/>
      <c r="FG194" s="144"/>
      <c r="FH194" s="144"/>
      <c r="FI194" s="144"/>
      <c r="FJ194" s="144"/>
      <c r="FK194" s="144"/>
      <c r="FL194" s="144"/>
      <c r="FM194" s="144"/>
      <c r="FN194" s="144"/>
      <c r="FO194" s="144"/>
      <c r="FP194" s="144"/>
      <c r="FQ194" s="144"/>
      <c r="FR194" s="144"/>
      <c r="FS194" s="144"/>
      <c r="FT194" s="144"/>
      <c r="FU194" s="144"/>
      <c r="FV194" s="144"/>
      <c r="FW194" s="144"/>
      <c r="FX194" s="144"/>
    </row>
    <row r="195" spans="1:180" s="56" customFormat="1" x14ac:dyDescent="0.2">
      <c r="A195" s="67"/>
      <c r="B195" s="66"/>
      <c r="C195" s="65">
        <f t="shared" si="21"/>
        <v>0</v>
      </c>
      <c r="D195" s="49"/>
      <c r="E195" s="65">
        <f t="shared" si="22"/>
        <v>0</v>
      </c>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6"/>
      <c r="AP195" s="146"/>
      <c r="AQ195" s="146"/>
      <c r="AR195" s="146"/>
      <c r="AS195" s="144"/>
      <c r="AT195" s="144"/>
      <c r="AU195" s="144"/>
      <c r="AV195" s="144"/>
      <c r="AW195" s="144"/>
      <c r="AX195" s="144"/>
      <c r="AY195" s="144"/>
      <c r="AZ195" s="144"/>
      <c r="BA195" s="144"/>
      <c r="BB195" s="144"/>
      <c r="BC195" s="144"/>
      <c r="BD195" s="144"/>
      <c r="BE195" s="144"/>
      <c r="BF195" s="144"/>
      <c r="BG195" s="144"/>
      <c r="BH195" s="144"/>
      <c r="BI195" s="144"/>
      <c r="BJ195" s="144"/>
      <c r="BK195" s="144"/>
      <c r="BL195" s="144"/>
      <c r="BM195" s="144"/>
      <c r="BN195" s="144"/>
      <c r="BO195" s="144"/>
      <c r="BP195" s="144"/>
      <c r="BQ195" s="144"/>
      <c r="BR195" s="144"/>
      <c r="BS195" s="144"/>
      <c r="BT195" s="144"/>
      <c r="BU195" s="144"/>
      <c r="BV195" s="144"/>
      <c r="BW195" s="144"/>
      <c r="BX195" s="144"/>
      <c r="BY195" s="144"/>
      <c r="BZ195" s="144"/>
      <c r="CA195" s="144"/>
      <c r="CB195" s="144"/>
      <c r="CC195" s="144"/>
      <c r="CD195" s="144"/>
      <c r="CE195" s="144"/>
      <c r="CF195" s="144"/>
      <c r="CG195" s="144"/>
      <c r="CH195" s="144"/>
      <c r="CI195" s="144"/>
      <c r="CJ195" s="144"/>
      <c r="CK195" s="144"/>
      <c r="CL195" s="144"/>
      <c r="CM195" s="144"/>
      <c r="CN195" s="144"/>
      <c r="CO195" s="144"/>
      <c r="CP195" s="144"/>
      <c r="CQ195" s="144"/>
      <c r="CR195" s="144"/>
      <c r="CS195" s="144"/>
      <c r="CT195" s="144"/>
      <c r="CU195" s="144"/>
      <c r="CV195" s="144"/>
      <c r="CW195" s="144"/>
      <c r="CX195" s="144"/>
      <c r="CY195" s="144"/>
      <c r="CZ195" s="144"/>
      <c r="DA195" s="144"/>
      <c r="DB195" s="144"/>
      <c r="DC195" s="144"/>
      <c r="DD195" s="144"/>
      <c r="DE195" s="144"/>
      <c r="DF195" s="144"/>
      <c r="DG195" s="144"/>
      <c r="DH195" s="144"/>
      <c r="DI195" s="144"/>
      <c r="DJ195" s="144"/>
      <c r="DK195" s="144"/>
      <c r="DL195" s="144"/>
      <c r="DM195" s="144"/>
      <c r="DN195" s="144"/>
      <c r="DO195" s="144"/>
      <c r="DP195" s="144"/>
      <c r="DQ195" s="144"/>
      <c r="DR195" s="144"/>
      <c r="DS195" s="144"/>
      <c r="DT195" s="144"/>
      <c r="DU195" s="144"/>
      <c r="DV195" s="144"/>
      <c r="DW195" s="144"/>
      <c r="DX195" s="144"/>
      <c r="DY195" s="144"/>
      <c r="DZ195" s="144"/>
      <c r="EA195" s="144"/>
      <c r="EB195" s="144"/>
      <c r="EC195" s="144"/>
      <c r="ED195" s="144"/>
      <c r="EE195" s="144"/>
      <c r="EF195" s="144"/>
      <c r="EG195" s="144"/>
      <c r="EH195" s="144"/>
      <c r="EI195" s="144"/>
      <c r="EJ195" s="144"/>
      <c r="EK195" s="144"/>
      <c r="EL195" s="144"/>
      <c r="EM195" s="144"/>
      <c r="EN195" s="144"/>
      <c r="EO195" s="144"/>
      <c r="EP195" s="144"/>
      <c r="EQ195" s="144"/>
      <c r="ER195" s="144"/>
      <c r="ES195" s="144"/>
      <c r="ET195" s="144"/>
      <c r="EU195" s="144"/>
      <c r="EV195" s="144"/>
      <c r="EW195" s="144"/>
      <c r="EX195" s="144"/>
      <c r="EY195" s="144"/>
      <c r="EZ195" s="144"/>
      <c r="FA195" s="144"/>
      <c r="FB195" s="144"/>
      <c r="FC195" s="144"/>
      <c r="FD195" s="144"/>
      <c r="FE195" s="144"/>
      <c r="FF195" s="144"/>
      <c r="FG195" s="144"/>
      <c r="FH195" s="144"/>
      <c r="FI195" s="144"/>
      <c r="FJ195" s="144"/>
      <c r="FK195" s="144"/>
      <c r="FL195" s="144"/>
      <c r="FM195" s="144"/>
      <c r="FN195" s="144"/>
      <c r="FO195" s="144"/>
      <c r="FP195" s="144"/>
      <c r="FQ195" s="144"/>
      <c r="FR195" s="144"/>
      <c r="FS195" s="144"/>
      <c r="FT195" s="144"/>
      <c r="FU195" s="144"/>
      <c r="FV195" s="144"/>
      <c r="FW195" s="144"/>
      <c r="FX195" s="144"/>
    </row>
    <row r="196" spans="1:180" s="56" customFormat="1" x14ac:dyDescent="0.2">
      <c r="A196" s="67"/>
      <c r="B196" s="66"/>
      <c r="C196" s="65">
        <f t="shared" si="21"/>
        <v>0</v>
      </c>
      <c r="D196" s="49"/>
      <c r="E196" s="65">
        <f t="shared" si="22"/>
        <v>0</v>
      </c>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39"/>
      <c r="AP196" s="139"/>
      <c r="AQ196" s="139"/>
      <c r="AR196" s="139"/>
      <c r="AS196" s="144"/>
      <c r="AT196" s="144"/>
      <c r="AU196" s="144"/>
      <c r="AV196" s="144"/>
      <c r="AW196" s="144"/>
      <c r="AX196" s="144"/>
      <c r="AY196" s="144"/>
      <c r="AZ196" s="144"/>
      <c r="BA196" s="144"/>
      <c r="BB196" s="144"/>
      <c r="BC196" s="144"/>
      <c r="BD196" s="144"/>
      <c r="BE196" s="144"/>
      <c r="BF196" s="144"/>
      <c r="BG196" s="144"/>
      <c r="BH196" s="144"/>
      <c r="BI196" s="144"/>
      <c r="BJ196" s="144"/>
      <c r="BK196" s="144"/>
      <c r="BL196" s="144"/>
      <c r="BM196" s="144"/>
      <c r="BN196" s="144"/>
      <c r="BO196" s="144"/>
      <c r="BP196" s="144"/>
      <c r="BQ196" s="144"/>
      <c r="BR196" s="144"/>
      <c r="BS196" s="144"/>
      <c r="BT196" s="144"/>
      <c r="BU196" s="144"/>
      <c r="BV196" s="144"/>
      <c r="BW196" s="144"/>
      <c r="BX196" s="144"/>
      <c r="BY196" s="144"/>
      <c r="BZ196" s="144"/>
      <c r="CA196" s="144"/>
      <c r="CB196" s="144"/>
      <c r="CC196" s="144"/>
      <c r="CD196" s="144"/>
      <c r="CE196" s="144"/>
      <c r="CF196" s="144"/>
      <c r="CG196" s="144"/>
      <c r="CH196" s="144"/>
      <c r="CI196" s="144"/>
      <c r="CJ196" s="144"/>
      <c r="CK196" s="144"/>
      <c r="CL196" s="144"/>
      <c r="CM196" s="144"/>
      <c r="CN196" s="144"/>
      <c r="CO196" s="144"/>
      <c r="CP196" s="144"/>
      <c r="CQ196" s="144"/>
      <c r="CR196" s="144"/>
      <c r="CS196" s="144"/>
      <c r="CT196" s="144"/>
      <c r="CU196" s="144"/>
      <c r="CV196" s="144"/>
      <c r="CW196" s="144"/>
      <c r="CX196" s="144"/>
      <c r="CY196" s="144"/>
      <c r="CZ196" s="144"/>
      <c r="DA196" s="144"/>
      <c r="DB196" s="144"/>
      <c r="DC196" s="144"/>
      <c r="DD196" s="144"/>
      <c r="DE196" s="144"/>
      <c r="DF196" s="144"/>
      <c r="DG196" s="144"/>
      <c r="DH196" s="144"/>
      <c r="DI196" s="144"/>
      <c r="DJ196" s="144"/>
      <c r="DK196" s="144"/>
      <c r="DL196" s="144"/>
      <c r="DM196" s="144"/>
      <c r="DN196" s="144"/>
      <c r="DO196" s="144"/>
      <c r="DP196" s="144"/>
      <c r="DQ196" s="144"/>
      <c r="DR196" s="144"/>
      <c r="DS196" s="144"/>
      <c r="DT196" s="144"/>
      <c r="DU196" s="144"/>
      <c r="DV196" s="144"/>
      <c r="DW196" s="144"/>
      <c r="DX196" s="144"/>
      <c r="DY196" s="144"/>
      <c r="DZ196" s="144"/>
      <c r="EA196" s="144"/>
      <c r="EB196" s="144"/>
      <c r="EC196" s="144"/>
      <c r="ED196" s="144"/>
      <c r="EE196" s="144"/>
      <c r="EF196" s="144"/>
      <c r="EG196" s="144"/>
      <c r="EH196" s="144"/>
      <c r="EI196" s="144"/>
      <c r="EJ196" s="144"/>
      <c r="EK196" s="144"/>
      <c r="EL196" s="144"/>
      <c r="EM196" s="144"/>
      <c r="EN196" s="144"/>
      <c r="EO196" s="144"/>
      <c r="EP196" s="144"/>
      <c r="EQ196" s="144"/>
      <c r="ER196" s="144"/>
      <c r="ES196" s="144"/>
      <c r="ET196" s="144"/>
      <c r="EU196" s="144"/>
      <c r="EV196" s="144"/>
      <c r="EW196" s="144"/>
      <c r="EX196" s="144"/>
      <c r="EY196" s="144"/>
      <c r="EZ196" s="144"/>
      <c r="FA196" s="144"/>
      <c r="FB196" s="144"/>
      <c r="FC196" s="144"/>
      <c r="FD196" s="144"/>
      <c r="FE196" s="144"/>
      <c r="FF196" s="144"/>
      <c r="FG196" s="144"/>
      <c r="FH196" s="144"/>
      <c r="FI196" s="144"/>
      <c r="FJ196" s="144"/>
      <c r="FK196" s="144"/>
      <c r="FL196" s="144"/>
      <c r="FM196" s="144"/>
      <c r="FN196" s="144"/>
      <c r="FO196" s="144"/>
      <c r="FP196" s="144"/>
      <c r="FQ196" s="144"/>
      <c r="FR196" s="144"/>
      <c r="FS196" s="144"/>
      <c r="FT196" s="144"/>
      <c r="FU196" s="144"/>
      <c r="FV196" s="144"/>
      <c r="FW196" s="144"/>
      <c r="FX196" s="144"/>
    </row>
    <row r="197" spans="1:180" s="56" customFormat="1" x14ac:dyDescent="0.2">
      <c r="A197" s="67"/>
      <c r="B197" s="66"/>
      <c r="C197" s="65">
        <f t="shared" si="21"/>
        <v>0</v>
      </c>
      <c r="D197" s="49"/>
      <c r="E197" s="65">
        <f t="shared" si="22"/>
        <v>0</v>
      </c>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39"/>
      <c r="AP197" s="139"/>
      <c r="AQ197" s="139"/>
      <c r="AR197" s="139"/>
      <c r="AS197" s="144"/>
      <c r="AT197" s="144"/>
      <c r="AU197" s="144"/>
      <c r="AV197" s="144"/>
      <c r="AW197" s="144"/>
      <c r="AX197" s="144"/>
      <c r="AY197" s="144"/>
      <c r="AZ197" s="144"/>
      <c r="BA197" s="144"/>
      <c r="BB197" s="144"/>
      <c r="BC197" s="144"/>
      <c r="BD197" s="144"/>
      <c r="BE197" s="144"/>
      <c r="BF197" s="144"/>
      <c r="BG197" s="144"/>
      <c r="BH197" s="144"/>
      <c r="BI197" s="144"/>
      <c r="BJ197" s="144"/>
      <c r="BK197" s="144"/>
      <c r="BL197" s="144"/>
      <c r="BM197" s="144"/>
      <c r="BN197" s="144"/>
      <c r="BO197" s="144"/>
      <c r="BP197" s="144"/>
      <c r="BQ197" s="144"/>
      <c r="BR197" s="144"/>
      <c r="BS197" s="144"/>
      <c r="BT197" s="144"/>
      <c r="BU197" s="144"/>
      <c r="BV197" s="144"/>
      <c r="BW197" s="144"/>
      <c r="BX197" s="144"/>
      <c r="BY197" s="144"/>
      <c r="BZ197" s="144"/>
      <c r="CA197" s="144"/>
      <c r="CB197" s="144"/>
      <c r="CC197" s="144"/>
      <c r="CD197" s="144"/>
      <c r="CE197" s="144"/>
      <c r="CF197" s="144"/>
      <c r="CG197" s="144"/>
      <c r="CH197" s="144"/>
      <c r="CI197" s="144"/>
      <c r="CJ197" s="144"/>
      <c r="CK197" s="144"/>
      <c r="CL197" s="144"/>
      <c r="CM197" s="144"/>
      <c r="CN197" s="144"/>
      <c r="CO197" s="144"/>
      <c r="CP197" s="144"/>
      <c r="CQ197" s="144"/>
      <c r="CR197" s="144"/>
      <c r="CS197" s="144"/>
      <c r="CT197" s="144"/>
      <c r="CU197" s="144"/>
      <c r="CV197" s="144"/>
      <c r="CW197" s="144"/>
      <c r="CX197" s="144"/>
      <c r="CY197" s="144"/>
      <c r="CZ197" s="144"/>
      <c r="DA197" s="144"/>
      <c r="DB197" s="144"/>
      <c r="DC197" s="144"/>
      <c r="DD197" s="144"/>
      <c r="DE197" s="144"/>
      <c r="DF197" s="144"/>
      <c r="DG197" s="144"/>
      <c r="DH197" s="144"/>
      <c r="DI197" s="144"/>
      <c r="DJ197" s="144"/>
      <c r="DK197" s="144"/>
      <c r="DL197" s="144"/>
      <c r="DM197" s="144"/>
      <c r="DN197" s="144"/>
      <c r="DO197" s="144"/>
      <c r="DP197" s="144"/>
      <c r="DQ197" s="144"/>
      <c r="DR197" s="144"/>
      <c r="DS197" s="144"/>
      <c r="DT197" s="144"/>
      <c r="DU197" s="144"/>
      <c r="DV197" s="144"/>
      <c r="DW197" s="144"/>
      <c r="DX197" s="144"/>
      <c r="DY197" s="144"/>
      <c r="DZ197" s="144"/>
      <c r="EA197" s="144"/>
      <c r="EB197" s="144"/>
      <c r="EC197" s="144"/>
      <c r="ED197" s="144"/>
      <c r="EE197" s="144"/>
      <c r="EF197" s="144"/>
      <c r="EG197" s="144"/>
      <c r="EH197" s="144"/>
      <c r="EI197" s="144"/>
      <c r="EJ197" s="144"/>
      <c r="EK197" s="144"/>
      <c r="EL197" s="144"/>
      <c r="EM197" s="144"/>
      <c r="EN197" s="144"/>
      <c r="EO197" s="144"/>
      <c r="EP197" s="144"/>
      <c r="EQ197" s="144"/>
      <c r="ER197" s="144"/>
      <c r="ES197" s="144"/>
      <c r="ET197" s="144"/>
      <c r="EU197" s="144"/>
      <c r="EV197" s="144"/>
      <c r="EW197" s="144"/>
      <c r="EX197" s="144"/>
      <c r="EY197" s="144"/>
      <c r="EZ197" s="144"/>
      <c r="FA197" s="144"/>
      <c r="FB197" s="144"/>
      <c r="FC197" s="144"/>
      <c r="FD197" s="144"/>
      <c r="FE197" s="144"/>
      <c r="FF197" s="144"/>
      <c r="FG197" s="144"/>
      <c r="FH197" s="144"/>
      <c r="FI197" s="144"/>
      <c r="FJ197" s="144"/>
      <c r="FK197" s="144"/>
      <c r="FL197" s="144"/>
      <c r="FM197" s="144"/>
      <c r="FN197" s="144"/>
      <c r="FO197" s="144"/>
      <c r="FP197" s="144"/>
      <c r="FQ197" s="144"/>
      <c r="FR197" s="144"/>
      <c r="FS197" s="144"/>
      <c r="FT197" s="144"/>
      <c r="FU197" s="144"/>
      <c r="FV197" s="144"/>
      <c r="FW197" s="144"/>
      <c r="FX197" s="144"/>
    </row>
    <row r="198" spans="1:180" s="56" customFormat="1" x14ac:dyDescent="0.2">
      <c r="A198" s="67"/>
      <c r="B198" s="66"/>
      <c r="C198" s="65">
        <f t="shared" si="21"/>
        <v>0</v>
      </c>
      <c r="D198" s="49"/>
      <c r="E198" s="65">
        <f t="shared" si="22"/>
        <v>0</v>
      </c>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39"/>
      <c r="AP198" s="139"/>
      <c r="AQ198" s="139"/>
      <c r="AR198" s="139"/>
      <c r="AS198" s="144"/>
      <c r="AT198" s="144"/>
      <c r="AU198" s="144"/>
      <c r="AV198" s="144"/>
      <c r="AW198" s="144"/>
      <c r="AX198" s="144"/>
      <c r="AY198" s="144"/>
      <c r="AZ198" s="144"/>
      <c r="BA198" s="144"/>
      <c r="BB198" s="144"/>
      <c r="BC198" s="144"/>
      <c r="BD198" s="144"/>
      <c r="BE198" s="144"/>
      <c r="BF198" s="144"/>
      <c r="BG198" s="144"/>
      <c r="BH198" s="144"/>
      <c r="BI198" s="144"/>
      <c r="BJ198" s="144"/>
      <c r="BK198" s="144"/>
      <c r="BL198" s="144"/>
      <c r="BM198" s="144"/>
      <c r="BN198" s="144"/>
      <c r="BO198" s="144"/>
      <c r="BP198" s="144"/>
      <c r="BQ198" s="144"/>
      <c r="BR198" s="144"/>
      <c r="BS198" s="144"/>
      <c r="BT198" s="144"/>
      <c r="BU198" s="144"/>
      <c r="BV198" s="144"/>
      <c r="BW198" s="144"/>
      <c r="BX198" s="144"/>
      <c r="BY198" s="144"/>
      <c r="BZ198" s="144"/>
      <c r="CA198" s="144"/>
      <c r="CB198" s="144"/>
      <c r="CC198" s="144"/>
      <c r="CD198" s="144"/>
      <c r="CE198" s="144"/>
      <c r="CF198" s="144"/>
      <c r="CG198" s="144"/>
      <c r="CH198" s="144"/>
      <c r="CI198" s="144"/>
      <c r="CJ198" s="144"/>
      <c r="CK198" s="144"/>
      <c r="CL198" s="144"/>
      <c r="CM198" s="144"/>
      <c r="CN198" s="144"/>
      <c r="CO198" s="144"/>
      <c r="CP198" s="144"/>
      <c r="CQ198" s="144"/>
      <c r="CR198" s="144"/>
      <c r="CS198" s="144"/>
      <c r="CT198" s="144"/>
      <c r="CU198" s="144"/>
      <c r="CV198" s="144"/>
      <c r="CW198" s="144"/>
      <c r="CX198" s="144"/>
      <c r="CY198" s="144"/>
      <c r="CZ198" s="144"/>
      <c r="DA198" s="144"/>
      <c r="DB198" s="144"/>
      <c r="DC198" s="144"/>
      <c r="DD198" s="144"/>
      <c r="DE198" s="144"/>
      <c r="DF198" s="144"/>
      <c r="DG198" s="144"/>
      <c r="DH198" s="144"/>
      <c r="DI198" s="144"/>
      <c r="DJ198" s="144"/>
      <c r="DK198" s="144"/>
      <c r="DL198" s="144"/>
      <c r="DM198" s="144"/>
      <c r="DN198" s="144"/>
      <c r="DO198" s="144"/>
      <c r="DP198" s="144"/>
      <c r="DQ198" s="144"/>
      <c r="DR198" s="144"/>
      <c r="DS198" s="144"/>
      <c r="DT198" s="144"/>
      <c r="DU198" s="144"/>
      <c r="DV198" s="144"/>
      <c r="DW198" s="144"/>
      <c r="DX198" s="144"/>
      <c r="DY198" s="144"/>
      <c r="DZ198" s="144"/>
      <c r="EA198" s="144"/>
      <c r="EB198" s="144"/>
      <c r="EC198" s="144"/>
      <c r="ED198" s="144"/>
      <c r="EE198" s="144"/>
      <c r="EF198" s="144"/>
      <c r="EG198" s="144"/>
      <c r="EH198" s="144"/>
      <c r="EI198" s="144"/>
      <c r="EJ198" s="144"/>
      <c r="EK198" s="144"/>
      <c r="EL198" s="144"/>
      <c r="EM198" s="144"/>
      <c r="EN198" s="144"/>
      <c r="EO198" s="144"/>
      <c r="EP198" s="144"/>
      <c r="EQ198" s="144"/>
      <c r="ER198" s="144"/>
      <c r="ES198" s="144"/>
      <c r="ET198" s="144"/>
      <c r="EU198" s="144"/>
      <c r="EV198" s="144"/>
      <c r="EW198" s="144"/>
      <c r="EX198" s="144"/>
      <c r="EY198" s="144"/>
      <c r="EZ198" s="144"/>
      <c r="FA198" s="144"/>
      <c r="FB198" s="144"/>
      <c r="FC198" s="144"/>
      <c r="FD198" s="144"/>
      <c r="FE198" s="144"/>
      <c r="FF198" s="144"/>
      <c r="FG198" s="144"/>
      <c r="FH198" s="144"/>
      <c r="FI198" s="144"/>
      <c r="FJ198" s="144"/>
      <c r="FK198" s="144"/>
      <c r="FL198" s="144"/>
      <c r="FM198" s="144"/>
      <c r="FN198" s="144"/>
      <c r="FO198" s="144"/>
      <c r="FP198" s="144"/>
      <c r="FQ198" s="144"/>
      <c r="FR198" s="144"/>
      <c r="FS198" s="144"/>
      <c r="FT198" s="144"/>
      <c r="FU198" s="144"/>
      <c r="FV198" s="144"/>
      <c r="FW198" s="144"/>
      <c r="FX198" s="144"/>
    </row>
    <row r="199" spans="1:180" s="56" customFormat="1" x14ac:dyDescent="0.2">
      <c r="A199" s="67"/>
      <c r="B199" s="66"/>
      <c r="C199" s="65">
        <f t="shared" si="21"/>
        <v>0</v>
      </c>
      <c r="D199" s="49"/>
      <c r="E199" s="65">
        <f t="shared" si="22"/>
        <v>0</v>
      </c>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39"/>
      <c r="AP199" s="139"/>
      <c r="AQ199" s="139"/>
      <c r="AR199" s="139"/>
      <c r="AS199" s="144"/>
      <c r="AT199" s="144"/>
      <c r="AU199" s="144"/>
      <c r="AV199" s="144"/>
      <c r="AW199" s="144"/>
      <c r="AX199" s="144"/>
      <c r="AY199" s="144"/>
      <c r="AZ199" s="144"/>
      <c r="BA199" s="144"/>
      <c r="BB199" s="144"/>
      <c r="BC199" s="144"/>
      <c r="BD199" s="144"/>
      <c r="BE199" s="144"/>
      <c r="BF199" s="144"/>
      <c r="BG199" s="144"/>
      <c r="BH199" s="144"/>
      <c r="BI199" s="144"/>
      <c r="BJ199" s="144"/>
      <c r="BK199" s="144"/>
      <c r="BL199" s="144"/>
      <c r="BM199" s="144"/>
      <c r="BN199" s="144"/>
      <c r="BO199" s="144"/>
      <c r="BP199" s="144"/>
      <c r="BQ199" s="144"/>
      <c r="BR199" s="144"/>
      <c r="BS199" s="144"/>
      <c r="BT199" s="144"/>
      <c r="BU199" s="144"/>
      <c r="BV199" s="144"/>
      <c r="BW199" s="144"/>
      <c r="BX199" s="144"/>
      <c r="BY199" s="144"/>
      <c r="BZ199" s="144"/>
      <c r="CA199" s="144"/>
      <c r="CB199" s="144"/>
      <c r="CC199" s="144"/>
      <c r="CD199" s="144"/>
      <c r="CE199" s="144"/>
      <c r="CF199" s="144"/>
      <c r="CG199" s="144"/>
      <c r="CH199" s="144"/>
      <c r="CI199" s="144"/>
      <c r="CJ199" s="144"/>
      <c r="CK199" s="144"/>
      <c r="CL199" s="144"/>
      <c r="CM199" s="144"/>
      <c r="CN199" s="144"/>
      <c r="CO199" s="144"/>
      <c r="CP199" s="144"/>
      <c r="CQ199" s="144"/>
      <c r="CR199" s="144"/>
      <c r="CS199" s="144"/>
      <c r="CT199" s="144"/>
      <c r="CU199" s="144"/>
      <c r="CV199" s="144"/>
      <c r="CW199" s="144"/>
      <c r="CX199" s="144"/>
      <c r="CY199" s="144"/>
      <c r="CZ199" s="144"/>
      <c r="DA199" s="144"/>
      <c r="DB199" s="144"/>
      <c r="DC199" s="144"/>
      <c r="DD199" s="144"/>
      <c r="DE199" s="144"/>
      <c r="DF199" s="144"/>
      <c r="DG199" s="144"/>
      <c r="DH199" s="144"/>
      <c r="DI199" s="144"/>
      <c r="DJ199" s="144"/>
      <c r="DK199" s="144"/>
      <c r="DL199" s="144"/>
      <c r="DM199" s="144"/>
      <c r="DN199" s="144"/>
      <c r="DO199" s="144"/>
      <c r="DP199" s="144"/>
      <c r="DQ199" s="144"/>
      <c r="DR199" s="144"/>
      <c r="DS199" s="144"/>
      <c r="DT199" s="144"/>
      <c r="DU199" s="144"/>
      <c r="DV199" s="144"/>
      <c r="DW199" s="144"/>
      <c r="DX199" s="144"/>
      <c r="DY199" s="144"/>
      <c r="DZ199" s="144"/>
      <c r="EA199" s="144"/>
      <c r="EB199" s="144"/>
      <c r="EC199" s="144"/>
      <c r="ED199" s="144"/>
      <c r="EE199" s="144"/>
      <c r="EF199" s="144"/>
      <c r="EG199" s="144"/>
      <c r="EH199" s="144"/>
      <c r="EI199" s="144"/>
      <c r="EJ199" s="144"/>
      <c r="EK199" s="144"/>
      <c r="EL199" s="144"/>
      <c r="EM199" s="144"/>
      <c r="EN199" s="144"/>
      <c r="EO199" s="144"/>
      <c r="EP199" s="144"/>
      <c r="EQ199" s="144"/>
      <c r="ER199" s="144"/>
      <c r="ES199" s="144"/>
      <c r="ET199" s="144"/>
      <c r="EU199" s="144"/>
      <c r="EV199" s="144"/>
      <c r="EW199" s="144"/>
      <c r="EX199" s="144"/>
      <c r="EY199" s="144"/>
      <c r="EZ199" s="144"/>
      <c r="FA199" s="144"/>
      <c r="FB199" s="144"/>
      <c r="FC199" s="144"/>
      <c r="FD199" s="144"/>
      <c r="FE199" s="144"/>
      <c r="FF199" s="144"/>
      <c r="FG199" s="144"/>
      <c r="FH199" s="144"/>
      <c r="FI199" s="144"/>
      <c r="FJ199" s="144"/>
      <c r="FK199" s="144"/>
      <c r="FL199" s="144"/>
      <c r="FM199" s="144"/>
      <c r="FN199" s="144"/>
      <c r="FO199" s="144"/>
      <c r="FP199" s="144"/>
      <c r="FQ199" s="144"/>
      <c r="FR199" s="144"/>
      <c r="FS199" s="144"/>
      <c r="FT199" s="144"/>
      <c r="FU199" s="144"/>
      <c r="FV199" s="144"/>
      <c r="FW199" s="144"/>
      <c r="FX199" s="144"/>
    </row>
    <row r="200" spans="1:180" s="56" customFormat="1" x14ac:dyDescent="0.2">
      <c r="A200" s="67"/>
      <c r="B200" s="66"/>
      <c r="C200" s="65">
        <f t="shared" si="21"/>
        <v>0</v>
      </c>
      <c r="D200" s="49"/>
      <c r="E200" s="65">
        <f t="shared" si="22"/>
        <v>0</v>
      </c>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39"/>
      <c r="AP200" s="139"/>
      <c r="AQ200" s="139"/>
      <c r="AR200" s="139"/>
      <c r="AS200" s="144"/>
      <c r="AT200" s="144"/>
      <c r="AU200" s="144"/>
      <c r="AV200" s="144"/>
      <c r="AW200" s="144"/>
      <c r="AX200" s="144"/>
      <c r="AY200" s="144"/>
      <c r="AZ200" s="144"/>
      <c r="BA200" s="144"/>
      <c r="BB200" s="144"/>
      <c r="BC200" s="144"/>
      <c r="BD200" s="144"/>
      <c r="BE200" s="144"/>
      <c r="BF200" s="144"/>
      <c r="BG200" s="144"/>
      <c r="BH200" s="144"/>
      <c r="BI200" s="144"/>
      <c r="BJ200" s="144"/>
      <c r="BK200" s="144"/>
      <c r="BL200" s="144"/>
      <c r="BM200" s="144"/>
      <c r="BN200" s="144"/>
      <c r="BO200" s="144"/>
      <c r="BP200" s="144"/>
      <c r="BQ200" s="144"/>
      <c r="BR200" s="144"/>
      <c r="BS200" s="144"/>
      <c r="BT200" s="144"/>
      <c r="BU200" s="144"/>
      <c r="BV200" s="144"/>
      <c r="BW200" s="144"/>
      <c r="BX200" s="144"/>
      <c r="BY200" s="144"/>
      <c r="BZ200" s="144"/>
      <c r="CA200" s="144"/>
      <c r="CB200" s="144"/>
      <c r="CC200" s="144"/>
      <c r="CD200" s="144"/>
      <c r="CE200" s="144"/>
      <c r="CF200" s="144"/>
      <c r="CG200" s="144"/>
      <c r="CH200" s="144"/>
      <c r="CI200" s="144"/>
      <c r="CJ200" s="144"/>
      <c r="CK200" s="144"/>
      <c r="CL200" s="144"/>
      <c r="CM200" s="144"/>
      <c r="CN200" s="144"/>
      <c r="CO200" s="144"/>
      <c r="CP200" s="144"/>
      <c r="CQ200" s="144"/>
      <c r="CR200" s="144"/>
      <c r="CS200" s="144"/>
      <c r="CT200" s="144"/>
      <c r="CU200" s="144"/>
      <c r="CV200" s="144"/>
      <c r="CW200" s="144"/>
      <c r="CX200" s="144"/>
      <c r="CY200" s="144"/>
      <c r="CZ200" s="144"/>
      <c r="DA200" s="144"/>
      <c r="DB200" s="144"/>
      <c r="DC200" s="144"/>
      <c r="DD200" s="144"/>
      <c r="DE200" s="144"/>
      <c r="DF200" s="144"/>
      <c r="DG200" s="144"/>
      <c r="DH200" s="144"/>
      <c r="DI200" s="144"/>
      <c r="DJ200" s="144"/>
      <c r="DK200" s="144"/>
      <c r="DL200" s="144"/>
      <c r="DM200" s="144"/>
      <c r="DN200" s="144"/>
      <c r="DO200" s="144"/>
      <c r="DP200" s="144"/>
      <c r="DQ200" s="144"/>
      <c r="DR200" s="144"/>
      <c r="DS200" s="144"/>
      <c r="DT200" s="144"/>
      <c r="DU200" s="144"/>
      <c r="DV200" s="144"/>
      <c r="DW200" s="144"/>
      <c r="DX200" s="144"/>
      <c r="DY200" s="144"/>
      <c r="DZ200" s="144"/>
      <c r="EA200" s="144"/>
      <c r="EB200" s="144"/>
      <c r="EC200" s="144"/>
      <c r="ED200" s="144"/>
      <c r="EE200" s="144"/>
      <c r="EF200" s="144"/>
      <c r="EG200" s="144"/>
      <c r="EH200" s="144"/>
      <c r="EI200" s="144"/>
      <c r="EJ200" s="144"/>
      <c r="EK200" s="144"/>
      <c r="EL200" s="144"/>
      <c r="EM200" s="144"/>
      <c r="EN200" s="144"/>
      <c r="EO200" s="144"/>
      <c r="EP200" s="144"/>
      <c r="EQ200" s="144"/>
      <c r="ER200" s="144"/>
      <c r="ES200" s="144"/>
      <c r="ET200" s="144"/>
      <c r="EU200" s="144"/>
      <c r="EV200" s="144"/>
      <c r="EW200" s="144"/>
      <c r="EX200" s="144"/>
      <c r="EY200" s="144"/>
      <c r="EZ200" s="144"/>
      <c r="FA200" s="144"/>
      <c r="FB200" s="144"/>
      <c r="FC200" s="144"/>
      <c r="FD200" s="144"/>
      <c r="FE200" s="144"/>
      <c r="FF200" s="144"/>
      <c r="FG200" s="144"/>
      <c r="FH200" s="144"/>
      <c r="FI200" s="144"/>
      <c r="FJ200" s="144"/>
      <c r="FK200" s="144"/>
      <c r="FL200" s="144"/>
      <c r="FM200" s="144"/>
      <c r="FN200" s="144"/>
      <c r="FO200" s="144"/>
      <c r="FP200" s="144"/>
      <c r="FQ200" s="144"/>
      <c r="FR200" s="144"/>
      <c r="FS200" s="144"/>
      <c r="FT200" s="144"/>
      <c r="FU200" s="144"/>
      <c r="FV200" s="144"/>
      <c r="FW200" s="144"/>
      <c r="FX200" s="144"/>
    </row>
    <row r="201" spans="1:180" s="56" customFormat="1" x14ac:dyDescent="0.2">
      <c r="A201" s="67"/>
      <c r="B201" s="66"/>
      <c r="C201" s="65">
        <f t="shared" si="21"/>
        <v>0</v>
      </c>
      <c r="D201" s="49"/>
      <c r="E201" s="65">
        <f t="shared" si="22"/>
        <v>0</v>
      </c>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6"/>
      <c r="AO201" s="139"/>
      <c r="AP201" s="139"/>
      <c r="AQ201" s="139"/>
      <c r="AR201" s="139"/>
      <c r="AS201" s="144"/>
      <c r="AT201" s="144"/>
      <c r="AU201" s="144"/>
      <c r="AV201" s="144"/>
      <c r="AW201" s="144"/>
      <c r="AX201" s="144"/>
      <c r="AY201" s="144"/>
      <c r="AZ201" s="144"/>
      <c r="BA201" s="144"/>
      <c r="BB201" s="144"/>
      <c r="BC201" s="144"/>
      <c r="BD201" s="144"/>
      <c r="BE201" s="144"/>
      <c r="BF201" s="144"/>
      <c r="BG201" s="144"/>
      <c r="BH201" s="144"/>
      <c r="BI201" s="144"/>
      <c r="BJ201" s="144"/>
      <c r="BK201" s="144"/>
      <c r="BL201" s="144"/>
      <c r="BM201" s="144"/>
      <c r="BN201" s="144"/>
      <c r="BO201" s="144"/>
      <c r="BP201" s="144"/>
      <c r="BQ201" s="144"/>
      <c r="BR201" s="144"/>
      <c r="BS201" s="144"/>
      <c r="BT201" s="144"/>
      <c r="BU201" s="144"/>
      <c r="BV201" s="144"/>
      <c r="BW201" s="144"/>
      <c r="BX201" s="144"/>
      <c r="BY201" s="144"/>
      <c r="BZ201" s="144"/>
      <c r="CA201" s="144"/>
      <c r="CB201" s="144"/>
      <c r="CC201" s="144"/>
      <c r="CD201" s="144"/>
      <c r="CE201" s="144"/>
      <c r="CF201" s="144"/>
      <c r="CG201" s="144"/>
      <c r="CH201" s="144"/>
      <c r="CI201" s="144"/>
      <c r="CJ201" s="144"/>
      <c r="CK201" s="144"/>
      <c r="CL201" s="144"/>
      <c r="CM201" s="144"/>
      <c r="CN201" s="144"/>
      <c r="CO201" s="144"/>
      <c r="CP201" s="144"/>
      <c r="CQ201" s="144"/>
      <c r="CR201" s="144"/>
      <c r="CS201" s="144"/>
      <c r="CT201" s="144"/>
      <c r="CU201" s="144"/>
      <c r="CV201" s="144"/>
      <c r="CW201" s="144"/>
      <c r="CX201" s="144"/>
      <c r="CY201" s="144"/>
      <c r="CZ201" s="144"/>
      <c r="DA201" s="144"/>
      <c r="DB201" s="144"/>
      <c r="DC201" s="144"/>
      <c r="DD201" s="144"/>
      <c r="DE201" s="144"/>
      <c r="DF201" s="144"/>
      <c r="DG201" s="144"/>
      <c r="DH201" s="144"/>
      <c r="DI201" s="144"/>
      <c r="DJ201" s="144"/>
      <c r="DK201" s="144"/>
      <c r="DL201" s="144"/>
      <c r="DM201" s="144"/>
      <c r="DN201" s="144"/>
      <c r="DO201" s="144"/>
      <c r="DP201" s="144"/>
      <c r="DQ201" s="144"/>
      <c r="DR201" s="144"/>
      <c r="DS201" s="144"/>
      <c r="DT201" s="144"/>
      <c r="DU201" s="144"/>
      <c r="DV201" s="144"/>
      <c r="DW201" s="144"/>
      <c r="DX201" s="144"/>
      <c r="DY201" s="144"/>
      <c r="DZ201" s="144"/>
      <c r="EA201" s="144"/>
      <c r="EB201" s="144"/>
      <c r="EC201" s="144"/>
      <c r="ED201" s="144"/>
      <c r="EE201" s="144"/>
      <c r="EF201" s="144"/>
      <c r="EG201" s="144"/>
      <c r="EH201" s="144"/>
      <c r="EI201" s="144"/>
      <c r="EJ201" s="144"/>
      <c r="EK201" s="144"/>
      <c r="EL201" s="144"/>
      <c r="EM201" s="144"/>
      <c r="EN201" s="144"/>
      <c r="EO201" s="144"/>
      <c r="EP201" s="144"/>
      <c r="EQ201" s="144"/>
      <c r="ER201" s="144"/>
      <c r="ES201" s="144"/>
      <c r="ET201" s="144"/>
      <c r="EU201" s="144"/>
      <c r="EV201" s="144"/>
      <c r="EW201" s="144"/>
      <c r="EX201" s="144"/>
      <c r="EY201" s="144"/>
      <c r="EZ201" s="144"/>
      <c r="FA201" s="144"/>
      <c r="FB201" s="144"/>
      <c r="FC201" s="144"/>
      <c r="FD201" s="144"/>
      <c r="FE201" s="144"/>
      <c r="FF201" s="144"/>
      <c r="FG201" s="144"/>
      <c r="FH201" s="144"/>
      <c r="FI201" s="144"/>
      <c r="FJ201" s="144"/>
      <c r="FK201" s="144"/>
      <c r="FL201" s="144"/>
      <c r="FM201" s="144"/>
      <c r="FN201" s="144"/>
      <c r="FO201" s="144"/>
      <c r="FP201" s="144"/>
      <c r="FQ201" s="144"/>
      <c r="FR201" s="144"/>
      <c r="FS201" s="144"/>
      <c r="FT201" s="144"/>
      <c r="FU201" s="144"/>
      <c r="FV201" s="144"/>
      <c r="FW201" s="144"/>
      <c r="FX201" s="144"/>
    </row>
    <row r="202" spans="1:180" s="56" customFormat="1" x14ac:dyDescent="0.2">
      <c r="A202" s="67"/>
      <c r="B202" s="66"/>
      <c r="C202" s="65">
        <f t="shared" si="21"/>
        <v>0</v>
      </c>
      <c r="D202" s="49"/>
      <c r="E202" s="65">
        <f t="shared" si="22"/>
        <v>0</v>
      </c>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39"/>
      <c r="AO202" s="139"/>
      <c r="AP202" s="139"/>
      <c r="AQ202" s="139"/>
      <c r="AR202" s="139"/>
      <c r="AS202" s="144"/>
      <c r="AT202" s="144"/>
      <c r="AU202" s="144"/>
      <c r="AV202" s="146"/>
      <c r="AW202" s="144"/>
      <c r="AX202" s="144"/>
      <c r="AY202" s="144"/>
      <c r="AZ202" s="144"/>
      <c r="BA202" s="144"/>
      <c r="BB202" s="144"/>
      <c r="BC202" s="144"/>
      <c r="BD202" s="144"/>
      <c r="BE202" s="144"/>
      <c r="BF202" s="144"/>
      <c r="BG202" s="144"/>
      <c r="BH202" s="144"/>
      <c r="BI202" s="144"/>
      <c r="BJ202" s="144"/>
      <c r="BK202" s="144"/>
      <c r="BL202" s="144"/>
      <c r="BM202" s="144"/>
      <c r="BN202" s="144"/>
      <c r="BO202" s="144"/>
      <c r="BP202" s="144"/>
      <c r="BQ202" s="144"/>
      <c r="BR202" s="144"/>
      <c r="BS202" s="144"/>
      <c r="BT202" s="144"/>
      <c r="BU202" s="144"/>
      <c r="BV202" s="144"/>
      <c r="BW202" s="144"/>
      <c r="BX202" s="144"/>
      <c r="BY202" s="144"/>
      <c r="BZ202" s="144"/>
      <c r="CA202" s="144"/>
      <c r="CB202" s="144"/>
      <c r="CC202" s="144"/>
      <c r="CD202" s="144"/>
      <c r="CE202" s="144"/>
      <c r="CF202" s="144"/>
      <c r="CG202" s="144"/>
      <c r="CH202" s="144"/>
      <c r="CI202" s="144"/>
      <c r="CJ202" s="144"/>
      <c r="CK202" s="144"/>
      <c r="CL202" s="144"/>
      <c r="CM202" s="144"/>
      <c r="CN202" s="144"/>
      <c r="CO202" s="144"/>
      <c r="CP202" s="144"/>
      <c r="CQ202" s="144"/>
      <c r="CR202" s="144"/>
      <c r="CS202" s="144"/>
      <c r="CT202" s="144"/>
      <c r="CU202" s="144"/>
      <c r="CV202" s="144"/>
      <c r="CW202" s="144"/>
      <c r="CX202" s="144"/>
      <c r="CY202" s="144"/>
      <c r="CZ202" s="144"/>
      <c r="DA202" s="144"/>
      <c r="DB202" s="144"/>
      <c r="DC202" s="144"/>
      <c r="DD202" s="144"/>
      <c r="DE202" s="144"/>
      <c r="DF202" s="144"/>
      <c r="DG202" s="144"/>
      <c r="DH202" s="144"/>
      <c r="DI202" s="144"/>
      <c r="DJ202" s="144"/>
      <c r="DK202" s="144"/>
      <c r="DL202" s="144"/>
      <c r="DM202" s="144"/>
      <c r="DN202" s="144"/>
      <c r="DO202" s="144"/>
      <c r="DP202" s="144"/>
      <c r="DQ202" s="144"/>
      <c r="DR202" s="144"/>
      <c r="DS202" s="144"/>
      <c r="DT202" s="144"/>
      <c r="DU202" s="144"/>
      <c r="DV202" s="144"/>
      <c r="DW202" s="144"/>
      <c r="DX202" s="144"/>
      <c r="DY202" s="144"/>
      <c r="DZ202" s="144"/>
      <c r="EA202" s="144"/>
      <c r="EB202" s="144"/>
      <c r="EC202" s="144"/>
      <c r="ED202" s="144"/>
      <c r="EE202" s="144"/>
      <c r="EF202" s="144"/>
      <c r="EG202" s="144"/>
      <c r="EH202" s="144"/>
      <c r="EI202" s="144"/>
      <c r="EJ202" s="144"/>
      <c r="EK202" s="144"/>
      <c r="EL202" s="144"/>
      <c r="EM202" s="144"/>
      <c r="EN202" s="144"/>
      <c r="EO202" s="144"/>
      <c r="EP202" s="144"/>
      <c r="EQ202" s="144"/>
      <c r="ER202" s="144"/>
      <c r="ES202" s="144"/>
      <c r="ET202" s="144"/>
      <c r="EU202" s="144"/>
      <c r="EV202" s="144"/>
      <c r="EW202" s="144"/>
      <c r="EX202" s="144"/>
      <c r="EY202" s="144"/>
      <c r="EZ202" s="144"/>
      <c r="FA202" s="144"/>
      <c r="FB202" s="144"/>
      <c r="FC202" s="144"/>
      <c r="FD202" s="144"/>
      <c r="FE202" s="144"/>
      <c r="FF202" s="144"/>
      <c r="FG202" s="144"/>
      <c r="FH202" s="144"/>
      <c r="FI202" s="144"/>
      <c r="FJ202" s="144"/>
      <c r="FK202" s="144"/>
      <c r="FL202" s="144"/>
      <c r="FM202" s="144"/>
      <c r="FN202" s="144"/>
      <c r="FO202" s="144"/>
      <c r="FP202" s="144"/>
      <c r="FQ202" s="144"/>
      <c r="FR202" s="144"/>
      <c r="FS202" s="144"/>
      <c r="FT202" s="144"/>
      <c r="FU202" s="144"/>
      <c r="FV202" s="144"/>
      <c r="FW202" s="144"/>
      <c r="FX202" s="144"/>
    </row>
    <row r="203" spans="1:180" s="56" customFormat="1" x14ac:dyDescent="0.2">
      <c r="A203" s="67"/>
      <c r="B203" s="66"/>
      <c r="C203" s="65">
        <f t="shared" si="21"/>
        <v>0</v>
      </c>
      <c r="D203" s="49"/>
      <c r="E203" s="65">
        <f t="shared" si="22"/>
        <v>0</v>
      </c>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39"/>
      <c r="AO203" s="139"/>
      <c r="AP203" s="139"/>
      <c r="AQ203" s="139"/>
      <c r="AR203" s="139"/>
      <c r="AS203" s="144"/>
      <c r="AT203" s="144"/>
      <c r="AU203" s="144"/>
      <c r="AV203" s="139"/>
      <c r="AW203" s="144"/>
      <c r="AX203" s="144"/>
      <c r="AY203" s="144"/>
      <c r="AZ203" s="144"/>
      <c r="BA203" s="144"/>
      <c r="BB203" s="144"/>
      <c r="BC203" s="144"/>
      <c r="BD203" s="144"/>
      <c r="BE203" s="144"/>
      <c r="BF203" s="144"/>
      <c r="BG203" s="144"/>
      <c r="BH203" s="144"/>
      <c r="BI203" s="144"/>
      <c r="BJ203" s="144"/>
      <c r="BK203" s="144"/>
      <c r="BL203" s="144"/>
      <c r="BM203" s="144"/>
      <c r="BN203" s="144"/>
      <c r="BO203" s="144"/>
      <c r="BP203" s="144"/>
      <c r="BQ203" s="144"/>
      <c r="BR203" s="144"/>
      <c r="BS203" s="144"/>
      <c r="BT203" s="144"/>
      <c r="BU203" s="144"/>
      <c r="BV203" s="144"/>
      <c r="BW203" s="144"/>
      <c r="BX203" s="144"/>
      <c r="BY203" s="144"/>
      <c r="BZ203" s="144"/>
      <c r="CA203" s="144"/>
      <c r="CB203" s="144"/>
      <c r="CC203" s="144"/>
      <c r="CD203" s="144"/>
      <c r="CE203" s="144"/>
      <c r="CF203" s="144"/>
      <c r="CG203" s="144"/>
      <c r="CH203" s="144"/>
      <c r="CI203" s="144"/>
      <c r="CJ203" s="144"/>
      <c r="CK203" s="144"/>
      <c r="CL203" s="144"/>
      <c r="CM203" s="144"/>
      <c r="CN203" s="144"/>
      <c r="CO203" s="144"/>
      <c r="CP203" s="144"/>
      <c r="CQ203" s="144"/>
      <c r="CR203" s="144"/>
      <c r="CS203" s="144"/>
      <c r="CT203" s="144"/>
      <c r="CU203" s="144"/>
      <c r="CV203" s="144"/>
      <c r="CW203" s="144"/>
      <c r="CX203" s="144"/>
      <c r="CY203" s="144"/>
      <c r="CZ203" s="144"/>
      <c r="DA203" s="144"/>
      <c r="DB203" s="144"/>
      <c r="DC203" s="144"/>
      <c r="DD203" s="144"/>
      <c r="DE203" s="144"/>
      <c r="DF203" s="144"/>
      <c r="DG203" s="144"/>
      <c r="DH203" s="144"/>
      <c r="DI203" s="144"/>
      <c r="DJ203" s="144"/>
      <c r="DK203" s="144"/>
      <c r="DL203" s="144"/>
      <c r="DM203" s="144"/>
      <c r="DN203" s="144"/>
      <c r="DO203" s="144"/>
      <c r="DP203" s="144"/>
      <c r="DQ203" s="144"/>
      <c r="DR203" s="144"/>
      <c r="DS203" s="144"/>
      <c r="DT203" s="144"/>
      <c r="DU203" s="144"/>
      <c r="DV203" s="144"/>
      <c r="DW203" s="144"/>
      <c r="DX203" s="144"/>
      <c r="DY203" s="144"/>
      <c r="DZ203" s="144"/>
      <c r="EA203" s="144"/>
      <c r="EB203" s="144"/>
      <c r="EC203" s="144"/>
      <c r="ED203" s="144"/>
      <c r="EE203" s="144"/>
      <c r="EF203" s="144"/>
      <c r="EG203" s="144"/>
      <c r="EH203" s="144"/>
      <c r="EI203" s="144"/>
      <c r="EJ203" s="144"/>
      <c r="EK203" s="144"/>
      <c r="EL203" s="144"/>
      <c r="EM203" s="144"/>
      <c r="EN203" s="144"/>
      <c r="EO203" s="144"/>
      <c r="EP203" s="144"/>
      <c r="EQ203" s="144"/>
      <c r="ER203" s="144"/>
      <c r="ES203" s="144"/>
      <c r="ET203" s="144"/>
      <c r="EU203" s="144"/>
      <c r="EV203" s="144"/>
      <c r="EW203" s="144"/>
      <c r="EX203" s="144"/>
      <c r="EY203" s="144"/>
      <c r="EZ203" s="144"/>
      <c r="FA203" s="144"/>
      <c r="FB203" s="144"/>
      <c r="FC203" s="144"/>
      <c r="FD203" s="144"/>
      <c r="FE203" s="144"/>
      <c r="FF203" s="144"/>
      <c r="FG203" s="144"/>
      <c r="FH203" s="144"/>
      <c r="FI203" s="144"/>
      <c r="FJ203" s="144"/>
      <c r="FK203" s="144"/>
      <c r="FL203" s="144"/>
      <c r="FM203" s="144"/>
      <c r="FN203" s="144"/>
      <c r="FO203" s="144"/>
      <c r="FP203" s="144"/>
      <c r="FQ203" s="144"/>
      <c r="FR203" s="144"/>
      <c r="FS203" s="144"/>
      <c r="FT203" s="144"/>
      <c r="FU203" s="144"/>
      <c r="FV203" s="144"/>
      <c r="FW203" s="144"/>
      <c r="FX203" s="144"/>
    </row>
    <row r="204" spans="1:180" s="56" customFormat="1" x14ac:dyDescent="0.2">
      <c r="A204" s="67"/>
      <c r="B204" s="66"/>
      <c r="C204" s="65">
        <f t="shared" ref="C204:C205" si="23">E204*D$5</f>
        <v>0</v>
      </c>
      <c r="D204" s="49"/>
      <c r="E204" s="65">
        <f t="shared" si="22"/>
        <v>0</v>
      </c>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39"/>
      <c r="AO204" s="139"/>
      <c r="AP204" s="139"/>
      <c r="AQ204" s="139"/>
      <c r="AR204" s="139"/>
      <c r="AS204" s="144"/>
      <c r="AT204" s="144"/>
      <c r="AU204" s="144"/>
      <c r="AV204" s="139"/>
      <c r="AW204" s="144"/>
      <c r="AX204" s="144"/>
      <c r="AY204" s="144"/>
      <c r="AZ204" s="144"/>
      <c r="BA204" s="144"/>
      <c r="BB204" s="144"/>
      <c r="BC204" s="144"/>
      <c r="BD204" s="144"/>
      <c r="BE204" s="144"/>
      <c r="BF204" s="144"/>
      <c r="BG204" s="144"/>
      <c r="BH204" s="144"/>
      <c r="BI204" s="144"/>
      <c r="BJ204" s="144"/>
      <c r="BK204" s="144"/>
      <c r="BL204" s="144"/>
      <c r="BM204" s="144"/>
      <c r="BN204" s="144"/>
      <c r="BO204" s="144"/>
      <c r="BP204" s="144"/>
      <c r="BQ204" s="144"/>
      <c r="BR204" s="144"/>
      <c r="BS204" s="144"/>
      <c r="BT204" s="144"/>
      <c r="BU204" s="144"/>
      <c r="BV204" s="144"/>
      <c r="BW204" s="144"/>
      <c r="BX204" s="144"/>
      <c r="BY204" s="144"/>
      <c r="BZ204" s="144"/>
      <c r="CA204" s="144"/>
      <c r="CB204" s="144"/>
      <c r="CC204" s="144"/>
      <c r="CD204" s="144"/>
      <c r="CE204" s="144"/>
      <c r="CF204" s="144"/>
      <c r="CG204" s="144"/>
      <c r="CH204" s="144"/>
      <c r="CI204" s="144"/>
      <c r="CJ204" s="144"/>
      <c r="CK204" s="144"/>
      <c r="CL204" s="144"/>
      <c r="CM204" s="144"/>
      <c r="CN204" s="144"/>
      <c r="CO204" s="144"/>
      <c r="CP204" s="144"/>
      <c r="CQ204" s="144"/>
      <c r="CR204" s="144"/>
      <c r="CS204" s="144"/>
      <c r="CT204" s="144"/>
      <c r="CU204" s="144"/>
      <c r="CV204" s="144"/>
      <c r="CW204" s="144"/>
      <c r="CX204" s="144"/>
      <c r="CY204" s="144"/>
      <c r="CZ204" s="144"/>
      <c r="DA204" s="144"/>
      <c r="DB204" s="144"/>
      <c r="DC204" s="144"/>
      <c r="DD204" s="144"/>
      <c r="DE204" s="144"/>
      <c r="DF204" s="144"/>
      <c r="DG204" s="144"/>
      <c r="DH204" s="144"/>
      <c r="DI204" s="144"/>
      <c r="DJ204" s="144"/>
      <c r="DK204" s="144"/>
      <c r="DL204" s="144"/>
      <c r="DM204" s="144"/>
      <c r="DN204" s="144"/>
      <c r="DO204" s="144"/>
      <c r="DP204" s="144"/>
      <c r="DQ204" s="144"/>
      <c r="DR204" s="144"/>
      <c r="DS204" s="144"/>
      <c r="DT204" s="144"/>
      <c r="DU204" s="144"/>
      <c r="DV204" s="144"/>
      <c r="DW204" s="144"/>
      <c r="DX204" s="144"/>
      <c r="DY204" s="144"/>
      <c r="DZ204" s="144"/>
      <c r="EA204" s="144"/>
      <c r="EB204" s="144"/>
      <c r="EC204" s="144"/>
      <c r="ED204" s="144"/>
      <c r="EE204" s="144"/>
      <c r="EF204" s="144"/>
      <c r="EG204" s="144"/>
      <c r="EH204" s="144"/>
      <c r="EI204" s="144"/>
      <c r="EJ204" s="144"/>
      <c r="EK204" s="144"/>
      <c r="EL204" s="144"/>
      <c r="EM204" s="144"/>
      <c r="EN204" s="144"/>
      <c r="EO204" s="144"/>
      <c r="EP204" s="144"/>
      <c r="EQ204" s="144"/>
      <c r="ER204" s="144"/>
      <c r="ES204" s="144"/>
      <c r="ET204" s="144"/>
      <c r="EU204" s="144"/>
      <c r="EV204" s="144"/>
      <c r="EW204" s="144"/>
      <c r="EX204" s="144"/>
      <c r="EY204" s="144"/>
      <c r="EZ204" s="144"/>
      <c r="FA204" s="144"/>
      <c r="FB204" s="144"/>
      <c r="FC204" s="144"/>
      <c r="FD204" s="144"/>
      <c r="FE204" s="144"/>
      <c r="FF204" s="144"/>
      <c r="FG204" s="144"/>
      <c r="FH204" s="144"/>
      <c r="FI204" s="144"/>
      <c r="FJ204" s="144"/>
      <c r="FK204" s="144"/>
      <c r="FL204" s="144"/>
      <c r="FM204" s="144"/>
      <c r="FN204" s="144"/>
      <c r="FO204" s="144"/>
      <c r="FP204" s="144"/>
      <c r="FQ204" s="144"/>
      <c r="FR204" s="144"/>
      <c r="FS204" s="144"/>
      <c r="FT204" s="144"/>
      <c r="FU204" s="144"/>
      <c r="FV204" s="144"/>
      <c r="FW204" s="144"/>
      <c r="FX204" s="144"/>
    </row>
    <row r="205" spans="1:180" s="56" customFormat="1" x14ac:dyDescent="0.2">
      <c r="A205" s="67"/>
      <c r="B205" s="66"/>
      <c r="C205" s="65">
        <f t="shared" si="23"/>
        <v>0</v>
      </c>
      <c r="D205" s="49"/>
      <c r="E205" s="65">
        <f t="shared" si="22"/>
        <v>0</v>
      </c>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6"/>
      <c r="AL205" s="144"/>
      <c r="AM205" s="144"/>
      <c r="AN205" s="139"/>
      <c r="AO205" s="139"/>
      <c r="AP205" s="139"/>
      <c r="AQ205" s="139"/>
      <c r="AR205" s="139"/>
      <c r="AS205" s="144"/>
      <c r="AT205" s="144"/>
      <c r="AU205" s="144"/>
      <c r="AV205" s="139"/>
      <c r="AW205" s="144"/>
      <c r="AX205" s="144"/>
      <c r="AY205" s="144"/>
      <c r="AZ205" s="144"/>
      <c r="BA205" s="144"/>
      <c r="BB205" s="144"/>
      <c r="BC205" s="144"/>
      <c r="BD205" s="144"/>
      <c r="BE205" s="144"/>
      <c r="BF205" s="144"/>
      <c r="BG205" s="144"/>
      <c r="BH205" s="144"/>
      <c r="BI205" s="144"/>
      <c r="BJ205" s="144"/>
      <c r="BK205" s="144"/>
      <c r="BL205" s="144"/>
      <c r="BM205" s="144"/>
      <c r="BN205" s="144"/>
      <c r="BO205" s="144"/>
      <c r="BP205" s="144"/>
      <c r="BQ205" s="144"/>
      <c r="BR205" s="144"/>
      <c r="BS205" s="144"/>
      <c r="BT205" s="144"/>
      <c r="BU205" s="144"/>
      <c r="BV205" s="144"/>
      <c r="BW205" s="144"/>
      <c r="BX205" s="144"/>
      <c r="BY205" s="144"/>
      <c r="BZ205" s="144"/>
      <c r="CA205" s="144"/>
      <c r="CB205" s="144"/>
      <c r="CC205" s="144"/>
      <c r="CD205" s="144"/>
      <c r="CE205" s="144"/>
      <c r="CF205" s="144"/>
      <c r="CG205" s="144"/>
      <c r="CH205" s="144"/>
      <c r="CI205" s="144"/>
      <c r="CJ205" s="144"/>
      <c r="CK205" s="144"/>
      <c r="CL205" s="144"/>
      <c r="CM205" s="144"/>
      <c r="CN205" s="144"/>
      <c r="CO205" s="144"/>
      <c r="CP205" s="144"/>
      <c r="CQ205" s="144"/>
      <c r="CR205" s="144"/>
      <c r="CS205" s="144"/>
      <c r="CT205" s="144"/>
      <c r="CU205" s="144"/>
      <c r="CV205" s="144"/>
      <c r="CW205" s="144"/>
      <c r="CX205" s="144"/>
      <c r="CY205" s="144"/>
      <c r="CZ205" s="144"/>
      <c r="DA205" s="144"/>
      <c r="DB205" s="144"/>
      <c r="DC205" s="144"/>
      <c r="DD205" s="144"/>
      <c r="DE205" s="144"/>
      <c r="DF205" s="144"/>
      <c r="DG205" s="144"/>
      <c r="DH205" s="144"/>
      <c r="DI205" s="144"/>
      <c r="DJ205" s="144"/>
      <c r="DK205" s="144"/>
      <c r="DL205" s="144"/>
      <c r="DM205" s="144"/>
      <c r="DN205" s="144"/>
      <c r="DO205" s="144"/>
      <c r="DP205" s="144"/>
      <c r="DQ205" s="144"/>
      <c r="DR205" s="144"/>
      <c r="DS205" s="144"/>
      <c r="DT205" s="144"/>
      <c r="DU205" s="144"/>
      <c r="DV205" s="144"/>
      <c r="DW205" s="144"/>
      <c r="DX205" s="144"/>
      <c r="DY205" s="144"/>
      <c r="DZ205" s="144"/>
      <c r="EA205" s="144"/>
      <c r="EB205" s="144"/>
      <c r="EC205" s="144"/>
      <c r="ED205" s="144"/>
      <c r="EE205" s="144"/>
      <c r="EF205" s="144"/>
      <c r="EG205" s="144"/>
      <c r="EH205" s="144"/>
      <c r="EI205" s="144"/>
      <c r="EJ205" s="144"/>
      <c r="EK205" s="144"/>
      <c r="EL205" s="144"/>
      <c r="EM205" s="144"/>
      <c r="EN205" s="144"/>
      <c r="EO205" s="144"/>
      <c r="EP205" s="144"/>
      <c r="EQ205" s="144"/>
      <c r="ER205" s="144"/>
      <c r="ES205" s="144"/>
      <c r="ET205" s="144"/>
      <c r="EU205" s="144"/>
      <c r="EV205" s="144"/>
      <c r="EW205" s="144"/>
      <c r="EX205" s="144"/>
      <c r="EY205" s="144"/>
      <c r="EZ205" s="144"/>
      <c r="FA205" s="144"/>
      <c r="FB205" s="144"/>
      <c r="FC205" s="144"/>
      <c r="FD205" s="144"/>
      <c r="FE205" s="144"/>
      <c r="FF205" s="144"/>
      <c r="FG205" s="144"/>
      <c r="FH205" s="144"/>
      <c r="FI205" s="144"/>
      <c r="FJ205" s="144"/>
      <c r="FK205" s="144"/>
      <c r="FL205" s="144"/>
      <c r="FM205" s="144"/>
      <c r="FN205" s="144"/>
      <c r="FO205" s="144"/>
      <c r="FP205" s="144"/>
      <c r="FQ205" s="144"/>
      <c r="FR205" s="144"/>
      <c r="FS205" s="144"/>
      <c r="FT205" s="144"/>
      <c r="FU205" s="144"/>
      <c r="FV205" s="144"/>
      <c r="FW205" s="144"/>
      <c r="FX205" s="144"/>
    </row>
    <row r="206" spans="1:180" s="58" customFormat="1" x14ac:dyDescent="0.2">
      <c r="A206" s="63"/>
      <c r="B206" s="62"/>
      <c r="C206" s="61"/>
      <c r="D206" s="60"/>
      <c r="E206" s="59"/>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39"/>
      <c r="AL206" s="146"/>
      <c r="AM206" s="146"/>
      <c r="AN206" s="139"/>
      <c r="AO206" s="139"/>
      <c r="AP206" s="139"/>
      <c r="AQ206" s="139"/>
      <c r="AR206" s="139"/>
      <c r="AS206" s="146"/>
      <c r="AT206" s="146"/>
      <c r="AU206" s="146"/>
      <c r="AV206" s="139"/>
      <c r="AW206" s="146"/>
      <c r="AX206" s="146"/>
      <c r="AY206" s="146"/>
      <c r="AZ206" s="146"/>
      <c r="BA206" s="146"/>
      <c r="BB206" s="146"/>
      <c r="BC206" s="146"/>
      <c r="BD206" s="146"/>
      <c r="BE206" s="146"/>
      <c r="BF206" s="146"/>
      <c r="BG206" s="146"/>
      <c r="BH206" s="146"/>
      <c r="BI206" s="146"/>
      <c r="BJ206" s="146"/>
      <c r="BK206" s="146"/>
      <c r="BL206" s="146"/>
      <c r="BM206" s="146"/>
      <c r="BN206" s="146"/>
      <c r="BO206" s="146"/>
      <c r="BP206" s="146"/>
      <c r="BQ206" s="146"/>
      <c r="BR206" s="146"/>
      <c r="BS206" s="146"/>
      <c r="BT206" s="146"/>
      <c r="BU206" s="146"/>
      <c r="BV206" s="146"/>
      <c r="BW206" s="146"/>
      <c r="BX206" s="146"/>
      <c r="BY206" s="146"/>
      <c r="BZ206" s="146"/>
      <c r="CA206" s="146"/>
      <c r="CB206" s="146"/>
      <c r="CC206" s="146"/>
      <c r="CD206" s="146"/>
      <c r="CE206" s="146"/>
      <c r="CF206" s="146"/>
      <c r="CG206" s="146"/>
      <c r="CH206" s="146"/>
      <c r="CI206" s="146"/>
      <c r="CJ206" s="146"/>
      <c r="CK206" s="146"/>
      <c r="CL206" s="146"/>
      <c r="CM206" s="146"/>
      <c r="CN206" s="146"/>
      <c r="CO206" s="146"/>
      <c r="CP206" s="146"/>
      <c r="CQ206" s="146"/>
      <c r="CR206" s="146"/>
      <c r="CS206" s="146"/>
      <c r="CT206" s="146"/>
      <c r="CU206" s="146"/>
      <c r="CV206" s="146"/>
      <c r="CW206" s="146"/>
      <c r="CX206" s="146"/>
      <c r="CY206" s="146"/>
      <c r="CZ206" s="146"/>
      <c r="DA206" s="146"/>
      <c r="DB206" s="146"/>
      <c r="DC206" s="146"/>
      <c r="DD206" s="146"/>
      <c r="DE206" s="146"/>
      <c r="DF206" s="146"/>
      <c r="DG206" s="146"/>
      <c r="DH206" s="146"/>
      <c r="DI206" s="146"/>
      <c r="DJ206" s="146"/>
      <c r="DK206" s="146"/>
      <c r="DL206" s="146"/>
      <c r="DM206" s="146"/>
      <c r="DN206" s="146"/>
      <c r="DO206" s="146"/>
      <c r="DP206" s="146"/>
      <c r="DQ206" s="146"/>
      <c r="DR206" s="146"/>
      <c r="DS206" s="146"/>
      <c r="DT206" s="146"/>
      <c r="DU206" s="146"/>
      <c r="DV206" s="146"/>
      <c r="DW206" s="146"/>
      <c r="DX206" s="146"/>
      <c r="DY206" s="146"/>
      <c r="DZ206" s="146"/>
      <c r="EA206" s="146"/>
      <c r="EB206" s="146"/>
      <c r="EC206" s="146"/>
      <c r="ED206" s="146"/>
      <c r="EE206" s="146"/>
      <c r="EF206" s="146"/>
      <c r="EG206" s="146"/>
      <c r="EH206" s="146"/>
      <c r="EI206" s="146"/>
      <c r="EJ206" s="146"/>
      <c r="EK206" s="146"/>
      <c r="EL206" s="146"/>
      <c r="EM206" s="146"/>
      <c r="EN206" s="146"/>
      <c r="EO206" s="146"/>
      <c r="EP206" s="146"/>
      <c r="EQ206" s="146"/>
      <c r="ER206" s="146"/>
      <c r="ES206" s="146"/>
      <c r="ET206" s="146"/>
      <c r="EU206" s="146"/>
      <c r="EV206" s="146"/>
      <c r="EW206" s="146"/>
      <c r="EX206" s="146"/>
      <c r="EY206" s="146"/>
      <c r="EZ206" s="146"/>
      <c r="FA206" s="146"/>
      <c r="FB206" s="146"/>
      <c r="FC206" s="146"/>
      <c r="FD206" s="146"/>
      <c r="FE206" s="146"/>
      <c r="FF206" s="146"/>
      <c r="FG206" s="146"/>
      <c r="FH206" s="146"/>
      <c r="FI206" s="146"/>
      <c r="FJ206" s="146"/>
      <c r="FK206" s="146"/>
      <c r="FL206" s="146"/>
      <c r="FM206" s="146"/>
      <c r="FN206" s="146"/>
      <c r="FO206" s="146"/>
      <c r="FP206" s="146"/>
      <c r="FQ206" s="146"/>
      <c r="FR206" s="146"/>
      <c r="FS206" s="146"/>
      <c r="FT206" s="146"/>
      <c r="FU206" s="146"/>
      <c r="FV206" s="146"/>
      <c r="FW206" s="146"/>
      <c r="FX206" s="146"/>
    </row>
    <row r="207" spans="1:180" s="55" customFormat="1" x14ac:dyDescent="0.2">
      <c r="A207" s="54"/>
      <c r="B207" s="53"/>
      <c r="C207" s="52"/>
      <c r="D207" s="51"/>
      <c r="E207" s="50"/>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c r="BJ207" s="139"/>
      <c r="BK207" s="139"/>
      <c r="BL207" s="139"/>
      <c r="BM207" s="139"/>
      <c r="BN207" s="139"/>
      <c r="BO207" s="139"/>
      <c r="BP207" s="139"/>
      <c r="BQ207" s="139"/>
      <c r="BR207" s="139"/>
      <c r="BS207" s="139"/>
      <c r="BT207" s="139"/>
      <c r="BU207" s="139"/>
      <c r="BV207" s="139"/>
      <c r="BW207" s="139"/>
      <c r="BX207" s="139"/>
      <c r="BY207" s="139"/>
      <c r="BZ207" s="139"/>
      <c r="CA207" s="139"/>
      <c r="CB207" s="139"/>
      <c r="CC207" s="139"/>
      <c r="CD207" s="139"/>
      <c r="CE207" s="139"/>
      <c r="CF207" s="139"/>
      <c r="CG207" s="139"/>
      <c r="CH207" s="139"/>
      <c r="CI207" s="139"/>
      <c r="CJ207" s="139"/>
      <c r="CK207" s="139"/>
      <c r="CL207" s="139"/>
      <c r="CM207" s="139"/>
      <c r="CN207" s="139"/>
      <c r="CO207" s="139"/>
      <c r="CP207" s="139"/>
      <c r="CQ207" s="139"/>
      <c r="CR207" s="139"/>
      <c r="CS207" s="139"/>
      <c r="CT207" s="139"/>
      <c r="CU207" s="139"/>
      <c r="CV207" s="139"/>
      <c r="CW207" s="139"/>
      <c r="CX207" s="139"/>
      <c r="CY207" s="139"/>
      <c r="CZ207" s="139"/>
      <c r="DA207" s="139"/>
      <c r="DB207" s="139"/>
      <c r="DC207" s="139"/>
      <c r="DD207" s="139"/>
      <c r="DE207" s="139"/>
      <c r="DF207" s="139"/>
      <c r="DG207" s="139"/>
      <c r="DH207" s="139"/>
      <c r="DI207" s="139"/>
      <c r="DJ207" s="139"/>
      <c r="DK207" s="139"/>
      <c r="DL207" s="139"/>
      <c r="DM207" s="139"/>
      <c r="DN207" s="139"/>
      <c r="DO207" s="139"/>
      <c r="DP207" s="139"/>
      <c r="DQ207" s="139"/>
      <c r="DR207" s="139"/>
      <c r="DS207" s="139"/>
      <c r="DT207" s="139"/>
      <c r="DU207" s="139"/>
      <c r="DV207" s="139"/>
      <c r="DW207" s="139"/>
      <c r="DX207" s="139"/>
      <c r="DY207" s="139"/>
      <c r="DZ207" s="139"/>
      <c r="EA207" s="139"/>
      <c r="EB207" s="139"/>
      <c r="EC207" s="139"/>
      <c r="ED207" s="139"/>
      <c r="EE207" s="139"/>
      <c r="EF207" s="139"/>
      <c r="EG207" s="139"/>
      <c r="EH207" s="139"/>
      <c r="EI207" s="139"/>
      <c r="EJ207" s="139"/>
      <c r="EK207" s="139"/>
      <c r="EL207" s="139"/>
      <c r="EM207" s="139"/>
      <c r="EN207" s="139"/>
      <c r="EO207" s="139"/>
      <c r="EP207" s="139"/>
      <c r="EQ207" s="139"/>
      <c r="ER207" s="139"/>
      <c r="ES207" s="139"/>
      <c r="ET207" s="139"/>
      <c r="EU207" s="139"/>
      <c r="EV207" s="139"/>
      <c r="EW207" s="139"/>
      <c r="EX207" s="139"/>
      <c r="EY207" s="139"/>
      <c r="EZ207" s="139"/>
      <c r="FA207" s="139"/>
      <c r="FB207" s="139"/>
      <c r="FC207" s="139"/>
      <c r="FD207" s="139"/>
      <c r="FE207" s="139"/>
      <c r="FF207" s="139"/>
      <c r="FG207" s="139"/>
      <c r="FH207" s="139"/>
      <c r="FI207" s="139"/>
      <c r="FJ207" s="139"/>
      <c r="FK207" s="139"/>
      <c r="FL207" s="139"/>
      <c r="FM207" s="139"/>
      <c r="FN207" s="139"/>
      <c r="FO207" s="139"/>
      <c r="FP207" s="139"/>
      <c r="FQ207" s="139"/>
      <c r="FR207" s="139"/>
      <c r="FS207" s="139"/>
      <c r="FT207" s="139"/>
      <c r="FU207" s="139"/>
      <c r="FV207" s="139"/>
      <c r="FW207" s="139"/>
      <c r="FX207" s="139"/>
    </row>
    <row r="208" spans="1:180" x14ac:dyDescent="0.2">
      <c r="A208" s="54"/>
      <c r="B208" s="53"/>
      <c r="C208" s="52"/>
      <c r="D208" s="51"/>
      <c r="E208" s="50"/>
    </row>
  </sheetData>
  <mergeCells count="190">
    <mergeCell ref="FU7:FU8"/>
    <mergeCell ref="EE7:EE8"/>
    <mergeCell ref="DN7:DN8"/>
    <mergeCell ref="FM7:FM8"/>
    <mergeCell ref="FK7:FK8"/>
    <mergeCell ref="BX7:BX8"/>
    <mergeCell ref="E2:F2"/>
    <mergeCell ref="K7:K8"/>
    <mergeCell ref="CY7:CY8"/>
    <mergeCell ref="CX7:CX8"/>
    <mergeCell ref="CH7:CH8"/>
    <mergeCell ref="AK7:AK8"/>
    <mergeCell ref="AC7:AC8"/>
    <mergeCell ref="EL7:EL8"/>
    <mergeCell ref="AE7:AE8"/>
    <mergeCell ref="CV7:CV8"/>
    <mergeCell ref="AW7:AW8"/>
    <mergeCell ref="FE7:FE8"/>
    <mergeCell ref="AX7:AX8"/>
    <mergeCell ref="EW7:EW8"/>
    <mergeCell ref="FG7:FG8"/>
    <mergeCell ref="EY7:EY8"/>
    <mergeCell ref="DB7:DB8"/>
    <mergeCell ref="CL7:CL8"/>
    <mergeCell ref="B6:B8"/>
    <mergeCell ref="B4:C4"/>
    <mergeCell ref="CS7:CS8"/>
    <mergeCell ref="DE7:DE8"/>
    <mergeCell ref="X7:X8"/>
    <mergeCell ref="Z7:Z8"/>
    <mergeCell ref="CQ7:CQ8"/>
    <mergeCell ref="BM7:BM8"/>
    <mergeCell ref="AZ7:AZ8"/>
    <mergeCell ref="H7:H8"/>
    <mergeCell ref="J7:J8"/>
    <mergeCell ref="E6:E7"/>
    <mergeCell ref="BJ7:BJ8"/>
    <mergeCell ref="AB7:AB8"/>
    <mergeCell ref="BL7:BL8"/>
    <mergeCell ref="FW7:FW8"/>
    <mergeCell ref="FB7:FB8"/>
    <mergeCell ref="DL7:DL8"/>
    <mergeCell ref="DD7:DD8"/>
    <mergeCell ref="BE7:BE8"/>
    <mergeCell ref="BV7:BV8"/>
    <mergeCell ref="DF7:DF8"/>
    <mergeCell ref="BG7:BG8"/>
    <mergeCell ref="O7:O8"/>
    <mergeCell ref="DX7:DX8"/>
    <mergeCell ref="Q7:Q8"/>
    <mergeCell ref="DZ7:DZ8"/>
    <mergeCell ref="FH7:FH8"/>
    <mergeCell ref="BS7:BS8"/>
    <mergeCell ref="EJ7:EJ8"/>
    <mergeCell ref="BU7:BU8"/>
    <mergeCell ref="DW7:DW8"/>
    <mergeCell ref="AR7:AR8"/>
    <mergeCell ref="ER7:ER8"/>
    <mergeCell ref="FJ7:FJ8"/>
    <mergeCell ref="ES7:ES8"/>
    <mergeCell ref="EU7:EU8"/>
    <mergeCell ref="FS7:FS8"/>
    <mergeCell ref="CD7:CD8"/>
    <mergeCell ref="A2:A6"/>
    <mergeCell ref="E5:F5"/>
    <mergeCell ref="G7:G8"/>
    <mergeCell ref="DP7:DP8"/>
    <mergeCell ref="I7:I8"/>
    <mergeCell ref="BI7:BI8"/>
    <mergeCell ref="S7:S8"/>
    <mergeCell ref="EB7:EB8"/>
    <mergeCell ref="U7:U8"/>
    <mergeCell ref="W7:W8"/>
    <mergeCell ref="E4:F4"/>
    <mergeCell ref="B2:C2"/>
    <mergeCell ref="CT7:CT8"/>
    <mergeCell ref="BW7:BW8"/>
    <mergeCell ref="CF7:CF8"/>
    <mergeCell ref="Y7:Y8"/>
    <mergeCell ref="AI7:AI8"/>
    <mergeCell ref="AA7:AA8"/>
    <mergeCell ref="CZ7:CZ8"/>
    <mergeCell ref="CR7:CR8"/>
    <mergeCell ref="AS7:AS8"/>
    <mergeCell ref="CC7:CC8"/>
    <mergeCell ref="B5:C5"/>
    <mergeCell ref="D6:D7"/>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G7:AG8"/>
    <mergeCell ref="EP7:EP8"/>
    <mergeCell ref="D2:D4"/>
    <mergeCell ref="AH7:AH8"/>
    <mergeCell ref="DG7:DG8"/>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F6:F8"/>
    <mergeCell ref="AU7:AU8"/>
    <mergeCell ref="L7:L8"/>
    <mergeCell ref="DU7:DU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FR7:FR8"/>
    <mergeCell ref="FT7:FT8"/>
    <mergeCell ref="N7:N8"/>
    <mergeCell ref="BN7:BN8"/>
    <mergeCell ref="BP7:BP8"/>
    <mergeCell ref="EG7:EG8"/>
    <mergeCell ref="BZ7:BZ8"/>
    <mergeCell ref="CG7:CG8"/>
    <mergeCell ref="EX7:EX8"/>
    <mergeCell ref="EZ7:EZ8"/>
    <mergeCell ref="DH7:DH8"/>
    <mergeCell ref="BR7:BR8"/>
    <mergeCell ref="BA7:BA8"/>
    <mergeCell ref="BC7:BC8"/>
    <mergeCell ref="DT7:DT8"/>
    <mergeCell ref="EK7:EK8"/>
    <mergeCell ref="EM7:EM8"/>
    <mergeCell ref="CU7:CU8"/>
    <mergeCell ref="EI7:EI8"/>
    <mergeCell ref="ED7:ED8"/>
    <mergeCell ref="BY7:BY8"/>
    <mergeCell ref="DQ7:DQ8"/>
    <mergeCell ref="EC7:EC8"/>
    <mergeCell ref="M7:M8"/>
    <mergeCell ref="DV7:DV8"/>
    <mergeCell ref="CB7:CB8"/>
    <mergeCell ref="R7:R8"/>
    <mergeCell ref="CE7:CE8"/>
    <mergeCell ref="AJ7:AJ8"/>
    <mergeCell ref="CK7:CK8"/>
    <mergeCell ref="AL7:AL8"/>
    <mergeCell ref="DC7:DC8"/>
    <mergeCell ref="CN7:CN8"/>
    <mergeCell ref="AD7:AD8"/>
    <mergeCell ref="AO7:AO8"/>
    <mergeCell ref="AQ7:AQ8"/>
  </mergeCells>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F210"/>
  <sheetViews>
    <sheetView zoomScaleNormal="120" workbookViewId="0">
      <pane xSplit="6" topLeftCell="G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34.28515625" style="45" bestFit="1" customWidth="1"/>
    <col min="5" max="5" width="15" style="44" customWidth="1"/>
    <col min="6" max="6" width="5.140625" style="42" customWidth="1"/>
    <col min="7" max="7" width="14.42578125" style="42" customWidth="1"/>
    <col min="8" max="8" width="10.140625" style="42" bestFit="1" customWidth="1"/>
    <col min="9" max="9" width="14.7109375" style="42" bestFit="1" customWidth="1"/>
    <col min="10" max="10" width="11.85546875" style="42" bestFit="1" customWidth="1"/>
    <col min="11" max="11" width="11.5703125" style="42" bestFit="1" customWidth="1"/>
    <col min="12" max="13" width="21.5703125" style="42" bestFit="1" customWidth="1"/>
    <col min="14" max="16" width="11.85546875" style="42" bestFit="1" customWidth="1"/>
    <col min="17" max="17" width="11.85546875" style="139" bestFit="1" customWidth="1"/>
    <col min="18" max="22" width="11.85546875" style="42" bestFit="1" customWidth="1"/>
    <col min="23" max="23" width="21.5703125" style="42" bestFit="1" customWidth="1"/>
    <col min="24" max="25" width="11.85546875" style="42" bestFit="1" customWidth="1"/>
    <col min="26" max="28" width="11.85546875" style="139" bestFit="1" customWidth="1"/>
    <col min="29" max="29" width="14.7109375" style="139" bestFit="1" customWidth="1"/>
    <col min="30" max="30" width="11.5703125" style="139" bestFit="1" customWidth="1"/>
    <col min="31" max="32" width="11.85546875" style="139" bestFit="1" customWidth="1"/>
    <col min="33" max="33" width="11.85546875" style="42" bestFit="1" customWidth="1"/>
    <col min="34" max="34" width="11.85546875" style="139" bestFit="1" customWidth="1"/>
    <col min="35" max="35" width="11.85546875" style="42" bestFit="1" customWidth="1"/>
    <col min="36" max="36" width="11.5703125" style="139" bestFit="1" customWidth="1"/>
    <col min="37" max="40" width="11.85546875" style="42" bestFit="1" customWidth="1"/>
    <col min="41" max="41" width="11.5703125" style="42" bestFit="1" customWidth="1"/>
    <col min="42" max="43" width="11.85546875" style="42" bestFit="1" customWidth="1"/>
    <col min="44" max="44" width="21.5703125" style="42" bestFit="1" customWidth="1"/>
    <col min="45" max="48" width="11.85546875" style="42" bestFit="1" customWidth="1"/>
    <col min="49" max="49" width="11.5703125" style="42" bestFit="1" customWidth="1"/>
    <col min="50" max="53" width="11.85546875" style="42" bestFit="1" customWidth="1"/>
    <col min="54" max="54" width="11.5703125" style="42" bestFit="1" customWidth="1"/>
    <col min="55" max="59" width="11.85546875" style="42" bestFit="1" customWidth="1"/>
    <col min="60" max="60" width="21.5703125" style="42" bestFit="1" customWidth="1"/>
    <col min="61" max="66" width="11.85546875" style="42" bestFit="1" customWidth="1"/>
    <col min="67" max="67" width="11.5703125" style="42" bestFit="1" customWidth="1"/>
    <col min="68" max="70" width="8.5703125" style="42" bestFit="1" customWidth="1"/>
    <col min="71" max="183" width="14.42578125" style="42" customWidth="1"/>
    <col min="184" max="184" width="3" style="43" customWidth="1"/>
    <col min="185" max="187" width="14.42578125" style="42" customWidth="1"/>
    <col min="188" max="16384" width="14.42578125" style="42"/>
  </cols>
  <sheetData>
    <row r="1" spans="1:183" ht="13.5" customHeight="1" thickBot="1" x14ac:dyDescent="0.3">
      <c r="E1" s="530" t="s">
        <v>221</v>
      </c>
      <c r="F1" s="495"/>
      <c r="G1" s="90"/>
      <c r="H1" s="307" t="s">
        <v>981</v>
      </c>
      <c r="I1" s="307" t="s">
        <v>2506</v>
      </c>
      <c r="J1" s="307" t="s">
        <v>1623</v>
      </c>
      <c r="K1" s="307" t="s">
        <v>1274</v>
      </c>
      <c r="L1" s="307" t="s">
        <v>82</v>
      </c>
      <c r="M1" s="140" t="s">
        <v>82</v>
      </c>
      <c r="N1" s="140" t="s">
        <v>1623</v>
      </c>
      <c r="O1" s="140" t="s">
        <v>1623</v>
      </c>
      <c r="P1" s="139" t="s">
        <v>1623</v>
      </c>
      <c r="Q1" s="139" t="s">
        <v>1623</v>
      </c>
      <c r="R1" s="139" t="s">
        <v>1623</v>
      </c>
      <c r="S1" s="139" t="s">
        <v>1623</v>
      </c>
      <c r="T1" s="139" t="s">
        <v>1623</v>
      </c>
      <c r="U1" s="139" t="s">
        <v>1623</v>
      </c>
      <c r="V1" s="139" t="s">
        <v>1623</v>
      </c>
      <c r="W1" s="139" t="s">
        <v>82</v>
      </c>
      <c r="X1" s="139" t="s">
        <v>1623</v>
      </c>
      <c r="Y1" s="139" t="s">
        <v>1623</v>
      </c>
      <c r="Z1" s="139" t="s">
        <v>1623</v>
      </c>
      <c r="AA1" s="139" t="s">
        <v>1623</v>
      </c>
      <c r="AB1" s="139" t="s">
        <v>1623</v>
      </c>
      <c r="AC1" s="139" t="s">
        <v>2506</v>
      </c>
      <c r="AD1" s="139" t="s">
        <v>969</v>
      </c>
      <c r="AE1" s="139" t="s">
        <v>1623</v>
      </c>
      <c r="AF1" s="139" t="s">
        <v>1623</v>
      </c>
      <c r="AG1" s="139" t="s">
        <v>1623</v>
      </c>
      <c r="AH1" s="139" t="s">
        <v>1623</v>
      </c>
      <c r="AI1" s="139" t="s">
        <v>1623</v>
      </c>
      <c r="AJ1" s="170" t="s">
        <v>1623</v>
      </c>
      <c r="AK1" s="97" t="s">
        <v>1623</v>
      </c>
      <c r="AL1" s="97" t="s">
        <v>1623</v>
      </c>
      <c r="AM1" s="97" t="s">
        <v>1623</v>
      </c>
      <c r="AN1" s="97" t="s">
        <v>1623</v>
      </c>
      <c r="AO1" s="97" t="s">
        <v>1274</v>
      </c>
      <c r="AP1" s="97" t="s">
        <v>1623</v>
      </c>
      <c r="AQ1" s="97" t="s">
        <v>1623</v>
      </c>
      <c r="AR1" s="97" t="s">
        <v>82</v>
      </c>
      <c r="AS1" s="97" t="s">
        <v>1623</v>
      </c>
      <c r="AT1" s="97" t="s">
        <v>1623</v>
      </c>
      <c r="AU1" s="42" t="s">
        <v>1623</v>
      </c>
      <c r="AV1" s="42" t="s">
        <v>1623</v>
      </c>
      <c r="AW1" s="42" t="s">
        <v>969</v>
      </c>
      <c r="AX1" s="42" t="s">
        <v>1623</v>
      </c>
      <c r="AY1" s="42" t="s">
        <v>1623</v>
      </c>
      <c r="AZ1" s="42" t="s">
        <v>1623</v>
      </c>
      <c r="BA1" s="42" t="s">
        <v>1623</v>
      </c>
      <c r="BB1" s="42" t="s">
        <v>1274</v>
      </c>
      <c r="BC1" s="42" t="s">
        <v>1623</v>
      </c>
      <c r="BD1" s="42" t="s">
        <v>1623</v>
      </c>
      <c r="BE1" s="42" t="s">
        <v>1623</v>
      </c>
      <c r="BF1" s="42" t="s">
        <v>1623</v>
      </c>
      <c r="BG1" s="42" t="s">
        <v>1623</v>
      </c>
      <c r="BH1" s="42" t="s">
        <v>82</v>
      </c>
      <c r="BI1" s="42" t="s">
        <v>1623</v>
      </c>
      <c r="BJ1" s="42" t="s">
        <v>1623</v>
      </c>
      <c r="BK1" s="42" t="s">
        <v>1623</v>
      </c>
      <c r="BL1" s="42" t="s">
        <v>1623</v>
      </c>
      <c r="BM1" s="42" t="s">
        <v>1623</v>
      </c>
      <c r="BN1" s="42" t="s">
        <v>1623</v>
      </c>
      <c r="BO1" s="42" t="s">
        <v>1274</v>
      </c>
    </row>
    <row r="2" spans="1:183" s="89" customFormat="1" ht="12.75" customHeight="1" thickTop="1" thickBot="1" x14ac:dyDescent="0.3">
      <c r="A2" s="543" t="s">
        <v>4215</v>
      </c>
      <c r="B2" s="551" t="s">
        <v>4144</v>
      </c>
      <c r="C2" s="542"/>
      <c r="D2" s="531" t="s">
        <v>4216</v>
      </c>
      <c r="E2" s="558" t="s">
        <v>4146</v>
      </c>
      <c r="F2" s="540"/>
      <c r="G2" s="90"/>
      <c r="H2" s="441"/>
      <c r="I2" s="441" t="s">
        <v>2527</v>
      </c>
      <c r="J2" s="306" t="s">
        <v>2531</v>
      </c>
      <c r="K2" s="306" t="s">
        <v>2540</v>
      </c>
      <c r="L2" s="441" t="s">
        <v>2581</v>
      </c>
      <c r="M2" s="442" t="s">
        <v>2584</v>
      </c>
      <c r="N2" s="139" t="s">
        <v>2587</v>
      </c>
      <c r="O2" s="139" t="s">
        <v>2589</v>
      </c>
      <c r="P2" s="140" t="s">
        <v>2591</v>
      </c>
      <c r="Q2" s="443" t="s">
        <v>2599</v>
      </c>
      <c r="R2" s="443" t="s">
        <v>2603</v>
      </c>
      <c r="S2" s="443" t="s">
        <v>2606</v>
      </c>
      <c r="T2" s="443" t="s">
        <v>2608</v>
      </c>
      <c r="U2" s="443" t="s">
        <v>2611</v>
      </c>
      <c r="V2" s="443" t="s">
        <v>2613</v>
      </c>
      <c r="W2" s="140" t="s">
        <v>2732</v>
      </c>
      <c r="X2" s="443" t="s">
        <v>2742</v>
      </c>
      <c r="Y2" s="443" t="s">
        <v>2754</v>
      </c>
      <c r="Z2" s="443" t="s">
        <v>2757</v>
      </c>
      <c r="AA2" s="443" t="s">
        <v>2759</v>
      </c>
      <c r="AB2" s="443" t="s">
        <v>2894</v>
      </c>
      <c r="AC2" s="140" t="s">
        <v>2918</v>
      </c>
      <c r="AD2" s="443" t="s">
        <v>3038</v>
      </c>
      <c r="AE2" s="443" t="s">
        <v>3053</v>
      </c>
      <c r="AF2" s="443" t="s">
        <v>3077</v>
      </c>
      <c r="AG2" s="140" t="s">
        <v>3139</v>
      </c>
      <c r="AH2" s="140" t="s">
        <v>3136</v>
      </c>
      <c r="AI2" s="140" t="s">
        <v>3141</v>
      </c>
      <c r="AJ2" s="171" t="s">
        <v>3143</v>
      </c>
      <c r="AK2" s="87" t="s">
        <v>3148</v>
      </c>
      <c r="AL2" s="444" t="s">
        <v>3151</v>
      </c>
      <c r="AM2" s="444" t="s">
        <v>3262</v>
      </c>
      <c r="AN2" s="87" t="s">
        <v>3313</v>
      </c>
      <c r="AO2" s="87" t="s">
        <v>3342</v>
      </c>
      <c r="AP2" s="87" t="s">
        <v>3359</v>
      </c>
      <c r="AQ2" s="444" t="s">
        <v>3382</v>
      </c>
      <c r="AR2" s="444" t="s">
        <v>3413</v>
      </c>
      <c r="AS2" s="444" t="s">
        <v>3421</v>
      </c>
      <c r="AT2" s="87" t="s">
        <v>3435</v>
      </c>
      <c r="AU2" s="444" t="s">
        <v>3440</v>
      </c>
      <c r="AV2" s="444" t="s">
        <v>3468</v>
      </c>
      <c r="AW2" s="444" t="s">
        <v>3481</v>
      </c>
      <c r="AX2" s="444" t="s">
        <v>3485</v>
      </c>
      <c r="AY2" s="444" t="s">
        <v>3518</v>
      </c>
      <c r="AZ2" s="444" t="s">
        <v>3575</v>
      </c>
      <c r="BA2" s="87" t="s">
        <v>3611</v>
      </c>
      <c r="BB2" s="444" t="s">
        <v>3618</v>
      </c>
      <c r="BC2" s="444" t="s">
        <v>3648</v>
      </c>
      <c r="BD2" s="444" t="s">
        <v>3676</v>
      </c>
      <c r="BE2" s="444" t="s">
        <v>3688</v>
      </c>
      <c r="BF2" s="444"/>
      <c r="BG2" s="444" t="s">
        <v>3764</v>
      </c>
      <c r="BH2" s="444" t="s">
        <v>3796</v>
      </c>
      <c r="BI2" s="444" t="s">
        <v>3852</v>
      </c>
      <c r="BJ2" s="444" t="s">
        <v>3868</v>
      </c>
      <c r="BK2" s="444" t="s">
        <v>3937</v>
      </c>
      <c r="BL2" s="444" t="s">
        <v>3935</v>
      </c>
      <c r="BM2" s="444" t="s">
        <v>3947</v>
      </c>
      <c r="BN2" s="444" t="s">
        <v>3950</v>
      </c>
      <c r="BO2" s="87" t="s">
        <v>4044</v>
      </c>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c r="FR2" s="87"/>
      <c r="FS2" s="87"/>
      <c r="FT2" s="87"/>
      <c r="FU2" s="87"/>
      <c r="FV2" s="87"/>
      <c r="FW2" s="87"/>
      <c r="FX2" s="87"/>
      <c r="FY2" s="87"/>
      <c r="FZ2" s="87"/>
      <c r="GA2" s="87"/>
    </row>
    <row r="3" spans="1:183" s="89" customFormat="1" ht="23.1" customHeight="1" thickTop="1" x14ac:dyDescent="0.25">
      <c r="A3" s="544"/>
      <c r="B3" s="541" t="s">
        <v>4147</v>
      </c>
      <c r="C3" s="542"/>
      <c r="D3" s="532"/>
      <c r="E3" s="539" t="s">
        <v>4148</v>
      </c>
      <c r="F3" s="540"/>
      <c r="G3" s="90"/>
      <c r="H3" s="151" t="s">
        <v>4217</v>
      </c>
      <c r="I3" s="151" t="s">
        <v>4218</v>
      </c>
      <c r="J3" s="151" t="s">
        <v>4219</v>
      </c>
      <c r="K3" s="151" t="s">
        <v>4220</v>
      </c>
      <c r="L3" s="151" t="s">
        <v>4221</v>
      </c>
      <c r="M3" s="151" t="s">
        <v>4222</v>
      </c>
      <c r="N3" s="151" t="s">
        <v>4223</v>
      </c>
      <c r="O3" s="151" t="s">
        <v>4224</v>
      </c>
      <c r="P3" s="151" t="s">
        <v>4225</v>
      </c>
      <c r="Q3" s="151" t="s">
        <v>4226</v>
      </c>
      <c r="R3" s="151" t="s">
        <v>4227</v>
      </c>
      <c r="S3" s="151" t="s">
        <v>4228</v>
      </c>
      <c r="T3" s="151" t="s">
        <v>4229</v>
      </c>
      <c r="U3" s="151" t="s">
        <v>4230</v>
      </c>
      <c r="V3" s="151" t="s">
        <v>4231</v>
      </c>
      <c r="W3" s="140" t="s">
        <v>4232</v>
      </c>
      <c r="X3" s="140" t="s">
        <v>4233</v>
      </c>
      <c r="Y3" s="151" t="s">
        <v>4234</v>
      </c>
      <c r="Z3" s="151" t="s">
        <v>4235</v>
      </c>
      <c r="AA3" s="151" t="s">
        <v>4236</v>
      </c>
      <c r="AB3" s="151" t="s">
        <v>4237</v>
      </c>
      <c r="AC3" s="151" t="s">
        <v>4238</v>
      </c>
      <c r="AD3" s="151" t="s">
        <v>4239</v>
      </c>
      <c r="AE3" s="151" t="s">
        <v>4240</v>
      </c>
      <c r="AF3" s="151" t="s">
        <v>4241</v>
      </c>
      <c r="AG3" s="140" t="s">
        <v>4242</v>
      </c>
      <c r="AH3" s="152" t="s">
        <v>4243</v>
      </c>
      <c r="AI3" s="140" t="s">
        <v>4244</v>
      </c>
      <c r="AJ3" s="171" t="s">
        <v>4245</v>
      </c>
      <c r="AK3" s="37" t="s">
        <v>4246</v>
      </c>
      <c r="AL3" s="37" t="s">
        <v>4247</v>
      </c>
      <c r="AM3" s="37" t="s">
        <v>4248</v>
      </c>
      <c r="AN3" s="37" t="s">
        <v>4249</v>
      </c>
      <c r="AO3" s="37" t="s">
        <v>4250</v>
      </c>
      <c r="AP3" s="37" t="s">
        <v>4251</v>
      </c>
      <c r="AQ3" s="37" t="s">
        <v>4252</v>
      </c>
      <c r="AR3" s="41" t="s">
        <v>4253</v>
      </c>
      <c r="AS3" s="37" t="s">
        <v>4254</v>
      </c>
      <c r="AT3" s="37" t="s">
        <v>4255</v>
      </c>
      <c r="AU3" s="87" t="s">
        <v>4256</v>
      </c>
      <c r="AV3" s="87" t="s">
        <v>4257</v>
      </c>
      <c r="AW3" s="87" t="s">
        <v>4258</v>
      </c>
      <c r="AX3" s="87" t="s">
        <v>4259</v>
      </c>
      <c r="AY3" s="87" t="s">
        <v>4260</v>
      </c>
      <c r="AZ3" s="87" t="s">
        <v>4261</v>
      </c>
      <c r="BA3" s="87" t="s">
        <v>4262</v>
      </c>
      <c r="BB3" s="87" t="s">
        <v>4263</v>
      </c>
      <c r="BC3" s="87" t="s">
        <v>4264</v>
      </c>
      <c r="BD3" s="87" t="s">
        <v>4265</v>
      </c>
      <c r="BE3" s="87" t="s">
        <v>4266</v>
      </c>
      <c r="BF3" s="87" t="s">
        <v>4176</v>
      </c>
      <c r="BG3" s="87" t="s">
        <v>4267</v>
      </c>
      <c r="BH3" s="87" t="s">
        <v>4268</v>
      </c>
      <c r="BI3" s="87" t="s">
        <v>48</v>
      </c>
      <c r="BJ3" s="87" t="s">
        <v>4269</v>
      </c>
      <c r="BK3" s="87" t="s">
        <v>41</v>
      </c>
      <c r="BL3" s="87" t="s">
        <v>46</v>
      </c>
      <c r="BM3" s="87" t="s">
        <v>4270</v>
      </c>
      <c r="BN3" s="87" t="s">
        <v>4271</v>
      </c>
      <c r="BO3" s="87" t="s">
        <v>4272</v>
      </c>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c r="FR3" s="87"/>
      <c r="FS3" s="87"/>
      <c r="FT3" s="87"/>
      <c r="FU3" s="87"/>
      <c r="FV3" s="87"/>
      <c r="FW3" s="87"/>
      <c r="FX3" s="87"/>
      <c r="FY3" s="87"/>
      <c r="FZ3" s="87"/>
      <c r="GA3" s="87"/>
    </row>
    <row r="4" spans="1:183" s="89" customFormat="1" ht="12.75" customHeight="1" x14ac:dyDescent="0.25">
      <c r="A4" s="544"/>
      <c r="B4" s="557"/>
      <c r="C4" s="542"/>
      <c r="D4" s="533"/>
      <c r="E4" s="550" t="s">
        <v>4178</v>
      </c>
      <c r="F4" s="540"/>
      <c r="G4" s="90"/>
      <c r="H4" s="152"/>
      <c r="I4" s="152">
        <v>34806</v>
      </c>
      <c r="J4" s="152">
        <v>34920</v>
      </c>
      <c r="K4" s="152">
        <v>35038</v>
      </c>
      <c r="L4" s="152">
        <v>36026</v>
      </c>
      <c r="M4" s="152">
        <v>36059</v>
      </c>
      <c r="N4" s="152">
        <v>36175</v>
      </c>
      <c r="O4" s="152">
        <v>36175</v>
      </c>
      <c r="P4" s="152">
        <v>36215</v>
      </c>
      <c r="Q4" s="152">
        <v>36270</v>
      </c>
      <c r="R4" s="152">
        <v>36270</v>
      </c>
      <c r="S4" s="152">
        <v>36270</v>
      </c>
      <c r="T4" s="152">
        <v>36270</v>
      </c>
      <c r="U4" s="152">
        <v>36270</v>
      </c>
      <c r="V4" s="152">
        <v>36270</v>
      </c>
      <c r="W4" s="141">
        <v>36815</v>
      </c>
      <c r="X4" s="141">
        <v>36899</v>
      </c>
      <c r="Y4" s="152">
        <v>36956</v>
      </c>
      <c r="Z4" s="152">
        <v>36956</v>
      </c>
      <c r="AA4" s="152">
        <v>36956</v>
      </c>
      <c r="AB4" s="152">
        <v>37573</v>
      </c>
      <c r="AC4" s="152">
        <v>37797</v>
      </c>
      <c r="AD4" s="152">
        <v>38376</v>
      </c>
      <c r="AE4" s="152">
        <v>38446</v>
      </c>
      <c r="AF4" s="152">
        <v>38490</v>
      </c>
      <c r="AG4" s="141">
        <v>38642</v>
      </c>
      <c r="AH4" s="152">
        <v>38642</v>
      </c>
      <c r="AI4" s="141">
        <v>38642</v>
      </c>
      <c r="AJ4" s="172">
        <v>38642</v>
      </c>
      <c r="AK4" s="39">
        <v>38658</v>
      </c>
      <c r="AL4" s="39">
        <v>38658</v>
      </c>
      <c r="AM4" s="39">
        <v>38856</v>
      </c>
      <c r="AN4" s="39">
        <v>39167</v>
      </c>
      <c r="AO4" s="39">
        <v>39400</v>
      </c>
      <c r="AP4" s="39">
        <v>39783</v>
      </c>
      <c r="AQ4" s="39">
        <v>39874</v>
      </c>
      <c r="AR4" s="39">
        <v>40238</v>
      </c>
      <c r="AS4" s="39">
        <v>40336</v>
      </c>
      <c r="AT4" s="39">
        <v>40374</v>
      </c>
      <c r="AU4" s="86">
        <v>40438</v>
      </c>
      <c r="AV4" s="86">
        <v>40665</v>
      </c>
      <c r="AW4" s="86">
        <v>40869</v>
      </c>
      <c r="AX4" s="86">
        <v>40869</v>
      </c>
      <c r="AY4" s="86">
        <v>41015</v>
      </c>
      <c r="AZ4" s="86">
        <v>41592</v>
      </c>
      <c r="BA4" s="86">
        <v>41766</v>
      </c>
      <c r="BB4" s="86">
        <v>41821</v>
      </c>
      <c r="BC4" s="86">
        <v>42068</v>
      </c>
      <c r="BD4" s="86">
        <v>42255</v>
      </c>
      <c r="BE4" s="86">
        <v>42313</v>
      </c>
      <c r="BF4" s="86">
        <v>42996</v>
      </c>
      <c r="BG4" s="86">
        <v>43693</v>
      </c>
      <c r="BH4" s="86">
        <v>44133</v>
      </c>
      <c r="BI4" s="86">
        <v>44491</v>
      </c>
      <c r="BJ4" s="86">
        <v>45114</v>
      </c>
      <c r="BK4" s="86">
        <v>45771</v>
      </c>
      <c r="BL4" s="86">
        <v>45771</v>
      </c>
      <c r="BM4" s="86">
        <v>45908</v>
      </c>
      <c r="BN4" s="86">
        <v>45908</v>
      </c>
      <c r="BO4" s="86">
        <v>46178</v>
      </c>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S4" s="86"/>
      <c r="FT4" s="86"/>
      <c r="FU4" s="86"/>
      <c r="FV4" s="86"/>
      <c r="FW4" s="86"/>
      <c r="FX4" s="86"/>
      <c r="FY4" s="86"/>
      <c r="FZ4" s="86"/>
      <c r="GA4" s="86"/>
    </row>
    <row r="5" spans="1:183" s="85" customFormat="1" ht="27.75" customHeight="1" x14ac:dyDescent="0.25">
      <c r="A5" s="544"/>
      <c r="B5" s="552" t="s">
        <v>4179</v>
      </c>
      <c r="C5" s="553"/>
      <c r="D5" s="92">
        <v>40</v>
      </c>
      <c r="E5" s="546" t="s">
        <v>4180</v>
      </c>
      <c r="F5" s="547"/>
      <c r="G5" s="88"/>
      <c r="H5" s="307" t="s">
        <v>973</v>
      </c>
      <c r="I5" s="307" t="s">
        <v>973</v>
      </c>
      <c r="J5" s="307" t="s">
        <v>973</v>
      </c>
      <c r="K5" s="307" t="s">
        <v>973</v>
      </c>
      <c r="L5" s="307" t="s">
        <v>973</v>
      </c>
      <c r="M5" s="140" t="s">
        <v>973</v>
      </c>
      <c r="N5" s="140" t="s">
        <v>973</v>
      </c>
      <c r="O5" s="140" t="s">
        <v>973</v>
      </c>
      <c r="P5" s="140" t="s">
        <v>973</v>
      </c>
      <c r="Q5" s="140" t="s">
        <v>973</v>
      </c>
      <c r="R5" s="140" t="s">
        <v>973</v>
      </c>
      <c r="S5" s="140" t="s">
        <v>973</v>
      </c>
      <c r="T5" s="140" t="s">
        <v>973</v>
      </c>
      <c r="U5" s="140" t="s">
        <v>973</v>
      </c>
      <c r="V5" s="140" t="s">
        <v>973</v>
      </c>
      <c r="W5" s="140" t="s">
        <v>973</v>
      </c>
      <c r="X5" s="140" t="s">
        <v>973</v>
      </c>
      <c r="Y5" s="140" t="s">
        <v>973</v>
      </c>
      <c r="Z5" s="140" t="s">
        <v>973</v>
      </c>
      <c r="AA5" s="140" t="s">
        <v>973</v>
      </c>
      <c r="AB5" s="140" t="s">
        <v>973</v>
      </c>
      <c r="AC5" s="140" t="s">
        <v>973</v>
      </c>
      <c r="AD5" s="140" t="s">
        <v>973</v>
      </c>
      <c r="AE5" s="140" t="s">
        <v>973</v>
      </c>
      <c r="AF5" s="140" t="s">
        <v>973</v>
      </c>
      <c r="AG5" s="140" t="s">
        <v>973</v>
      </c>
      <c r="AH5" s="140" t="s">
        <v>973</v>
      </c>
      <c r="AI5" s="140" t="s">
        <v>973</v>
      </c>
      <c r="AJ5" s="171" t="s">
        <v>973</v>
      </c>
      <c r="AK5" s="87" t="s">
        <v>973</v>
      </c>
      <c r="AL5" s="87" t="s">
        <v>973</v>
      </c>
      <c r="AM5" s="87" t="s">
        <v>973</v>
      </c>
      <c r="AN5" s="87" t="s">
        <v>973</v>
      </c>
      <c r="AO5" s="87" t="s">
        <v>973</v>
      </c>
      <c r="AP5" s="87" t="s">
        <v>973</v>
      </c>
      <c r="AQ5" s="87" t="s">
        <v>973</v>
      </c>
      <c r="AR5" s="87" t="s">
        <v>973</v>
      </c>
      <c r="AS5" s="87" t="s">
        <v>973</v>
      </c>
      <c r="AT5" s="87" t="s">
        <v>973</v>
      </c>
      <c r="AU5" s="87" t="s">
        <v>973</v>
      </c>
      <c r="AV5" s="87" t="s">
        <v>973</v>
      </c>
      <c r="AW5" s="87" t="s">
        <v>973</v>
      </c>
      <c r="AX5" s="87" t="s">
        <v>973</v>
      </c>
      <c r="AY5" s="87" t="s">
        <v>973</v>
      </c>
      <c r="AZ5" s="87" t="s">
        <v>973</v>
      </c>
      <c r="BA5" s="87" t="s">
        <v>973</v>
      </c>
      <c r="BB5" s="87" t="s">
        <v>973</v>
      </c>
      <c r="BC5" s="87" t="s">
        <v>973</v>
      </c>
      <c r="BD5" s="87" t="s">
        <v>973</v>
      </c>
      <c r="BE5" s="87" t="s">
        <v>973</v>
      </c>
      <c r="BF5" s="87" t="s">
        <v>973</v>
      </c>
      <c r="BG5" s="87" t="s">
        <v>973</v>
      </c>
      <c r="BH5" s="87" t="s">
        <v>973</v>
      </c>
      <c r="BI5" s="87" t="s">
        <v>973</v>
      </c>
      <c r="BJ5" s="87" t="s">
        <v>973</v>
      </c>
      <c r="BK5" s="87" t="s">
        <v>973</v>
      </c>
      <c r="BL5" s="87" t="s">
        <v>973</v>
      </c>
      <c r="BM5" s="87" t="s">
        <v>973</v>
      </c>
      <c r="BN5" s="87" t="s">
        <v>973</v>
      </c>
      <c r="BO5" s="87" t="s">
        <v>973</v>
      </c>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c r="FR5" s="87"/>
      <c r="FS5" s="87"/>
      <c r="FT5" s="87"/>
      <c r="FU5" s="87"/>
      <c r="FV5" s="87"/>
      <c r="FW5" s="87"/>
      <c r="FX5" s="87"/>
      <c r="FY5" s="87"/>
      <c r="FZ5" s="87"/>
      <c r="GA5" s="87"/>
    </row>
    <row r="6" spans="1:183" s="84" customFormat="1" ht="14.25" customHeight="1" thickBot="1" x14ac:dyDescent="0.25">
      <c r="A6" s="545"/>
      <c r="B6" s="555" t="s">
        <v>4181</v>
      </c>
      <c r="C6" s="537">
        <v>40</v>
      </c>
      <c r="D6" s="554" t="s">
        <v>163</v>
      </c>
      <c r="E6" s="537">
        <f>SUBTOTAL(9,E9:E205)</f>
        <v>0</v>
      </c>
      <c r="F6" s="534" t="s">
        <v>4182</v>
      </c>
      <c r="G6" s="91"/>
      <c r="H6" s="91" t="str">
        <f t="shared" ref="H6:O6" si="0">IF(H7=0,"","RECHECK")</f>
        <v/>
      </c>
      <c r="I6" s="91" t="str">
        <f t="shared" si="0"/>
        <v/>
      </c>
      <c r="J6" s="91" t="str">
        <f t="shared" si="0"/>
        <v/>
      </c>
      <c r="K6" s="91" t="str">
        <f t="shared" si="0"/>
        <v/>
      </c>
      <c r="L6" s="91" t="str">
        <f t="shared" si="0"/>
        <v/>
      </c>
      <c r="M6" s="91" t="str">
        <f t="shared" si="0"/>
        <v/>
      </c>
      <c r="N6" s="91" t="str">
        <f t="shared" si="0"/>
        <v/>
      </c>
      <c r="O6" s="91" t="str">
        <f t="shared" si="0"/>
        <v/>
      </c>
      <c r="P6" s="91"/>
      <c r="Q6" s="142" t="str">
        <f t="shared" ref="Q6:AA6" si="1">IF(Q7=0,"","RECHECK")</f>
        <v/>
      </c>
      <c r="R6" s="91" t="str">
        <f t="shared" si="1"/>
        <v/>
      </c>
      <c r="S6" s="91" t="str">
        <f t="shared" si="1"/>
        <v/>
      </c>
      <c r="T6" s="91" t="str">
        <f t="shared" si="1"/>
        <v/>
      </c>
      <c r="U6" s="91" t="str">
        <f t="shared" si="1"/>
        <v/>
      </c>
      <c r="V6" s="91" t="str">
        <f t="shared" si="1"/>
        <v/>
      </c>
      <c r="W6" s="91" t="str">
        <f t="shared" si="1"/>
        <v/>
      </c>
      <c r="X6" s="91" t="str">
        <f t="shared" si="1"/>
        <v/>
      </c>
      <c r="Y6" s="91" t="str">
        <f t="shared" si="1"/>
        <v/>
      </c>
      <c r="Z6" s="142" t="str">
        <f t="shared" si="1"/>
        <v/>
      </c>
      <c r="AA6" s="142" t="str">
        <f t="shared" si="1"/>
        <v/>
      </c>
      <c r="AB6" s="142"/>
      <c r="AC6" s="142"/>
      <c r="AD6" s="142" t="str">
        <f t="shared" ref="AD6:BI6" si="2">IF(AD7=0,"","RECHECK")</f>
        <v/>
      </c>
      <c r="AE6" s="142" t="str">
        <f t="shared" si="2"/>
        <v/>
      </c>
      <c r="AF6" s="142" t="str">
        <f t="shared" si="2"/>
        <v/>
      </c>
      <c r="AG6" s="91" t="str">
        <f t="shared" si="2"/>
        <v/>
      </c>
      <c r="AH6" s="142" t="str">
        <f t="shared" si="2"/>
        <v/>
      </c>
      <c r="AI6" s="91" t="str">
        <f t="shared" si="2"/>
        <v/>
      </c>
      <c r="AJ6" s="142" t="str">
        <f t="shared" si="2"/>
        <v/>
      </c>
      <c r="AK6" s="91" t="str">
        <f t="shared" si="2"/>
        <v/>
      </c>
      <c r="AL6" s="91" t="str">
        <f t="shared" si="2"/>
        <v/>
      </c>
      <c r="AM6" s="91" t="str">
        <f t="shared" si="2"/>
        <v/>
      </c>
      <c r="AN6" s="91" t="str">
        <f t="shared" si="2"/>
        <v/>
      </c>
      <c r="AO6" s="91" t="str">
        <f t="shared" si="2"/>
        <v/>
      </c>
      <c r="AP6" s="91" t="str">
        <f t="shared" si="2"/>
        <v/>
      </c>
      <c r="AQ6" s="91" t="str">
        <f t="shared" si="2"/>
        <v/>
      </c>
      <c r="AR6" s="91" t="str">
        <f t="shared" si="2"/>
        <v/>
      </c>
      <c r="AS6" s="91" t="str">
        <f t="shared" si="2"/>
        <v/>
      </c>
      <c r="AT6" s="91" t="str">
        <f t="shared" si="2"/>
        <v/>
      </c>
      <c r="AU6" s="91" t="str">
        <f t="shared" si="2"/>
        <v/>
      </c>
      <c r="AV6" s="91" t="str">
        <f t="shared" si="2"/>
        <v/>
      </c>
      <c r="AW6" s="91" t="str">
        <f t="shared" si="2"/>
        <v/>
      </c>
      <c r="AX6" s="91" t="str">
        <f t="shared" si="2"/>
        <v/>
      </c>
      <c r="AY6" s="91" t="str">
        <f t="shared" si="2"/>
        <v/>
      </c>
      <c r="AZ6" s="91" t="str">
        <f t="shared" si="2"/>
        <v/>
      </c>
      <c r="BA6" s="91" t="str">
        <f t="shared" si="2"/>
        <v/>
      </c>
      <c r="BB6" s="91" t="str">
        <f t="shared" si="2"/>
        <v/>
      </c>
      <c r="BC6" s="91" t="str">
        <f t="shared" si="2"/>
        <v/>
      </c>
      <c r="BD6" s="91" t="str">
        <f t="shared" si="2"/>
        <v/>
      </c>
      <c r="BE6" s="91" t="str">
        <f t="shared" si="2"/>
        <v/>
      </c>
      <c r="BF6" s="91" t="str">
        <f t="shared" si="2"/>
        <v/>
      </c>
      <c r="BG6" s="91" t="str">
        <f t="shared" si="2"/>
        <v/>
      </c>
      <c r="BH6" s="91" t="str">
        <f t="shared" si="2"/>
        <v/>
      </c>
      <c r="BI6" s="91" t="str">
        <f t="shared" si="2"/>
        <v/>
      </c>
      <c r="BJ6" s="91" t="str">
        <f t="shared" ref="BJ6:CO6" si="3">IF(BJ7=0,"","RECHECK")</f>
        <v/>
      </c>
      <c r="BK6" s="91" t="str">
        <f t="shared" si="3"/>
        <v/>
      </c>
      <c r="BL6" s="91" t="str">
        <f t="shared" si="3"/>
        <v/>
      </c>
      <c r="BM6" s="91" t="str">
        <f t="shared" si="3"/>
        <v/>
      </c>
      <c r="BN6" s="91" t="str">
        <f t="shared" si="3"/>
        <v/>
      </c>
      <c r="BO6" s="91" t="str">
        <f t="shared" si="3"/>
        <v/>
      </c>
      <c r="BP6" s="91" t="str">
        <f t="shared" si="3"/>
        <v/>
      </c>
      <c r="BQ6" s="91" t="str">
        <f t="shared" si="3"/>
        <v/>
      </c>
      <c r="BR6" s="91" t="str">
        <f t="shared" si="3"/>
        <v/>
      </c>
      <c r="BS6" s="91" t="str">
        <f t="shared" si="3"/>
        <v/>
      </c>
      <c r="BT6" s="91" t="str">
        <f t="shared" si="3"/>
        <v/>
      </c>
      <c r="BU6" s="91" t="str">
        <f t="shared" si="3"/>
        <v/>
      </c>
      <c r="BV6" s="91" t="str">
        <f t="shared" si="3"/>
        <v/>
      </c>
      <c r="BW6" s="91" t="str">
        <f t="shared" si="3"/>
        <v/>
      </c>
      <c r="BX6" s="91" t="str">
        <f t="shared" si="3"/>
        <v/>
      </c>
      <c r="BY6" s="91" t="str">
        <f t="shared" si="3"/>
        <v/>
      </c>
      <c r="BZ6" s="91" t="str">
        <f t="shared" si="3"/>
        <v/>
      </c>
      <c r="CA6" s="91" t="str">
        <f t="shared" si="3"/>
        <v/>
      </c>
      <c r="CB6" s="91" t="str">
        <f t="shared" si="3"/>
        <v/>
      </c>
      <c r="CC6" s="91" t="str">
        <f t="shared" si="3"/>
        <v/>
      </c>
      <c r="CD6" s="91" t="str">
        <f t="shared" si="3"/>
        <v/>
      </c>
      <c r="CE6" s="91" t="str">
        <f t="shared" si="3"/>
        <v/>
      </c>
      <c r="CF6" s="91" t="str">
        <f t="shared" si="3"/>
        <v/>
      </c>
      <c r="CG6" s="91" t="str">
        <f t="shared" si="3"/>
        <v/>
      </c>
      <c r="CH6" s="91" t="str">
        <f t="shared" si="3"/>
        <v/>
      </c>
      <c r="CI6" s="91" t="str">
        <f t="shared" si="3"/>
        <v/>
      </c>
      <c r="CJ6" s="91" t="str">
        <f t="shared" si="3"/>
        <v/>
      </c>
      <c r="CK6" s="91" t="str">
        <f t="shared" si="3"/>
        <v/>
      </c>
      <c r="CL6" s="91" t="str">
        <f t="shared" si="3"/>
        <v/>
      </c>
      <c r="CM6" s="91" t="str">
        <f t="shared" si="3"/>
        <v/>
      </c>
      <c r="CN6" s="91" t="str">
        <f t="shared" si="3"/>
        <v/>
      </c>
      <c r="CO6" s="91" t="str">
        <f t="shared" si="3"/>
        <v/>
      </c>
      <c r="CP6" s="91" t="str">
        <f t="shared" ref="CP6:DU6" si="4">IF(CP7=0,"","RECHECK")</f>
        <v/>
      </c>
      <c r="CQ6" s="91" t="str">
        <f t="shared" si="4"/>
        <v/>
      </c>
      <c r="CR6" s="91" t="str">
        <f t="shared" si="4"/>
        <v/>
      </c>
      <c r="CS6" s="91" t="str">
        <f t="shared" si="4"/>
        <v/>
      </c>
      <c r="CT6" s="91" t="str">
        <f t="shared" si="4"/>
        <v/>
      </c>
      <c r="CU6" s="91" t="str">
        <f t="shared" si="4"/>
        <v/>
      </c>
      <c r="CV6" s="91" t="str">
        <f t="shared" si="4"/>
        <v/>
      </c>
      <c r="CW6" s="91" t="str">
        <f t="shared" si="4"/>
        <v/>
      </c>
      <c r="CX6" s="91" t="str">
        <f t="shared" si="4"/>
        <v/>
      </c>
      <c r="CY6" s="91" t="str">
        <f t="shared" si="4"/>
        <v/>
      </c>
      <c r="CZ6" s="91" t="str">
        <f t="shared" si="4"/>
        <v/>
      </c>
      <c r="DA6" s="91" t="str">
        <f t="shared" si="4"/>
        <v/>
      </c>
      <c r="DB6" s="91" t="str">
        <f t="shared" si="4"/>
        <v/>
      </c>
      <c r="DC6" s="91" t="str">
        <f t="shared" si="4"/>
        <v/>
      </c>
      <c r="DD6" s="91" t="str">
        <f t="shared" si="4"/>
        <v/>
      </c>
      <c r="DE6" s="91" t="str">
        <f t="shared" si="4"/>
        <v/>
      </c>
      <c r="DF6" s="91" t="str">
        <f t="shared" si="4"/>
        <v/>
      </c>
      <c r="DG6" s="91" t="str">
        <f t="shared" si="4"/>
        <v/>
      </c>
      <c r="DH6" s="91" t="str">
        <f t="shared" si="4"/>
        <v/>
      </c>
      <c r="DI6" s="91" t="str">
        <f t="shared" si="4"/>
        <v/>
      </c>
      <c r="DJ6" s="91" t="str">
        <f t="shared" si="4"/>
        <v/>
      </c>
      <c r="DK6" s="91" t="str">
        <f t="shared" si="4"/>
        <v/>
      </c>
      <c r="DL6" s="91" t="str">
        <f t="shared" si="4"/>
        <v/>
      </c>
      <c r="DM6" s="91" t="str">
        <f t="shared" si="4"/>
        <v/>
      </c>
      <c r="DN6" s="91" t="str">
        <f t="shared" si="4"/>
        <v/>
      </c>
      <c r="DO6" s="91" t="str">
        <f t="shared" si="4"/>
        <v/>
      </c>
      <c r="DP6" s="91" t="str">
        <f t="shared" si="4"/>
        <v/>
      </c>
      <c r="DQ6" s="91" t="str">
        <f t="shared" si="4"/>
        <v/>
      </c>
      <c r="DR6" s="91" t="str">
        <f t="shared" si="4"/>
        <v/>
      </c>
      <c r="DS6" s="91" t="str">
        <f t="shared" si="4"/>
        <v/>
      </c>
      <c r="DT6" s="91" t="str">
        <f t="shared" si="4"/>
        <v/>
      </c>
      <c r="DU6" s="91" t="str">
        <f t="shared" si="4"/>
        <v/>
      </c>
      <c r="DV6" s="91" t="str">
        <f t="shared" ref="DV6:FA6" si="5">IF(DV7=0,"","RECHECK")</f>
        <v/>
      </c>
      <c r="DW6" s="91" t="str">
        <f t="shared" si="5"/>
        <v/>
      </c>
      <c r="DX6" s="91" t="str">
        <f t="shared" si="5"/>
        <v/>
      </c>
      <c r="DY6" s="91" t="str">
        <f t="shared" si="5"/>
        <v/>
      </c>
      <c r="DZ6" s="91" t="str">
        <f t="shared" si="5"/>
        <v/>
      </c>
      <c r="EA6" s="91" t="str">
        <f t="shared" si="5"/>
        <v/>
      </c>
      <c r="EB6" s="91" t="str">
        <f t="shared" si="5"/>
        <v/>
      </c>
      <c r="EC6" s="91" t="str">
        <f t="shared" si="5"/>
        <v/>
      </c>
      <c r="ED6" s="91" t="str">
        <f t="shared" si="5"/>
        <v/>
      </c>
      <c r="EE6" s="91" t="str">
        <f t="shared" si="5"/>
        <v/>
      </c>
      <c r="EF6" s="91" t="str">
        <f t="shared" si="5"/>
        <v/>
      </c>
      <c r="EG6" s="91" t="str">
        <f t="shared" si="5"/>
        <v/>
      </c>
      <c r="EH6" s="91" t="str">
        <f t="shared" si="5"/>
        <v/>
      </c>
      <c r="EI6" s="91" t="str">
        <f t="shared" si="5"/>
        <v/>
      </c>
      <c r="EJ6" s="91" t="str">
        <f t="shared" si="5"/>
        <v/>
      </c>
      <c r="EK6" s="91" t="str">
        <f t="shared" si="5"/>
        <v/>
      </c>
      <c r="EL6" s="91" t="str">
        <f t="shared" si="5"/>
        <v/>
      </c>
      <c r="EM6" s="91" t="str">
        <f t="shared" si="5"/>
        <v/>
      </c>
      <c r="EN6" s="91" t="str">
        <f t="shared" si="5"/>
        <v/>
      </c>
      <c r="EO6" s="91" t="str">
        <f t="shared" si="5"/>
        <v/>
      </c>
      <c r="EP6" s="91" t="str">
        <f t="shared" si="5"/>
        <v/>
      </c>
      <c r="EQ6" s="91" t="str">
        <f t="shared" si="5"/>
        <v/>
      </c>
      <c r="ER6" s="91" t="str">
        <f t="shared" si="5"/>
        <v/>
      </c>
      <c r="ES6" s="91" t="str">
        <f t="shared" si="5"/>
        <v/>
      </c>
      <c r="ET6" s="91" t="str">
        <f t="shared" si="5"/>
        <v/>
      </c>
      <c r="EU6" s="91" t="str">
        <f t="shared" si="5"/>
        <v/>
      </c>
      <c r="EV6" s="91" t="str">
        <f t="shared" si="5"/>
        <v/>
      </c>
      <c r="EW6" s="91" t="str">
        <f t="shared" si="5"/>
        <v/>
      </c>
      <c r="EX6" s="91" t="str">
        <f t="shared" si="5"/>
        <v/>
      </c>
      <c r="EY6" s="91" t="str">
        <f t="shared" si="5"/>
        <v/>
      </c>
      <c r="EZ6" s="91" t="str">
        <f t="shared" si="5"/>
        <v/>
      </c>
      <c r="FA6" s="91" t="str">
        <f t="shared" si="5"/>
        <v/>
      </c>
      <c r="FB6" s="91" t="str">
        <f t="shared" ref="FB6:GA6" si="6">IF(FB7=0,"","RECHECK")</f>
        <v/>
      </c>
      <c r="FC6" s="91" t="str">
        <f t="shared" si="6"/>
        <v/>
      </c>
      <c r="FD6" s="91" t="str">
        <f t="shared" si="6"/>
        <v/>
      </c>
      <c r="FE6" s="91" t="str">
        <f t="shared" si="6"/>
        <v/>
      </c>
      <c r="FF6" s="91" t="str">
        <f t="shared" si="6"/>
        <v/>
      </c>
      <c r="FG6" s="91" t="str">
        <f t="shared" si="6"/>
        <v/>
      </c>
      <c r="FH6" s="91" t="str">
        <f t="shared" si="6"/>
        <v/>
      </c>
      <c r="FI6" s="91" t="str">
        <f t="shared" si="6"/>
        <v/>
      </c>
      <c r="FJ6" s="91" t="str">
        <f t="shared" si="6"/>
        <v/>
      </c>
      <c r="FK6" s="91" t="str">
        <f t="shared" si="6"/>
        <v/>
      </c>
      <c r="FL6" s="91" t="str">
        <f t="shared" si="6"/>
        <v/>
      </c>
      <c r="FM6" s="91" t="str">
        <f t="shared" si="6"/>
        <v/>
      </c>
      <c r="FN6" s="91" t="str">
        <f t="shared" si="6"/>
        <v/>
      </c>
      <c r="FO6" s="91" t="str">
        <f t="shared" si="6"/>
        <v/>
      </c>
      <c r="FP6" s="91" t="str">
        <f t="shared" si="6"/>
        <v/>
      </c>
      <c r="FQ6" s="91" t="str">
        <f t="shared" si="6"/>
        <v/>
      </c>
      <c r="FR6" s="91" t="str">
        <f t="shared" si="6"/>
        <v/>
      </c>
      <c r="FS6" s="91" t="str">
        <f t="shared" si="6"/>
        <v/>
      </c>
      <c r="FT6" s="91" t="str">
        <f t="shared" si="6"/>
        <v/>
      </c>
      <c r="FU6" s="91" t="str">
        <f t="shared" si="6"/>
        <v/>
      </c>
      <c r="FV6" s="91" t="str">
        <f t="shared" si="6"/>
        <v/>
      </c>
      <c r="FW6" s="91" t="str">
        <f t="shared" si="6"/>
        <v/>
      </c>
      <c r="FX6" s="91" t="str">
        <f t="shared" si="6"/>
        <v/>
      </c>
      <c r="FY6" s="91" t="str">
        <f t="shared" si="6"/>
        <v/>
      </c>
      <c r="FZ6" s="91" t="str">
        <f t="shared" si="6"/>
        <v/>
      </c>
      <c r="GA6" s="91" t="str">
        <f t="shared" si="6"/>
        <v/>
      </c>
    </row>
    <row r="7" spans="1:183" s="82" customFormat="1" ht="14.25" customHeight="1" thickTop="1" thickBot="1" x14ac:dyDescent="0.25">
      <c r="A7" s="83"/>
      <c r="B7" s="542"/>
      <c r="C7" s="538"/>
      <c r="D7" s="538"/>
      <c r="E7" s="538"/>
      <c r="F7" s="535"/>
      <c r="G7" s="548">
        <f>SUBTOTAL(9,G10:G206)</f>
        <v>0</v>
      </c>
      <c r="H7" s="559">
        <f>SUBTOTAL(9,H10:H210)</f>
        <v>0</v>
      </c>
      <c r="I7" s="559">
        <f>SUBTOTAL(9,I10:I210)</f>
        <v>0</v>
      </c>
      <c r="J7" s="559">
        <f>SUBTOTAL(9,J10:J210)</f>
        <v>0</v>
      </c>
      <c r="K7" s="559">
        <f>SUBTOTAL(9,K10:K210)</f>
        <v>0</v>
      </c>
      <c r="L7" s="559">
        <f>SUBTOTAL(9,L10:L210)</f>
        <v>0</v>
      </c>
      <c r="M7" s="559">
        <f>SUBTOTAL(9,M10:M206)</f>
        <v>0</v>
      </c>
      <c r="N7" s="559">
        <f>SUBTOTAL(9,N10:N206)</f>
        <v>0</v>
      </c>
      <c r="O7" s="559">
        <f>SUBTOTAL(9,O10:O206)</f>
        <v>0</v>
      </c>
      <c r="P7" s="559">
        <f>SUBTOTAL(9,P10:P206)</f>
        <v>0</v>
      </c>
      <c r="Q7" s="528">
        <f>SUBTOTAL(9,Q10:Q210)</f>
        <v>0</v>
      </c>
      <c r="R7" s="559">
        <f t="shared" ref="R7:Y7" si="7">SUBTOTAL(9,R10:R206)</f>
        <v>0</v>
      </c>
      <c r="S7" s="559">
        <f t="shared" si="7"/>
        <v>0</v>
      </c>
      <c r="T7" s="559">
        <f t="shared" si="7"/>
        <v>0</v>
      </c>
      <c r="U7" s="559">
        <f t="shared" si="7"/>
        <v>0</v>
      </c>
      <c r="V7" s="559">
        <f t="shared" si="7"/>
        <v>0</v>
      </c>
      <c r="W7" s="559">
        <f t="shared" si="7"/>
        <v>0</v>
      </c>
      <c r="X7" s="559">
        <f t="shared" si="7"/>
        <v>0</v>
      </c>
      <c r="Y7" s="559">
        <f t="shared" si="7"/>
        <v>0</v>
      </c>
      <c r="Z7" s="528">
        <v>0</v>
      </c>
      <c r="AA7" s="528">
        <f>SUBTOTAL(9,AA10:AA210)</f>
        <v>0</v>
      </c>
      <c r="AB7" s="528">
        <f>SUBTOTAL(9,AB10:AB207)</f>
        <v>0</v>
      </c>
      <c r="AC7" s="528">
        <f>SUBTOTAL(9,AC10:AC201)</f>
        <v>0</v>
      </c>
      <c r="AD7" s="528">
        <f>SUBTOTAL(9,AD10:AD201)</f>
        <v>0</v>
      </c>
      <c r="AE7" s="528">
        <f>SUBTOTAL(9,AE10:AE201)</f>
        <v>0</v>
      </c>
      <c r="AF7" s="528">
        <f>SUBTOTAL(9,AF10:AF201)</f>
        <v>0</v>
      </c>
      <c r="AG7" s="559">
        <f>SUBTOTAL(9,AG10:AG206)</f>
        <v>0</v>
      </c>
      <c r="AH7" s="528">
        <f>SUBTOTAL(9,AH10:AH202)</f>
        <v>0</v>
      </c>
      <c r="AI7" s="559">
        <f t="shared" ref="AI7:BN7" si="8">SUBTOTAL(9,AI10:AI206)</f>
        <v>0</v>
      </c>
      <c r="AJ7" s="528">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ref="BO7:CT7" si="9">SUBTOTAL(9,BO10:BO206)</f>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ref="CU7:DZ7" si="10">SUBTOTAL(9,CU10:CU206)</f>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ref="EA7:FF7" si="11">SUBTOTAL(9,EA10:EA206)</f>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ref="FG7:GA7" si="12">SUBTOTAL(9,FG10:FG206)</f>
        <v>0</v>
      </c>
      <c r="FH7" s="559">
        <f t="shared" si="12"/>
        <v>0</v>
      </c>
      <c r="FI7" s="559">
        <f t="shared" si="12"/>
        <v>0</v>
      </c>
      <c r="FJ7" s="559">
        <f t="shared" si="12"/>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c r="FU7" s="559">
        <f t="shared" si="12"/>
        <v>0</v>
      </c>
      <c r="FV7" s="559">
        <f t="shared" si="12"/>
        <v>0</v>
      </c>
      <c r="FW7" s="559">
        <f t="shared" si="12"/>
        <v>0</v>
      </c>
      <c r="FX7" s="559">
        <f t="shared" si="12"/>
        <v>0</v>
      </c>
      <c r="FY7" s="559">
        <f t="shared" si="12"/>
        <v>0</v>
      </c>
      <c r="FZ7" s="559">
        <f t="shared" si="12"/>
        <v>0</v>
      </c>
      <c r="GA7" s="559">
        <f t="shared" si="12"/>
        <v>0</v>
      </c>
    </row>
    <row r="8" spans="1:183"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c r="FY8" s="529"/>
      <c r="FZ8" s="529"/>
      <c r="GA8" s="529"/>
    </row>
    <row r="9" spans="1:183" s="69" customFormat="1" ht="12.75" customHeight="1" thickTop="1" x14ac:dyDescent="0.2">
      <c r="A9" s="77"/>
      <c r="B9" s="76"/>
      <c r="C9" s="74"/>
      <c r="D9" s="75"/>
      <c r="E9" s="74"/>
      <c r="F9" s="73"/>
      <c r="G9" s="72"/>
      <c r="H9" s="71"/>
      <c r="I9" s="71"/>
      <c r="J9" s="71"/>
      <c r="K9" s="70"/>
      <c r="L9" s="70"/>
      <c r="M9" s="70"/>
      <c r="N9" s="70"/>
      <c r="O9" s="70"/>
      <c r="P9" s="70"/>
      <c r="Q9" s="143"/>
      <c r="R9" s="70"/>
      <c r="S9" s="70"/>
      <c r="T9" s="70"/>
      <c r="U9" s="70"/>
      <c r="V9" s="70"/>
      <c r="W9" s="70"/>
      <c r="X9" s="70"/>
      <c r="Y9" s="70"/>
      <c r="Z9" s="143"/>
      <c r="AA9" s="143"/>
      <c r="AB9" s="143"/>
      <c r="AC9" s="143"/>
      <c r="AD9" s="143"/>
      <c r="AE9" s="143"/>
      <c r="AF9" s="143"/>
      <c r="AG9" s="70"/>
      <c r="AH9" s="143"/>
      <c r="AI9" s="70"/>
      <c r="AJ9" s="143"/>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row>
    <row r="10" spans="1:183" s="56" customFormat="1" x14ac:dyDescent="0.2">
      <c r="A10" s="177"/>
      <c r="B10" s="68"/>
      <c r="C10" s="419" t="str">
        <f t="shared" ref="C10:C41" si="13">IFERROR(IF($E10&gt;0,$E10/SUMIF($E$10:$E$127,"&gt;0")*$D$5,""),"")</f>
        <v/>
      </c>
      <c r="D10" s="147" t="s">
        <v>983</v>
      </c>
      <c r="E10" s="65">
        <f t="shared" ref="E10:E18" si="14">SUM(G10:HT10)</f>
        <v>-1</v>
      </c>
      <c r="F10" s="178"/>
      <c r="G10" s="173"/>
      <c r="H10" s="173">
        <v>-1</v>
      </c>
      <c r="I10" s="173"/>
      <c r="J10" s="173"/>
      <c r="K10" s="173"/>
      <c r="L10" s="173"/>
      <c r="M10" s="173"/>
      <c r="N10" s="173"/>
      <c r="O10" s="173"/>
      <c r="P10" s="173"/>
      <c r="Q10" s="175"/>
      <c r="R10" s="173"/>
      <c r="S10" s="173"/>
      <c r="T10" s="173"/>
      <c r="U10" s="173"/>
      <c r="V10" s="173"/>
      <c r="W10" s="173"/>
      <c r="X10" s="173"/>
      <c r="Y10" s="173"/>
      <c r="Z10" s="175"/>
      <c r="AA10" s="175"/>
      <c r="AB10" s="175"/>
      <c r="AC10" s="175"/>
      <c r="AD10" s="175"/>
      <c r="AE10" s="175"/>
      <c r="AF10" s="175"/>
      <c r="AG10" s="173"/>
      <c r="AH10" s="175"/>
      <c r="AI10" s="173"/>
      <c r="AJ10" s="175"/>
      <c r="AK10" s="173"/>
      <c r="AL10" s="173"/>
      <c r="AM10" s="173"/>
      <c r="AN10" s="173"/>
      <c r="AO10" s="173"/>
      <c r="AP10" s="173"/>
      <c r="AQ10" s="173"/>
      <c r="AR10" s="173"/>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row>
    <row r="11" spans="1:183" s="56" customFormat="1" x14ac:dyDescent="0.2">
      <c r="A11" s="93"/>
      <c r="B11" s="68"/>
      <c r="C11" s="420" t="str">
        <f t="shared" si="13"/>
        <v/>
      </c>
      <c r="D11" s="38" t="s">
        <v>4273</v>
      </c>
      <c r="E11" s="101">
        <f t="shared" si="14"/>
        <v>0</v>
      </c>
      <c r="F11" s="178"/>
      <c r="G11" s="173"/>
      <c r="H11" s="173">
        <v>1</v>
      </c>
      <c r="I11" s="173">
        <v>-1</v>
      </c>
      <c r="J11" s="173"/>
      <c r="K11" s="173"/>
      <c r="L11" s="173"/>
      <c r="M11" s="173"/>
      <c r="N11" s="173"/>
      <c r="O11" s="173"/>
      <c r="P11" s="173"/>
      <c r="Q11" s="175"/>
      <c r="R11" s="173"/>
      <c r="S11" s="173"/>
      <c r="T11" s="173"/>
      <c r="U11" s="173"/>
      <c r="V11" s="173"/>
      <c r="W11" s="173"/>
      <c r="X11" s="173"/>
      <c r="Y11" s="173"/>
      <c r="Z11" s="176"/>
      <c r="AA11" s="175"/>
      <c r="AB11" s="175"/>
      <c r="AC11" s="175"/>
      <c r="AD11" s="175"/>
      <c r="AE11" s="175"/>
      <c r="AF11" s="175"/>
      <c r="AG11" s="173"/>
      <c r="AH11" s="175"/>
      <c r="AI11" s="173"/>
      <c r="AJ11" s="175"/>
      <c r="AK11" s="173"/>
      <c r="AL11" s="173"/>
      <c r="AM11" s="173"/>
      <c r="AN11" s="173"/>
      <c r="AO11" s="173"/>
      <c r="AP11" s="173"/>
      <c r="AQ11" s="173"/>
      <c r="AR11" s="173"/>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row>
    <row r="12" spans="1:183" s="56" customFormat="1" x14ac:dyDescent="0.2">
      <c r="A12" s="93"/>
      <c r="B12" s="68"/>
      <c r="C12" s="420">
        <f t="shared" si="13"/>
        <v>2.2222222222222223</v>
      </c>
      <c r="D12" s="147" t="s">
        <v>4274</v>
      </c>
      <c r="E12" s="101">
        <f t="shared" si="14"/>
        <v>1</v>
      </c>
      <c r="F12" s="178"/>
      <c r="G12" s="173"/>
      <c r="H12" s="173"/>
      <c r="I12" s="173">
        <v>1</v>
      </c>
      <c r="J12" s="173"/>
      <c r="K12" s="173"/>
      <c r="L12" s="173"/>
      <c r="M12" s="173"/>
      <c r="N12" s="173"/>
      <c r="O12" s="173"/>
      <c r="P12" s="173"/>
      <c r="Q12" s="175"/>
      <c r="R12" s="173"/>
      <c r="S12" s="173"/>
      <c r="T12" s="173"/>
      <c r="U12" s="173"/>
      <c r="V12" s="173"/>
      <c r="W12" s="173"/>
      <c r="X12" s="173"/>
      <c r="Y12" s="173"/>
      <c r="Z12" s="176"/>
      <c r="AA12" s="175"/>
      <c r="AB12" s="175"/>
      <c r="AC12" s="175"/>
      <c r="AD12" s="175"/>
      <c r="AE12" s="175"/>
      <c r="AF12" s="175"/>
      <c r="AG12" s="173"/>
      <c r="AH12" s="176"/>
      <c r="AI12" s="173"/>
      <c r="AJ12" s="175"/>
      <c r="AK12" s="173"/>
      <c r="AL12" s="173"/>
      <c r="AM12" s="173"/>
      <c r="AN12" s="173"/>
      <c r="AO12" s="173"/>
      <c r="AP12" s="173"/>
      <c r="AQ12" s="173"/>
      <c r="AR12" s="173"/>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row>
    <row r="13" spans="1:183" s="56" customFormat="1" x14ac:dyDescent="0.2">
      <c r="A13" s="174"/>
      <c r="B13" s="179"/>
      <c r="C13" s="419" t="str">
        <f t="shared" si="13"/>
        <v/>
      </c>
      <c r="D13" s="147" t="s">
        <v>433</v>
      </c>
      <c r="E13" s="65">
        <f t="shared" si="14"/>
        <v>-2</v>
      </c>
      <c r="F13" s="178"/>
      <c r="G13" s="173"/>
      <c r="H13" s="174"/>
      <c r="I13" s="174"/>
      <c r="J13" s="174">
        <v>-1</v>
      </c>
      <c r="K13" s="173"/>
      <c r="L13" s="173"/>
      <c r="M13" s="173"/>
      <c r="N13" s="173"/>
      <c r="O13" s="173"/>
      <c r="P13" s="173"/>
      <c r="Q13" s="175"/>
      <c r="R13" s="173"/>
      <c r="S13" s="173"/>
      <c r="T13" s="173"/>
      <c r="U13" s="173"/>
      <c r="V13" s="173"/>
      <c r="W13" s="173"/>
      <c r="X13" s="173"/>
      <c r="Y13" s="173"/>
      <c r="Z13" s="175"/>
      <c r="AA13" s="175"/>
      <c r="AB13" s="176"/>
      <c r="AC13" s="175"/>
      <c r="AD13" s="175"/>
      <c r="AE13" s="175"/>
      <c r="AF13" s="175"/>
      <c r="AG13" s="173"/>
      <c r="AH13" s="175"/>
      <c r="AI13" s="173"/>
      <c r="AJ13" s="175"/>
      <c r="AK13" s="173"/>
      <c r="AL13" s="173"/>
      <c r="AM13" s="173"/>
      <c r="AN13" s="173"/>
      <c r="AO13" s="437">
        <v>-1</v>
      </c>
      <c r="AP13" s="173"/>
      <c r="AQ13" s="173"/>
      <c r="AR13" s="173"/>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row>
    <row r="14" spans="1:183" s="56" customFormat="1" x14ac:dyDescent="0.2">
      <c r="A14" s="68"/>
      <c r="B14" s="68"/>
      <c r="C14" s="419" t="str">
        <f t="shared" si="13"/>
        <v/>
      </c>
      <c r="D14" s="147" t="s">
        <v>4275</v>
      </c>
      <c r="E14" s="65">
        <f t="shared" si="14"/>
        <v>0</v>
      </c>
      <c r="F14" s="178"/>
      <c r="G14" s="173"/>
      <c r="H14" s="173"/>
      <c r="I14" s="173"/>
      <c r="J14" s="173">
        <v>1</v>
      </c>
      <c r="K14" s="180">
        <v>-1</v>
      </c>
      <c r="L14" s="175">
        <v>-1</v>
      </c>
      <c r="M14" s="175"/>
      <c r="N14" s="181"/>
      <c r="O14" s="173"/>
      <c r="P14" s="173"/>
      <c r="Q14" s="175"/>
      <c r="R14" s="173"/>
      <c r="S14" s="173"/>
      <c r="T14" s="173"/>
      <c r="U14" s="173"/>
      <c r="V14" s="173"/>
      <c r="W14" s="173"/>
      <c r="X14" s="173"/>
      <c r="Y14" s="173"/>
      <c r="Z14" s="175"/>
      <c r="AA14" s="175"/>
      <c r="AB14" s="176"/>
      <c r="AC14" s="431">
        <v>1</v>
      </c>
      <c r="AD14" s="174"/>
      <c r="AE14" s="174"/>
      <c r="AF14" s="174"/>
      <c r="AG14" s="173"/>
      <c r="AH14" s="175"/>
      <c r="AI14" s="173"/>
      <c r="AJ14" s="175"/>
      <c r="AK14" s="173"/>
      <c r="AL14" s="173"/>
      <c r="AM14" s="173"/>
      <c r="AN14" s="173"/>
      <c r="AO14" s="173"/>
      <c r="AP14" s="173"/>
      <c r="AQ14" s="173"/>
      <c r="AR14" s="173"/>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row>
    <row r="15" spans="1:183" s="56" customFormat="1" x14ac:dyDescent="0.2">
      <c r="A15" s="177"/>
      <c r="B15" s="68"/>
      <c r="C15" s="419">
        <f t="shared" si="13"/>
        <v>2.2222222222222223</v>
      </c>
      <c r="D15" s="37" t="s">
        <v>4276</v>
      </c>
      <c r="E15" s="65">
        <f t="shared" si="14"/>
        <v>1</v>
      </c>
      <c r="F15" s="178"/>
      <c r="G15" s="173"/>
      <c r="H15" s="174"/>
      <c r="I15" s="174"/>
      <c r="J15" s="174"/>
      <c r="K15" s="180">
        <v>1</v>
      </c>
      <c r="L15" s="180"/>
      <c r="M15" s="175"/>
      <c r="N15" s="181"/>
      <c r="O15" s="173"/>
      <c r="P15" s="173"/>
      <c r="Q15" s="173"/>
      <c r="R15" s="173"/>
      <c r="S15" s="173"/>
      <c r="T15" s="173"/>
      <c r="U15" s="173"/>
      <c r="V15" s="173"/>
      <c r="W15" s="173"/>
      <c r="X15" s="173"/>
      <c r="Y15" s="173"/>
      <c r="Z15" s="175"/>
      <c r="AA15" s="175"/>
      <c r="AB15" s="175"/>
      <c r="AC15" s="174"/>
      <c r="AD15" s="174"/>
      <c r="AE15" s="174"/>
      <c r="AF15" s="174"/>
      <c r="AG15" s="173"/>
      <c r="AH15" s="175"/>
      <c r="AI15" s="173"/>
      <c r="AJ15" s="175"/>
      <c r="AK15" s="173"/>
      <c r="AL15" s="173"/>
      <c r="AM15" s="173"/>
      <c r="AN15" s="173"/>
      <c r="AO15" s="173"/>
      <c r="AP15" s="173"/>
      <c r="AQ15" s="173"/>
      <c r="AR15" s="173"/>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row>
    <row r="16" spans="1:183" s="56" customFormat="1" x14ac:dyDescent="0.2">
      <c r="A16" s="177"/>
      <c r="B16" s="68"/>
      <c r="C16" s="419" t="str">
        <f t="shared" si="13"/>
        <v/>
      </c>
      <c r="D16" s="37" t="s">
        <v>2533</v>
      </c>
      <c r="E16" s="65">
        <f t="shared" si="14"/>
        <v>0</v>
      </c>
      <c r="F16" s="178"/>
      <c r="G16" s="173"/>
      <c r="H16" s="174"/>
      <c r="I16" s="174"/>
      <c r="J16" s="431">
        <v>-1</v>
      </c>
      <c r="K16" s="180"/>
      <c r="L16" s="180">
        <v>1</v>
      </c>
      <c r="M16" s="175"/>
      <c r="N16" s="181"/>
      <c r="O16" s="173"/>
      <c r="P16" s="181"/>
      <c r="Q16" s="175"/>
      <c r="R16" s="173"/>
      <c r="S16" s="173"/>
      <c r="T16" s="173"/>
      <c r="U16" s="173"/>
      <c r="V16" s="173"/>
      <c r="W16" s="174"/>
      <c r="X16" s="173"/>
      <c r="Y16" s="173"/>
      <c r="Z16" s="175"/>
      <c r="AA16" s="175"/>
      <c r="AB16" s="175"/>
      <c r="AC16" s="174"/>
      <c r="AD16" s="174"/>
      <c r="AE16" s="174"/>
      <c r="AF16" s="174"/>
      <c r="AG16" s="173"/>
      <c r="AH16" s="175"/>
      <c r="AI16" s="173"/>
      <c r="AJ16" s="175"/>
      <c r="AK16" s="173"/>
      <c r="AL16" s="173"/>
      <c r="AM16" s="173"/>
      <c r="AN16" s="173"/>
      <c r="AO16" s="173"/>
      <c r="AP16" s="173"/>
      <c r="AQ16" s="173"/>
      <c r="AR16" s="173"/>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row>
    <row r="17" spans="1:183" s="56" customFormat="1" x14ac:dyDescent="0.2">
      <c r="A17" s="177"/>
      <c r="B17" s="68"/>
      <c r="C17" s="420" t="str">
        <f t="shared" si="13"/>
        <v/>
      </c>
      <c r="D17" s="147" t="s">
        <v>525</v>
      </c>
      <c r="E17" s="101">
        <f t="shared" si="14"/>
        <v>-1</v>
      </c>
      <c r="F17" s="178"/>
      <c r="G17" s="173"/>
      <c r="H17" s="174"/>
      <c r="I17" s="174"/>
      <c r="J17" s="431">
        <v>1</v>
      </c>
      <c r="K17" s="180"/>
      <c r="L17" s="180"/>
      <c r="M17" s="175"/>
      <c r="N17" s="181"/>
      <c r="O17" s="173"/>
      <c r="P17" s="437">
        <v>-1</v>
      </c>
      <c r="Q17" s="175"/>
      <c r="R17" s="173"/>
      <c r="S17" s="173"/>
      <c r="T17" s="173"/>
      <c r="U17" s="173"/>
      <c r="V17" s="173"/>
      <c r="W17" s="437">
        <v>-1</v>
      </c>
      <c r="X17" s="173"/>
      <c r="Y17" s="173"/>
      <c r="Z17" s="175"/>
      <c r="AA17" s="175"/>
      <c r="AB17" s="175"/>
      <c r="AC17" s="174"/>
      <c r="AD17" s="174"/>
      <c r="AE17" s="174"/>
      <c r="AF17" s="174"/>
      <c r="AG17" s="173"/>
      <c r="AH17" s="175"/>
      <c r="AI17" s="173"/>
      <c r="AJ17" s="175"/>
      <c r="AK17" s="173"/>
      <c r="AL17" s="173"/>
      <c r="AM17" s="173"/>
      <c r="AN17" s="173"/>
      <c r="AO17" s="173"/>
      <c r="AP17" s="173"/>
      <c r="AQ17" s="173"/>
      <c r="AR17" s="173"/>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row>
    <row r="18" spans="1:183" s="56" customFormat="1" x14ac:dyDescent="0.2">
      <c r="A18" s="177"/>
      <c r="B18" s="68"/>
      <c r="C18" s="419" t="str">
        <f t="shared" si="13"/>
        <v/>
      </c>
      <c r="D18" s="147" t="s">
        <v>2542</v>
      </c>
      <c r="E18" s="65">
        <f t="shared" si="14"/>
        <v>-1</v>
      </c>
      <c r="F18" s="178"/>
      <c r="G18" s="173"/>
      <c r="H18" s="173"/>
      <c r="I18" s="173"/>
      <c r="J18" s="173"/>
      <c r="K18" s="436">
        <v>-1</v>
      </c>
      <c r="L18" s="180"/>
      <c r="M18" s="175"/>
      <c r="N18" s="181"/>
      <c r="O18" s="181"/>
      <c r="P18" s="173"/>
      <c r="Q18" s="175"/>
      <c r="R18" s="173"/>
      <c r="S18" s="173"/>
      <c r="T18" s="173"/>
      <c r="U18" s="173"/>
      <c r="V18" s="173"/>
      <c r="W18" s="173"/>
      <c r="X18" s="173"/>
      <c r="Y18" s="173"/>
      <c r="Z18" s="175"/>
      <c r="AA18" s="175"/>
      <c r="AB18" s="175"/>
      <c r="AC18" s="174"/>
      <c r="AD18" s="174"/>
      <c r="AE18" s="174"/>
      <c r="AF18" s="174"/>
      <c r="AG18" s="173"/>
      <c r="AH18" s="176"/>
      <c r="AI18" s="173"/>
      <c r="AJ18" s="175"/>
      <c r="AK18" s="173"/>
      <c r="AL18" s="173"/>
      <c r="AM18" s="173"/>
      <c r="AN18" s="173"/>
      <c r="AO18" s="173"/>
      <c r="AP18" s="173"/>
      <c r="AQ18" s="173"/>
      <c r="AR18" s="173"/>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row>
    <row r="19" spans="1:183" s="56" customFormat="1" x14ac:dyDescent="0.2">
      <c r="A19" s="177"/>
      <c r="B19" s="68"/>
      <c r="C19" s="419">
        <f t="shared" si="13"/>
        <v>8.8888888888888893</v>
      </c>
      <c r="D19" s="147" t="s">
        <v>1110</v>
      </c>
      <c r="E19" s="65">
        <f>SUM(G19:HP19)</f>
        <v>4</v>
      </c>
      <c r="F19" s="178"/>
      <c r="G19" s="173"/>
      <c r="H19" s="173"/>
      <c r="I19" s="173"/>
      <c r="J19" s="173"/>
      <c r="K19" s="437">
        <v>1</v>
      </c>
      <c r="L19" s="173"/>
      <c r="M19" s="173"/>
      <c r="N19" s="173"/>
      <c r="O19" s="181"/>
      <c r="P19" s="437">
        <v>1</v>
      </c>
      <c r="Q19" s="173"/>
      <c r="R19" s="181"/>
      <c r="S19" s="181"/>
      <c r="T19" s="173"/>
      <c r="U19" s="173"/>
      <c r="V19" s="173"/>
      <c r="W19" s="173"/>
      <c r="X19" s="173"/>
      <c r="Y19" s="173"/>
      <c r="Z19" s="175"/>
      <c r="AA19" s="173"/>
      <c r="AB19" s="175"/>
      <c r="AC19" s="174"/>
      <c r="AD19" s="174"/>
      <c r="AE19" s="174"/>
      <c r="AF19" s="174"/>
      <c r="AG19" s="173"/>
      <c r="AH19" s="175"/>
      <c r="AI19" s="173"/>
      <c r="AJ19" s="175"/>
      <c r="AK19" s="175"/>
      <c r="AL19" s="173"/>
      <c r="AM19" s="174"/>
      <c r="AN19" s="173"/>
      <c r="AO19" s="437">
        <v>1</v>
      </c>
      <c r="AP19" s="173"/>
      <c r="AQ19" s="173"/>
      <c r="AR19" s="173"/>
      <c r="AS19" s="57"/>
      <c r="AT19" s="57"/>
      <c r="AU19" s="57"/>
      <c r="AV19" s="57"/>
      <c r="AW19" s="57"/>
      <c r="AX19" s="57"/>
      <c r="AY19" s="57"/>
      <c r="AZ19" s="57"/>
      <c r="BA19" s="57"/>
      <c r="BB19" s="57"/>
      <c r="BC19" s="57"/>
      <c r="BD19" s="57"/>
      <c r="BE19" s="57"/>
      <c r="BF19" s="57"/>
      <c r="BG19" s="57"/>
      <c r="BH19" s="57"/>
      <c r="BI19" s="57"/>
      <c r="BJ19" s="57"/>
      <c r="BK19" s="57"/>
      <c r="BL19" s="57"/>
      <c r="BM19" s="57"/>
      <c r="BN19" s="57"/>
      <c r="BO19" s="438">
        <v>1</v>
      </c>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row>
    <row r="20" spans="1:183" s="56" customFormat="1" x14ac:dyDescent="0.2">
      <c r="A20" s="177"/>
      <c r="B20" s="68"/>
      <c r="C20" s="420" t="str">
        <f t="shared" si="13"/>
        <v/>
      </c>
      <c r="D20" s="38" t="s">
        <v>4277</v>
      </c>
      <c r="E20" s="101">
        <f>SUM(G20:HP20)</f>
        <v>0</v>
      </c>
      <c r="F20" s="178"/>
      <c r="G20" s="173"/>
      <c r="H20" s="173"/>
      <c r="I20" s="173"/>
      <c r="J20" s="173"/>
      <c r="K20" s="173"/>
      <c r="L20" s="173"/>
      <c r="M20" s="173"/>
      <c r="N20" s="173"/>
      <c r="O20" s="181"/>
      <c r="P20" s="173"/>
      <c r="Q20" s="173"/>
      <c r="R20" s="173"/>
      <c r="S20" s="181"/>
      <c r="T20" s="173"/>
      <c r="U20" s="173"/>
      <c r="V20" s="173"/>
      <c r="W20" s="173"/>
      <c r="X20" s="173"/>
      <c r="Y20" s="173"/>
      <c r="Z20" s="175"/>
      <c r="AA20" s="173"/>
      <c r="AB20" s="175"/>
      <c r="AC20" s="175"/>
      <c r="AD20" s="175"/>
      <c r="AE20" s="175"/>
      <c r="AF20" s="175"/>
      <c r="AG20" s="173"/>
      <c r="AH20" s="175"/>
      <c r="AI20" s="173"/>
      <c r="AJ20" s="175"/>
      <c r="AK20" s="175"/>
      <c r="AL20" s="173"/>
      <c r="AM20" s="173"/>
      <c r="AN20" s="173"/>
      <c r="AO20" s="173"/>
      <c r="AP20" s="173"/>
      <c r="AQ20" s="173"/>
      <c r="AR20" s="173"/>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row>
    <row r="21" spans="1:183" s="56" customFormat="1" x14ac:dyDescent="0.2">
      <c r="A21" s="177"/>
      <c r="B21" s="68"/>
      <c r="C21" s="419" t="str">
        <f t="shared" si="13"/>
        <v/>
      </c>
      <c r="D21" s="38" t="s">
        <v>3289</v>
      </c>
      <c r="E21" s="65">
        <f t="shared" ref="E21:E34" si="15">SUM(G21:HT21)</f>
        <v>0</v>
      </c>
      <c r="F21" s="178"/>
      <c r="G21" s="173"/>
      <c r="H21" s="173"/>
      <c r="I21" s="173"/>
      <c r="J21" s="173"/>
      <c r="K21" s="173"/>
      <c r="L21" s="173"/>
      <c r="M21" s="173"/>
      <c r="N21" s="173"/>
      <c r="O21" s="173"/>
      <c r="P21" s="181"/>
      <c r="Q21" s="175"/>
      <c r="R21" s="173"/>
      <c r="S21" s="173"/>
      <c r="T21" s="173"/>
      <c r="U21" s="173"/>
      <c r="V21" s="173"/>
      <c r="W21" s="173"/>
      <c r="X21" s="173"/>
      <c r="Y21" s="173"/>
      <c r="Z21" s="175"/>
      <c r="AA21" s="175"/>
      <c r="AB21" s="175"/>
      <c r="AC21" s="175"/>
      <c r="AD21" s="175"/>
      <c r="AE21" s="175"/>
      <c r="AF21" s="175"/>
      <c r="AG21" s="173"/>
      <c r="AH21" s="175"/>
      <c r="AI21" s="173"/>
      <c r="AJ21" s="175"/>
      <c r="AK21" s="173"/>
      <c r="AL21" s="173"/>
      <c r="AM21" s="173"/>
      <c r="AN21" s="173"/>
      <c r="AO21" s="173"/>
      <c r="AP21" s="173"/>
      <c r="AQ21" s="173"/>
      <c r="AR21" s="173"/>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row>
    <row r="22" spans="1:183" s="56" customFormat="1" x14ac:dyDescent="0.2">
      <c r="A22" s="177"/>
      <c r="B22" s="68"/>
      <c r="C22" s="420" t="str">
        <f t="shared" si="13"/>
        <v/>
      </c>
      <c r="D22" s="147" t="s">
        <v>2583</v>
      </c>
      <c r="E22" s="101">
        <f t="shared" si="15"/>
        <v>0</v>
      </c>
      <c r="F22" s="178"/>
      <c r="G22" s="173"/>
      <c r="H22" s="174"/>
      <c r="I22" s="174"/>
      <c r="J22" s="174"/>
      <c r="K22" s="173"/>
      <c r="L22" s="173"/>
      <c r="M22" s="173"/>
      <c r="N22" s="173"/>
      <c r="O22" s="173"/>
      <c r="P22" s="181"/>
      <c r="Q22" s="181"/>
      <c r="R22" s="173"/>
      <c r="S22" s="173"/>
      <c r="T22" s="173"/>
      <c r="U22" s="173"/>
      <c r="V22" s="173"/>
      <c r="W22" s="173"/>
      <c r="X22" s="173"/>
      <c r="Y22" s="173"/>
      <c r="Z22" s="175"/>
      <c r="AA22" s="175"/>
      <c r="AB22" s="175"/>
      <c r="AC22" s="175"/>
      <c r="AD22" s="175"/>
      <c r="AE22" s="175"/>
      <c r="AF22" s="175"/>
      <c r="AG22" s="173"/>
      <c r="AH22" s="175"/>
      <c r="AI22" s="174"/>
      <c r="AJ22" s="175"/>
      <c r="AK22" s="173"/>
      <c r="AL22" s="173"/>
      <c r="AM22" s="173"/>
      <c r="AN22" s="173"/>
      <c r="AO22" s="173"/>
      <c r="AP22" s="173"/>
      <c r="AQ22" s="173"/>
      <c r="AR22" s="173"/>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row>
    <row r="23" spans="1:183" s="56" customFormat="1" x14ac:dyDescent="0.2">
      <c r="A23" s="177"/>
      <c r="B23" s="68"/>
      <c r="C23" s="419" t="str">
        <f t="shared" si="13"/>
        <v/>
      </c>
      <c r="D23" s="147" t="s">
        <v>509</v>
      </c>
      <c r="E23" s="65">
        <f t="shared" si="15"/>
        <v>0</v>
      </c>
      <c r="F23" s="178"/>
      <c r="G23" s="173"/>
      <c r="H23" s="173"/>
      <c r="I23" s="173"/>
      <c r="J23" s="173"/>
      <c r="K23" s="173"/>
      <c r="L23" s="173"/>
      <c r="M23" s="173"/>
      <c r="N23" s="173"/>
      <c r="O23" s="181"/>
      <c r="P23" s="181"/>
      <c r="Q23" s="181"/>
      <c r="R23" s="173"/>
      <c r="S23" s="173"/>
      <c r="T23" s="173"/>
      <c r="U23" s="173"/>
      <c r="V23" s="173"/>
      <c r="W23" s="173"/>
      <c r="X23" s="173"/>
      <c r="Y23" s="173"/>
      <c r="Z23" s="175"/>
      <c r="AA23" s="175"/>
      <c r="AB23" s="175"/>
      <c r="AC23" s="175"/>
      <c r="AD23" s="175"/>
      <c r="AE23" s="175"/>
      <c r="AF23" s="175"/>
      <c r="AG23" s="173"/>
      <c r="AH23" s="175"/>
      <c r="AI23" s="173"/>
      <c r="AJ23" s="175"/>
      <c r="AK23" s="173"/>
      <c r="AL23" s="173"/>
      <c r="AM23" s="173"/>
      <c r="AN23" s="174"/>
      <c r="AO23" s="173"/>
      <c r="AP23" s="173"/>
      <c r="AQ23" s="173"/>
      <c r="AR23" s="173"/>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row>
    <row r="24" spans="1:183" s="56" customFormat="1" x14ac:dyDescent="0.2">
      <c r="A24" s="177"/>
      <c r="B24" s="68"/>
      <c r="C24" s="420" t="str">
        <f t="shared" si="13"/>
        <v/>
      </c>
      <c r="D24" s="147" t="s">
        <v>2586</v>
      </c>
      <c r="E24" s="101">
        <f t="shared" si="15"/>
        <v>0</v>
      </c>
      <c r="F24" s="178"/>
      <c r="G24" s="173"/>
      <c r="H24" s="173"/>
      <c r="I24" s="173"/>
      <c r="J24" s="173"/>
      <c r="K24" s="173"/>
      <c r="L24" s="173"/>
      <c r="M24" s="173"/>
      <c r="N24" s="173"/>
      <c r="O24" s="181"/>
      <c r="P24" s="181"/>
      <c r="Q24" s="181"/>
      <c r="R24" s="173"/>
      <c r="S24" s="173"/>
      <c r="T24" s="173"/>
      <c r="U24" s="173"/>
      <c r="V24" s="173"/>
      <c r="W24" s="173"/>
      <c r="X24" s="173"/>
      <c r="Y24" s="173"/>
      <c r="Z24" s="175"/>
      <c r="AA24" s="175"/>
      <c r="AB24" s="175"/>
      <c r="AC24" s="175"/>
      <c r="AD24" s="175"/>
      <c r="AE24" s="175"/>
      <c r="AF24" s="175"/>
      <c r="AG24" s="173"/>
      <c r="AH24" s="175"/>
      <c r="AI24" s="174"/>
      <c r="AJ24" s="175"/>
      <c r="AK24" s="173"/>
      <c r="AL24" s="173"/>
      <c r="AM24" s="173"/>
      <c r="AN24" s="174"/>
      <c r="AO24" s="173"/>
      <c r="AP24" s="173"/>
      <c r="AQ24" s="173"/>
      <c r="AR24" s="173"/>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row>
    <row r="25" spans="1:183" s="56" customFormat="1" x14ac:dyDescent="0.2">
      <c r="A25" s="177"/>
      <c r="B25" s="68"/>
      <c r="C25" s="420" t="str">
        <f t="shared" si="13"/>
        <v/>
      </c>
      <c r="D25" s="37" t="s">
        <v>2115</v>
      </c>
      <c r="E25" s="101">
        <f t="shared" si="15"/>
        <v>-2</v>
      </c>
      <c r="F25" s="178"/>
      <c r="G25" s="173"/>
      <c r="H25" s="173"/>
      <c r="I25" s="173"/>
      <c r="J25" s="173"/>
      <c r="K25" s="173"/>
      <c r="L25" s="173"/>
      <c r="M25" s="173"/>
      <c r="N25" s="437">
        <v>-1</v>
      </c>
      <c r="O25" s="437">
        <v>-1</v>
      </c>
      <c r="P25" s="173"/>
      <c r="Q25" s="175"/>
      <c r="R25" s="181"/>
      <c r="S25" s="173"/>
      <c r="T25" s="173"/>
      <c r="U25" s="173"/>
      <c r="V25" s="173"/>
      <c r="W25" s="173"/>
      <c r="X25" s="173"/>
      <c r="Y25" s="173"/>
      <c r="Z25" s="175"/>
      <c r="AA25" s="175"/>
      <c r="AB25" s="175"/>
      <c r="AC25" s="175"/>
      <c r="AD25" s="175"/>
      <c r="AE25" s="40"/>
      <c r="AF25" s="175"/>
      <c r="AG25" s="173"/>
      <c r="AH25" s="175"/>
      <c r="AI25" s="173"/>
      <c r="AJ25" s="175"/>
      <c r="AK25" s="173"/>
      <c r="AL25" s="173"/>
      <c r="AM25" s="173"/>
      <c r="AN25" s="174"/>
      <c r="AO25" s="173"/>
      <c r="AP25" s="173"/>
      <c r="AQ25" s="173"/>
      <c r="AR25" s="173"/>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row>
    <row r="26" spans="1:183" s="56" customFormat="1" x14ac:dyDescent="0.2">
      <c r="A26" s="177"/>
      <c r="B26" s="68"/>
      <c r="C26" s="420">
        <f t="shared" si="13"/>
        <v>4.4444444444444446</v>
      </c>
      <c r="D26" s="37" t="s">
        <v>288</v>
      </c>
      <c r="E26" s="101">
        <f t="shared" si="15"/>
        <v>2</v>
      </c>
      <c r="F26" s="178"/>
      <c r="G26" s="173"/>
      <c r="H26" s="173"/>
      <c r="I26" s="173"/>
      <c r="J26" s="173"/>
      <c r="K26" s="173"/>
      <c r="L26" s="173"/>
      <c r="M26" s="173"/>
      <c r="N26" s="437">
        <v>1</v>
      </c>
      <c r="O26" s="437">
        <v>1</v>
      </c>
      <c r="P26" s="173"/>
      <c r="Q26" s="175"/>
      <c r="R26" s="181"/>
      <c r="S26" s="173"/>
      <c r="T26" s="173"/>
      <c r="U26" s="173"/>
      <c r="V26" s="173"/>
      <c r="W26" s="173"/>
      <c r="X26" s="173"/>
      <c r="Y26" s="173"/>
      <c r="Z26" s="175"/>
      <c r="AA26" s="175"/>
      <c r="AB26" s="175"/>
      <c r="AC26" s="175"/>
      <c r="AD26" s="175"/>
      <c r="AE26" s="39"/>
      <c r="AF26" s="175"/>
      <c r="AG26" s="173"/>
      <c r="AH26" s="175"/>
      <c r="AI26" s="173"/>
      <c r="AJ26" s="175"/>
      <c r="AK26" s="173"/>
      <c r="AL26" s="173"/>
      <c r="AM26" s="173"/>
      <c r="AN26" s="174"/>
      <c r="AO26" s="173"/>
      <c r="AP26" s="173"/>
      <c r="AQ26" s="173"/>
      <c r="AR26" s="173"/>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row>
    <row r="27" spans="1:183" s="56" customFormat="1" x14ac:dyDescent="0.2">
      <c r="A27" s="177"/>
      <c r="B27" s="68"/>
      <c r="C27" s="420" t="str">
        <f t="shared" si="13"/>
        <v/>
      </c>
      <c r="D27" s="37" t="s">
        <v>4278</v>
      </c>
      <c r="E27" s="101">
        <f t="shared" si="15"/>
        <v>0</v>
      </c>
      <c r="F27" s="178"/>
      <c r="G27" s="173"/>
      <c r="H27" s="173"/>
      <c r="I27" s="173"/>
      <c r="J27" s="173"/>
      <c r="K27" s="173"/>
      <c r="L27" s="173"/>
      <c r="M27" s="173"/>
      <c r="N27" s="173"/>
      <c r="O27" s="173"/>
      <c r="P27" s="173"/>
      <c r="Q27" s="175"/>
      <c r="R27" s="181"/>
      <c r="S27" s="173"/>
      <c r="T27" s="173"/>
      <c r="U27" s="173"/>
      <c r="V27" s="173"/>
      <c r="W27" s="173"/>
      <c r="X27" s="173"/>
      <c r="Y27" s="173"/>
      <c r="Z27" s="175"/>
      <c r="AA27" s="175"/>
      <c r="AB27" s="175"/>
      <c r="AC27" s="175"/>
      <c r="AD27" s="175"/>
      <c r="AE27" s="39"/>
      <c r="AF27" s="175"/>
      <c r="AG27" s="173"/>
      <c r="AH27" s="175"/>
      <c r="AI27" s="173"/>
      <c r="AJ27" s="175"/>
      <c r="AK27" s="173"/>
      <c r="AL27" s="173"/>
      <c r="AM27" s="173"/>
      <c r="AN27" s="174"/>
      <c r="AO27" s="173"/>
      <c r="AP27" s="173"/>
      <c r="AQ27" s="173"/>
      <c r="AR27" s="173"/>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row>
    <row r="28" spans="1:183" s="56" customFormat="1" x14ac:dyDescent="0.2">
      <c r="A28" s="177"/>
      <c r="B28" s="68"/>
      <c r="C28" s="420" t="str">
        <f t="shared" si="13"/>
        <v/>
      </c>
      <c r="D28" s="148" t="s">
        <v>4279</v>
      </c>
      <c r="E28" s="101">
        <f t="shared" si="15"/>
        <v>0</v>
      </c>
      <c r="F28" s="178"/>
      <c r="G28" s="173"/>
      <c r="H28" s="173"/>
      <c r="I28" s="173"/>
      <c r="J28" s="173"/>
      <c r="K28" s="173"/>
      <c r="L28" s="173"/>
      <c r="M28" s="173"/>
      <c r="N28" s="173"/>
      <c r="O28" s="173"/>
      <c r="P28" s="173"/>
      <c r="Q28" s="175"/>
      <c r="R28" s="173"/>
      <c r="S28" s="181"/>
      <c r="T28" s="181"/>
      <c r="U28" s="181"/>
      <c r="V28" s="181"/>
      <c r="W28" s="181"/>
      <c r="X28" s="173"/>
      <c r="Y28" s="173"/>
      <c r="Z28" s="175"/>
      <c r="AA28" s="175"/>
      <c r="AB28" s="175"/>
      <c r="AC28" s="175"/>
      <c r="AD28" s="175"/>
      <c r="AE28" s="39"/>
      <c r="AF28" s="175"/>
      <c r="AG28" s="173"/>
      <c r="AH28" s="175"/>
      <c r="AI28" s="173"/>
      <c r="AJ28" s="175"/>
      <c r="AK28" s="173"/>
      <c r="AL28" s="173"/>
      <c r="AM28" s="173"/>
      <c r="AN28" s="174"/>
      <c r="AO28" s="173"/>
      <c r="AP28" s="173"/>
      <c r="AQ28" s="173"/>
      <c r="AR28" s="173"/>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row>
    <row r="29" spans="1:183" s="56" customFormat="1" x14ac:dyDescent="0.2">
      <c r="A29" s="177"/>
      <c r="B29" s="68"/>
      <c r="C29" s="419" t="str">
        <f t="shared" si="13"/>
        <v/>
      </c>
      <c r="D29" s="147" t="s">
        <v>4280</v>
      </c>
      <c r="E29" s="65">
        <f t="shared" si="15"/>
        <v>0</v>
      </c>
      <c r="F29" s="178"/>
      <c r="G29" s="173"/>
      <c r="H29" s="173"/>
      <c r="I29" s="173"/>
      <c r="J29" s="173"/>
      <c r="K29" s="173"/>
      <c r="L29" s="173"/>
      <c r="M29" s="173"/>
      <c r="N29" s="173"/>
      <c r="O29" s="175"/>
      <c r="P29" s="173"/>
      <c r="Q29" s="175"/>
      <c r="R29" s="181"/>
      <c r="S29" s="181"/>
      <c r="T29" s="181"/>
      <c r="U29" s="173"/>
      <c r="V29" s="173"/>
      <c r="W29" s="173"/>
      <c r="X29" s="173"/>
      <c r="Y29" s="173"/>
      <c r="Z29" s="175"/>
      <c r="AA29" s="175"/>
      <c r="AB29" s="175"/>
      <c r="AC29" s="175"/>
      <c r="AD29" s="175"/>
      <c r="AE29" s="39"/>
      <c r="AF29" s="175"/>
      <c r="AG29" s="173"/>
      <c r="AH29" s="175"/>
      <c r="AI29" s="173"/>
      <c r="AJ29" s="175"/>
      <c r="AK29" s="173"/>
      <c r="AL29" s="173"/>
      <c r="AM29" s="173"/>
      <c r="AN29" s="173"/>
      <c r="AO29" s="173"/>
      <c r="AP29" s="173"/>
      <c r="AQ29" s="173"/>
      <c r="AR29" s="173"/>
      <c r="AS29" s="57"/>
      <c r="AT29" s="57"/>
    </row>
    <row r="30" spans="1:183" s="56" customFormat="1" x14ac:dyDescent="0.2">
      <c r="A30" s="177"/>
      <c r="B30" s="68"/>
      <c r="C30" s="419" t="str">
        <f t="shared" si="13"/>
        <v/>
      </c>
      <c r="D30" s="147" t="s">
        <v>2602</v>
      </c>
      <c r="E30" s="65">
        <f t="shared" si="15"/>
        <v>0</v>
      </c>
      <c r="F30" s="178"/>
      <c r="G30" s="173"/>
      <c r="H30" s="173"/>
      <c r="I30" s="173"/>
      <c r="J30" s="173"/>
      <c r="K30" s="173"/>
      <c r="L30" s="173"/>
      <c r="M30" s="173"/>
      <c r="N30" s="173"/>
      <c r="O30" s="175"/>
      <c r="P30" s="173"/>
      <c r="Q30" s="175"/>
      <c r="R30" s="181"/>
      <c r="S30" s="181"/>
      <c r="T30" s="173"/>
      <c r="U30" s="181"/>
      <c r="V30" s="173"/>
      <c r="W30" s="173"/>
      <c r="X30" s="173"/>
      <c r="Y30" s="173"/>
      <c r="Z30" s="175"/>
      <c r="AA30" s="175"/>
      <c r="AB30" s="175"/>
      <c r="AC30" s="175"/>
      <c r="AD30" s="175"/>
      <c r="AE30" s="171"/>
      <c r="AF30" s="175"/>
      <c r="AG30" s="173"/>
      <c r="AH30" s="175"/>
      <c r="AI30" s="173"/>
      <c r="AJ30" s="175"/>
      <c r="AK30" s="173"/>
      <c r="AL30" s="173"/>
      <c r="AM30" s="173"/>
      <c r="AN30" s="173"/>
      <c r="AO30" s="173"/>
      <c r="AP30" s="173"/>
      <c r="AQ30" s="173"/>
      <c r="AR30" s="173"/>
      <c r="AS30" s="57"/>
      <c r="AT30" s="57"/>
    </row>
    <row r="31" spans="1:183" s="56" customFormat="1" x14ac:dyDescent="0.2">
      <c r="A31" s="177"/>
      <c r="B31" s="68"/>
      <c r="C31" s="420" t="str">
        <f t="shared" si="13"/>
        <v/>
      </c>
      <c r="D31" s="148" t="s">
        <v>4281</v>
      </c>
      <c r="E31" s="101">
        <f t="shared" si="15"/>
        <v>0</v>
      </c>
      <c r="F31" s="178"/>
      <c r="G31" s="173"/>
      <c r="H31" s="173"/>
      <c r="I31" s="173"/>
      <c r="J31" s="173"/>
      <c r="K31" s="173"/>
      <c r="L31" s="173"/>
      <c r="M31" s="173"/>
      <c r="N31" s="173"/>
      <c r="O31" s="175"/>
      <c r="P31" s="173"/>
      <c r="Q31" s="175"/>
      <c r="R31" s="181"/>
      <c r="S31" s="181"/>
      <c r="T31" s="173"/>
      <c r="U31" s="173"/>
      <c r="V31" s="181"/>
      <c r="W31" s="173"/>
      <c r="X31" s="173"/>
      <c r="Y31" s="173"/>
      <c r="Z31" s="175"/>
      <c r="AA31" s="175"/>
      <c r="AB31" s="175"/>
      <c r="AC31" s="175"/>
      <c r="AD31" s="175"/>
      <c r="AE31" s="171"/>
      <c r="AF31" s="175"/>
      <c r="AG31" s="173"/>
      <c r="AH31" s="175"/>
      <c r="AI31" s="173"/>
      <c r="AJ31" s="175"/>
      <c r="AK31" s="173"/>
      <c r="AL31" s="173"/>
      <c r="AM31" s="173"/>
      <c r="AN31" s="173"/>
      <c r="AO31" s="173"/>
      <c r="AP31" s="173"/>
      <c r="AQ31" s="173"/>
      <c r="AR31" s="173"/>
      <c r="AS31" s="57"/>
      <c r="AT31" s="57"/>
    </row>
    <row r="32" spans="1:183" s="56" customFormat="1" x14ac:dyDescent="0.2">
      <c r="A32" s="177"/>
      <c r="B32" s="68"/>
      <c r="C32" s="419" t="str">
        <f t="shared" si="13"/>
        <v/>
      </c>
      <c r="D32" s="147" t="s">
        <v>4282</v>
      </c>
      <c r="E32" s="65">
        <f t="shared" si="15"/>
        <v>0</v>
      </c>
      <c r="F32" s="178"/>
      <c r="G32" s="173"/>
      <c r="H32" s="173"/>
      <c r="I32" s="173"/>
      <c r="J32" s="173"/>
      <c r="K32" s="173"/>
      <c r="L32" s="173"/>
      <c r="M32" s="173"/>
      <c r="N32" s="173"/>
      <c r="O32" s="173"/>
      <c r="P32" s="173"/>
      <c r="Q32" s="175"/>
      <c r="R32" s="173"/>
      <c r="S32" s="181"/>
      <c r="T32" s="173"/>
      <c r="U32" s="173"/>
      <c r="V32" s="173"/>
      <c r="W32" s="181"/>
      <c r="X32" s="173"/>
      <c r="Y32" s="173"/>
      <c r="Z32" s="175"/>
      <c r="AA32" s="175"/>
      <c r="AB32" s="175"/>
      <c r="AC32" s="175"/>
      <c r="AD32" s="175"/>
      <c r="AE32" s="171"/>
      <c r="AF32" s="175"/>
      <c r="AG32" s="173"/>
      <c r="AH32" s="175"/>
      <c r="AI32" s="173"/>
      <c r="AJ32" s="175"/>
      <c r="AK32" s="173"/>
      <c r="AL32" s="173"/>
      <c r="AM32" s="173"/>
      <c r="AN32" s="173"/>
      <c r="AO32" s="173"/>
      <c r="AP32" s="173"/>
      <c r="AQ32" s="173"/>
      <c r="AR32" s="173"/>
      <c r="AS32" s="57"/>
      <c r="AT32" s="57"/>
    </row>
    <row r="33" spans="1:188" s="56" customFormat="1" x14ac:dyDescent="0.2">
      <c r="A33" s="177"/>
      <c r="B33" s="68"/>
      <c r="C33" s="420" t="str">
        <f t="shared" si="13"/>
        <v/>
      </c>
      <c r="D33" s="147" t="s">
        <v>527</v>
      </c>
      <c r="E33" s="101">
        <f t="shared" si="15"/>
        <v>0</v>
      </c>
      <c r="F33" s="178"/>
      <c r="G33" s="173"/>
      <c r="H33" s="173"/>
      <c r="I33" s="173"/>
      <c r="J33" s="173"/>
      <c r="K33" s="173"/>
      <c r="L33" s="173"/>
      <c r="M33" s="173"/>
      <c r="N33" s="173"/>
      <c r="O33" s="173"/>
      <c r="P33" s="173"/>
      <c r="Q33" s="175"/>
      <c r="R33" s="173"/>
      <c r="S33" s="181"/>
      <c r="T33" s="173"/>
      <c r="U33" s="173"/>
      <c r="V33" s="173"/>
      <c r="W33" s="173"/>
      <c r="X33" s="173"/>
      <c r="Y33" s="173"/>
      <c r="Z33" s="175"/>
      <c r="AA33" s="175"/>
      <c r="AB33" s="175"/>
      <c r="AC33" s="175"/>
      <c r="AD33" s="175"/>
      <c r="AE33" s="175"/>
      <c r="AF33" s="175"/>
      <c r="AG33" s="173"/>
      <c r="AH33" s="175"/>
      <c r="AI33" s="173"/>
      <c r="AJ33" s="175"/>
      <c r="AK33" s="173"/>
      <c r="AL33" s="173"/>
      <c r="AM33" s="173"/>
      <c r="AN33" s="173"/>
      <c r="AO33" s="173"/>
      <c r="AP33" s="173"/>
      <c r="AQ33" s="173"/>
      <c r="AR33" s="173"/>
      <c r="AS33" s="57"/>
      <c r="AT33" s="57"/>
    </row>
    <row r="34" spans="1:188" s="56" customFormat="1" x14ac:dyDescent="0.2">
      <c r="A34" s="177"/>
      <c r="B34" s="68"/>
      <c r="C34" s="420" t="str">
        <f t="shared" si="13"/>
        <v/>
      </c>
      <c r="D34" s="147" t="s">
        <v>2610</v>
      </c>
      <c r="E34" s="101">
        <f t="shared" si="15"/>
        <v>0</v>
      </c>
      <c r="F34" s="178"/>
      <c r="G34" s="173"/>
      <c r="H34" s="173"/>
      <c r="I34" s="173"/>
      <c r="J34" s="173"/>
      <c r="K34" s="173"/>
      <c r="L34" s="173"/>
      <c r="M34" s="173"/>
      <c r="N34" s="173"/>
      <c r="O34" s="173"/>
      <c r="P34" s="173"/>
      <c r="Q34" s="175"/>
      <c r="R34" s="173"/>
      <c r="S34" s="181"/>
      <c r="T34" s="173"/>
      <c r="U34" s="173"/>
      <c r="V34" s="173"/>
      <c r="W34" s="173"/>
      <c r="X34" s="173"/>
      <c r="Y34" s="173"/>
      <c r="Z34" s="173"/>
      <c r="AA34" s="175"/>
      <c r="AB34" s="175"/>
      <c r="AC34" s="175"/>
      <c r="AD34" s="175"/>
      <c r="AE34" s="175"/>
      <c r="AF34" s="175"/>
      <c r="AG34" s="173"/>
      <c r="AH34" s="175"/>
      <c r="AI34" s="173"/>
      <c r="AJ34" s="175"/>
      <c r="AK34" s="173"/>
      <c r="AL34" s="173"/>
      <c r="AM34" s="173"/>
      <c r="AN34" s="173"/>
      <c r="AO34" s="173"/>
      <c r="AP34" s="173"/>
      <c r="AQ34" s="173"/>
      <c r="AR34" s="173"/>
      <c r="AS34" s="57"/>
      <c r="AT34" s="57"/>
    </row>
    <row r="35" spans="1:188" s="56" customFormat="1" x14ac:dyDescent="0.2">
      <c r="A35" s="177"/>
      <c r="B35" s="68"/>
      <c r="C35" s="420" t="str">
        <f t="shared" si="13"/>
        <v/>
      </c>
      <c r="D35" s="147" t="s">
        <v>499</v>
      </c>
      <c r="E35" s="101">
        <f>SUM(G35:HY35)</f>
        <v>0</v>
      </c>
      <c r="F35" s="178"/>
      <c r="G35" s="173"/>
      <c r="H35" s="173"/>
      <c r="I35" s="173"/>
      <c r="J35" s="173"/>
      <c r="K35" s="174"/>
      <c r="L35" s="174"/>
      <c r="M35" s="175"/>
      <c r="N35" s="175"/>
      <c r="O35" s="175"/>
      <c r="P35" s="175"/>
      <c r="Q35" s="175"/>
      <c r="R35" s="175"/>
      <c r="S35" s="175"/>
      <c r="T35" s="175"/>
      <c r="U35" s="175"/>
      <c r="V35" s="175"/>
      <c r="W35" s="175"/>
      <c r="X35" s="175"/>
      <c r="Y35" s="175"/>
      <c r="Z35" s="173"/>
      <c r="AA35" s="175"/>
      <c r="AB35" s="175"/>
      <c r="AC35" s="175"/>
      <c r="AD35" s="175"/>
      <c r="AE35" s="175"/>
      <c r="AF35" s="175"/>
      <c r="AG35" s="175"/>
      <c r="AH35" s="173"/>
      <c r="AI35" s="175"/>
      <c r="AJ35" s="175"/>
      <c r="AK35" s="175"/>
      <c r="AL35" s="175"/>
      <c r="AM35" s="175"/>
      <c r="AN35" s="175"/>
      <c r="AO35" s="175"/>
      <c r="AP35" s="175"/>
      <c r="AQ35" s="175"/>
      <c r="AR35" s="175"/>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c r="FY35" s="144"/>
      <c r="FZ35" s="144"/>
      <c r="GA35" s="144"/>
      <c r="GB35" s="144"/>
      <c r="GC35" s="144"/>
      <c r="GD35" s="144"/>
      <c r="GE35" s="144"/>
      <c r="GF35" s="144"/>
    </row>
    <row r="36" spans="1:188" s="56" customFormat="1" x14ac:dyDescent="0.2">
      <c r="A36" s="177"/>
      <c r="B36" s="68"/>
      <c r="C36" s="420" t="str">
        <f t="shared" si="13"/>
        <v/>
      </c>
      <c r="D36" s="38" t="s">
        <v>495</v>
      </c>
      <c r="E36" s="101">
        <f>SUM(G36:HT36)</f>
        <v>0</v>
      </c>
      <c r="F36" s="178"/>
      <c r="G36" s="173"/>
      <c r="H36" s="173"/>
      <c r="I36" s="173"/>
      <c r="J36" s="173"/>
      <c r="K36" s="173"/>
      <c r="L36" s="173"/>
      <c r="M36" s="173"/>
      <c r="N36" s="173"/>
      <c r="O36" s="173"/>
      <c r="P36" s="173"/>
      <c r="Q36" s="175"/>
      <c r="R36" s="173"/>
      <c r="S36" s="181"/>
      <c r="T36" s="173"/>
      <c r="U36" s="173"/>
      <c r="V36" s="173"/>
      <c r="W36" s="173"/>
      <c r="X36" s="173"/>
      <c r="Y36" s="173"/>
      <c r="Z36" s="175"/>
      <c r="AA36" s="175"/>
      <c r="AB36" s="176"/>
      <c r="AC36" s="175"/>
      <c r="AD36" s="175"/>
      <c r="AE36" s="175"/>
      <c r="AF36" s="175"/>
      <c r="AG36" s="173"/>
      <c r="AH36" s="175"/>
      <c r="AI36" s="173"/>
      <c r="AJ36" s="176"/>
      <c r="AK36" s="173"/>
      <c r="AL36" s="173"/>
      <c r="AM36" s="173"/>
      <c r="AN36" s="173"/>
      <c r="AO36" s="173"/>
      <c r="AP36" s="173"/>
      <c r="AQ36" s="173"/>
      <c r="AR36" s="173"/>
      <c r="AS36" s="57"/>
      <c r="AT36" s="57"/>
    </row>
    <row r="37" spans="1:188" s="56" customFormat="1" x14ac:dyDescent="0.2">
      <c r="A37" s="177"/>
      <c r="B37" s="68"/>
      <c r="C37" s="419" t="str">
        <f t="shared" si="13"/>
        <v/>
      </c>
      <c r="D37" s="147" t="s">
        <v>2734</v>
      </c>
      <c r="E37" s="65">
        <f>SUM(G37:HH37)</f>
        <v>0</v>
      </c>
      <c r="F37" s="178"/>
      <c r="G37" s="173"/>
      <c r="H37" s="174"/>
      <c r="I37" s="174"/>
      <c r="J37" s="174"/>
      <c r="K37" s="174"/>
      <c r="L37" s="174"/>
      <c r="M37" s="175"/>
      <c r="N37" s="175"/>
      <c r="O37" s="175"/>
      <c r="P37" s="175"/>
      <c r="Q37" s="175"/>
      <c r="R37" s="175"/>
      <c r="S37" s="175"/>
      <c r="T37" s="175"/>
      <c r="U37" s="175"/>
      <c r="V37" s="175"/>
      <c r="W37" s="175"/>
      <c r="X37" s="175"/>
      <c r="Y37" s="175"/>
      <c r="Z37" s="175"/>
      <c r="AA37" s="175"/>
      <c r="AB37" s="176"/>
      <c r="AC37" s="176"/>
      <c r="AD37" s="176"/>
      <c r="AE37" s="175"/>
      <c r="AF37" s="175"/>
      <c r="AG37" s="175"/>
      <c r="AH37" s="175"/>
      <c r="AI37" s="175"/>
      <c r="AJ37" s="175"/>
      <c r="AK37" s="175"/>
      <c r="AL37" s="175"/>
      <c r="AM37" s="175"/>
      <c r="AN37" s="175"/>
      <c r="AO37" s="175"/>
      <c r="AP37" s="175"/>
      <c r="AQ37" s="175"/>
      <c r="AR37" s="175"/>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row>
    <row r="38" spans="1:188" s="56" customFormat="1" x14ac:dyDescent="0.2">
      <c r="A38" s="177"/>
      <c r="B38" s="68"/>
      <c r="C38" s="420">
        <f t="shared" si="13"/>
        <v>2.2222222222222223</v>
      </c>
      <c r="D38" s="147" t="s">
        <v>2661</v>
      </c>
      <c r="E38" s="101">
        <f>SUM(G38:HH38)</f>
        <v>1</v>
      </c>
      <c r="F38" s="178"/>
      <c r="G38" s="173"/>
      <c r="H38" s="174"/>
      <c r="I38" s="174"/>
      <c r="J38" s="174"/>
      <c r="K38" s="174"/>
      <c r="L38" s="174"/>
      <c r="M38" s="175"/>
      <c r="N38" s="175"/>
      <c r="O38" s="175"/>
      <c r="P38" s="175"/>
      <c r="Q38" s="175"/>
      <c r="R38" s="175"/>
      <c r="S38" s="175"/>
      <c r="T38" s="175"/>
      <c r="U38" s="175"/>
      <c r="V38" s="175"/>
      <c r="W38" s="432">
        <v>1</v>
      </c>
      <c r="X38" s="175"/>
      <c r="Y38" s="175"/>
      <c r="Z38" s="175"/>
      <c r="AA38" s="175"/>
      <c r="AB38" s="175"/>
      <c r="AC38" s="176"/>
      <c r="AD38" s="175"/>
      <c r="AE38" s="175"/>
      <c r="AF38" s="176"/>
      <c r="AG38" s="175"/>
      <c r="AH38" s="175"/>
      <c r="AI38" s="175"/>
      <c r="AJ38" s="175"/>
      <c r="AK38" s="175"/>
      <c r="AL38" s="175"/>
      <c r="AM38" s="175"/>
      <c r="AN38" s="175"/>
      <c r="AO38" s="175"/>
      <c r="AP38" s="175"/>
      <c r="AQ38" s="175"/>
      <c r="AR38" s="175"/>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row>
    <row r="39" spans="1:188" s="56" customFormat="1" x14ac:dyDescent="0.2">
      <c r="A39" s="177"/>
      <c r="B39" s="68"/>
      <c r="C39" s="419" t="str">
        <f t="shared" si="13"/>
        <v/>
      </c>
      <c r="D39" s="38" t="s">
        <v>1615</v>
      </c>
      <c r="E39" s="65">
        <f>SUM(G39:HH39)</f>
        <v>0</v>
      </c>
      <c r="F39" s="178"/>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6"/>
      <c r="AE39" s="176"/>
      <c r="AF39" s="175"/>
      <c r="AG39" s="175"/>
      <c r="AH39" s="175"/>
      <c r="AI39" s="175"/>
      <c r="AJ39" s="175"/>
      <c r="AK39" s="175"/>
      <c r="AL39" s="175"/>
      <c r="AM39" s="175"/>
      <c r="AN39" s="175"/>
      <c r="AO39" s="175"/>
      <c r="AP39" s="175"/>
      <c r="AQ39" s="175"/>
      <c r="AR39" s="175"/>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row>
    <row r="40" spans="1:188" s="56" customFormat="1" x14ac:dyDescent="0.2">
      <c r="A40" s="177"/>
      <c r="B40" s="68"/>
      <c r="C40" s="420" t="str">
        <f t="shared" si="13"/>
        <v/>
      </c>
      <c r="D40" s="37" t="s">
        <v>622</v>
      </c>
      <c r="E40" s="101">
        <f>SUM(G40:HH40)</f>
        <v>0</v>
      </c>
      <c r="F40" s="178"/>
      <c r="G40" s="173"/>
      <c r="H40" s="174"/>
      <c r="I40" s="174"/>
      <c r="J40" s="174"/>
      <c r="K40" s="174"/>
      <c r="L40" s="174"/>
      <c r="M40" s="175"/>
      <c r="N40" s="175"/>
      <c r="O40" s="175"/>
      <c r="P40" s="175"/>
      <c r="Q40" s="175"/>
      <c r="R40" s="175"/>
      <c r="S40" s="175"/>
      <c r="T40" s="176"/>
      <c r="U40" s="176"/>
      <c r="V40" s="175"/>
      <c r="W40" s="175"/>
      <c r="X40" s="175"/>
      <c r="Y40" s="175"/>
      <c r="Z40" s="175"/>
      <c r="AA40" s="175"/>
      <c r="AB40" s="175"/>
      <c r="AC40" s="175"/>
      <c r="AD40" s="175"/>
      <c r="AE40" s="175"/>
      <c r="AF40" s="176"/>
      <c r="AG40" s="175"/>
      <c r="AH40" s="175"/>
      <c r="AI40" s="175"/>
      <c r="AJ40" s="175"/>
      <c r="AK40" s="175"/>
      <c r="AL40" s="175"/>
      <c r="AM40" s="175"/>
      <c r="AN40" s="175"/>
      <c r="AO40" s="175"/>
      <c r="AP40" s="175"/>
      <c r="AQ40" s="175"/>
      <c r="AR40" s="175"/>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row>
    <row r="41" spans="1:188" s="56" customFormat="1" x14ac:dyDescent="0.2">
      <c r="A41" s="177"/>
      <c r="B41" s="68"/>
      <c r="C41" s="420" t="str">
        <f t="shared" si="13"/>
        <v/>
      </c>
      <c r="D41" s="37" t="s">
        <v>626</v>
      </c>
      <c r="E41" s="101">
        <f>SUM(G41:HH41)</f>
        <v>-1</v>
      </c>
      <c r="F41" s="178"/>
      <c r="G41" s="173"/>
      <c r="H41" s="174"/>
      <c r="I41" s="174"/>
      <c r="J41" s="174"/>
      <c r="K41" s="174"/>
      <c r="L41" s="174"/>
      <c r="M41" s="175"/>
      <c r="N41" s="175"/>
      <c r="O41" s="175"/>
      <c r="P41" s="176"/>
      <c r="Q41" s="175"/>
      <c r="R41" s="175"/>
      <c r="S41" s="175"/>
      <c r="T41" s="175"/>
      <c r="U41" s="175"/>
      <c r="V41" s="175"/>
      <c r="W41" s="175"/>
      <c r="X41" s="175"/>
      <c r="Y41" s="175"/>
      <c r="Z41" s="175"/>
      <c r="AA41" s="175"/>
      <c r="AB41" s="175"/>
      <c r="AC41" s="175"/>
      <c r="AD41" s="175"/>
      <c r="AE41" s="175"/>
      <c r="AF41" s="176"/>
      <c r="AG41" s="175"/>
      <c r="AH41" s="175"/>
      <c r="AI41" s="175"/>
      <c r="AJ41" s="175"/>
      <c r="AK41" s="432">
        <v>-1</v>
      </c>
      <c r="AL41" s="175"/>
      <c r="AM41" s="175"/>
      <c r="AN41" s="175"/>
      <c r="AO41" s="175"/>
      <c r="AP41" s="175"/>
      <c r="AQ41" s="175"/>
      <c r="AR41" s="175"/>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row>
    <row r="42" spans="1:188" s="56" customFormat="1" x14ac:dyDescent="0.2">
      <c r="A42" s="177"/>
      <c r="B42" s="68"/>
      <c r="C42" s="419" t="str">
        <f t="shared" ref="C42:C73" si="16">IFERROR(IF($E42&gt;0,$E42/SUMIF($E$10:$E$127,"&gt;0")*$D$5,""),"")</f>
        <v/>
      </c>
      <c r="D42" s="38" t="s">
        <v>4192</v>
      </c>
      <c r="E42" s="65">
        <f>SUM(G42:HT42)</f>
        <v>0</v>
      </c>
      <c r="F42" s="178"/>
      <c r="G42" s="173"/>
      <c r="H42" s="173"/>
      <c r="I42" s="173"/>
      <c r="J42" s="173"/>
      <c r="K42" s="173"/>
      <c r="L42" s="173"/>
      <c r="M42" s="173"/>
      <c r="N42" s="173"/>
      <c r="O42" s="173"/>
      <c r="P42" s="173"/>
      <c r="Q42" s="175"/>
      <c r="R42" s="173"/>
      <c r="S42" s="181"/>
      <c r="T42" s="174"/>
      <c r="U42" s="174"/>
      <c r="V42" s="174"/>
      <c r="W42" s="174"/>
      <c r="X42" s="174"/>
      <c r="Y42" s="174"/>
      <c r="Z42" s="175"/>
      <c r="AA42" s="175"/>
      <c r="AB42" s="175"/>
      <c r="AC42" s="175"/>
      <c r="AD42" s="175"/>
      <c r="AE42" s="175"/>
      <c r="AF42" s="175"/>
      <c r="AG42" s="173"/>
      <c r="AH42" s="175"/>
      <c r="AI42" s="173"/>
      <c r="AJ42" s="175"/>
      <c r="AK42" s="173"/>
      <c r="AL42" s="173"/>
      <c r="AM42" s="173"/>
      <c r="AN42" s="173"/>
      <c r="AO42" s="173"/>
      <c r="AP42" s="173"/>
      <c r="AQ42" s="173"/>
      <c r="AR42" s="173"/>
      <c r="AS42" s="57"/>
      <c r="AT42" s="57"/>
    </row>
    <row r="43" spans="1:188" s="56" customFormat="1" x14ac:dyDescent="0.2">
      <c r="A43" s="177"/>
      <c r="B43" s="68"/>
      <c r="C43" s="420" t="str">
        <f t="shared" si="16"/>
        <v/>
      </c>
      <c r="D43" s="37" t="s">
        <v>397</v>
      </c>
      <c r="E43" s="101">
        <f>SUM(G43:HP43)</f>
        <v>0</v>
      </c>
      <c r="F43" s="178"/>
      <c r="G43" s="173"/>
      <c r="H43" s="175"/>
      <c r="I43" s="175"/>
      <c r="J43" s="175"/>
      <c r="K43" s="175"/>
      <c r="L43" s="175"/>
      <c r="M43" s="175"/>
      <c r="N43" s="176"/>
      <c r="O43" s="176"/>
      <c r="P43" s="175"/>
      <c r="Q43" s="175"/>
      <c r="R43" s="175"/>
      <c r="S43" s="175"/>
      <c r="T43" s="175"/>
      <c r="U43" s="175"/>
      <c r="V43" s="175"/>
      <c r="W43" s="175"/>
      <c r="X43" s="175"/>
      <c r="Y43" s="175"/>
      <c r="Z43" s="175"/>
      <c r="AA43" s="175"/>
      <c r="AB43" s="175"/>
      <c r="AC43" s="175"/>
      <c r="AD43" s="175"/>
      <c r="AE43" s="175"/>
      <c r="AF43" s="175"/>
      <c r="AG43" s="175"/>
      <c r="AH43" s="173"/>
      <c r="AI43" s="175"/>
      <c r="AJ43" s="175"/>
      <c r="AK43" s="175"/>
      <c r="AL43" s="175"/>
      <c r="AM43" s="175"/>
      <c r="AN43" s="175"/>
      <c r="AO43" s="175"/>
      <c r="AP43" s="175"/>
      <c r="AQ43" s="175"/>
      <c r="AR43" s="175"/>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row>
    <row r="44" spans="1:188" s="56" customFormat="1" x14ac:dyDescent="0.2">
      <c r="A44" s="177"/>
      <c r="B44" s="68"/>
      <c r="C44" s="419" t="str">
        <f t="shared" si="16"/>
        <v/>
      </c>
      <c r="D44" s="38" t="s">
        <v>4283</v>
      </c>
      <c r="E44" s="65">
        <f t="shared" ref="E44:E75" si="17">SUM(G44:HT44)</f>
        <v>0</v>
      </c>
      <c r="F44" s="178"/>
      <c r="G44" s="173"/>
      <c r="H44" s="173"/>
      <c r="I44" s="173"/>
      <c r="J44" s="173"/>
      <c r="K44" s="173"/>
      <c r="L44" s="173"/>
      <c r="M44" s="173"/>
      <c r="N44" s="173"/>
      <c r="O44" s="173"/>
      <c r="P44" s="173"/>
      <c r="Q44" s="175"/>
      <c r="R44" s="173"/>
      <c r="S44" s="181"/>
      <c r="T44" s="174"/>
      <c r="U44" s="174"/>
      <c r="V44" s="174"/>
      <c r="W44" s="174"/>
      <c r="X44" s="174"/>
      <c r="Y44" s="174"/>
      <c r="Z44" s="175"/>
      <c r="AA44" s="175"/>
      <c r="AB44" s="175"/>
      <c r="AC44" s="175"/>
      <c r="AD44" s="175"/>
      <c r="AE44" s="175"/>
      <c r="AF44" s="175"/>
      <c r="AG44" s="173"/>
      <c r="AH44" s="175"/>
      <c r="AI44" s="181"/>
      <c r="AJ44" s="175"/>
      <c r="AK44" s="173"/>
      <c r="AL44" s="173"/>
      <c r="AM44" s="173"/>
      <c r="AN44" s="173"/>
      <c r="AO44" s="173"/>
      <c r="AP44" s="173"/>
      <c r="AQ44" s="173"/>
      <c r="AR44" s="173"/>
      <c r="AS44" s="57"/>
      <c r="AT44" s="57"/>
    </row>
    <row r="45" spans="1:188" s="56" customFormat="1" x14ac:dyDescent="0.2">
      <c r="A45" s="177"/>
      <c r="B45" s="68"/>
      <c r="C45" s="419" t="str">
        <f t="shared" si="16"/>
        <v/>
      </c>
      <c r="D45" s="37" t="s">
        <v>4439</v>
      </c>
      <c r="E45" s="65">
        <f t="shared" si="17"/>
        <v>0</v>
      </c>
      <c r="F45" s="178"/>
      <c r="G45" s="173"/>
      <c r="H45" s="173"/>
      <c r="I45" s="173"/>
      <c r="J45" s="173"/>
      <c r="K45" s="173"/>
      <c r="L45" s="173"/>
      <c r="M45" s="173"/>
      <c r="N45" s="173"/>
      <c r="O45" s="173"/>
      <c r="P45" s="173"/>
      <c r="Q45" s="175"/>
      <c r="R45" s="173"/>
      <c r="S45" s="181"/>
      <c r="T45" s="174"/>
      <c r="U45" s="174"/>
      <c r="V45" s="174"/>
      <c r="W45" s="174"/>
      <c r="X45" s="174"/>
      <c r="Y45" s="174"/>
      <c r="Z45" s="175"/>
      <c r="AA45" s="175"/>
      <c r="AB45" s="175"/>
      <c r="AC45" s="175"/>
      <c r="AD45" s="175"/>
      <c r="AE45" s="175"/>
      <c r="AF45" s="175"/>
      <c r="AG45" s="173"/>
      <c r="AH45" s="175"/>
      <c r="AI45" s="181"/>
      <c r="AJ45" s="175"/>
      <c r="AK45" s="173"/>
      <c r="AL45" s="173"/>
      <c r="AM45" s="173"/>
      <c r="AN45" s="173"/>
      <c r="AO45" s="173"/>
      <c r="AP45" s="173"/>
      <c r="AQ45" s="173"/>
      <c r="AR45" s="173"/>
      <c r="AS45" s="57"/>
      <c r="AT45" s="57"/>
    </row>
    <row r="46" spans="1:188" s="56" customFormat="1" x14ac:dyDescent="0.2">
      <c r="A46" s="177"/>
      <c r="B46" s="68"/>
      <c r="C46" s="419" t="str">
        <f t="shared" si="16"/>
        <v/>
      </c>
      <c r="D46" s="38" t="s">
        <v>4284</v>
      </c>
      <c r="E46" s="65">
        <f t="shared" si="17"/>
        <v>0</v>
      </c>
      <c r="F46" s="178"/>
      <c r="G46" s="173"/>
      <c r="H46" s="173"/>
      <c r="I46" s="173"/>
      <c r="J46" s="173"/>
      <c r="K46" s="173"/>
      <c r="L46" s="173"/>
      <c r="M46" s="173"/>
      <c r="N46" s="173"/>
      <c r="O46" s="173"/>
      <c r="P46" s="173"/>
      <c r="Q46" s="175"/>
      <c r="R46" s="173"/>
      <c r="S46" s="173"/>
      <c r="T46" s="174"/>
      <c r="U46" s="174"/>
      <c r="V46" s="174"/>
      <c r="W46" s="174"/>
      <c r="X46" s="174"/>
      <c r="Y46" s="174"/>
      <c r="Z46" s="175"/>
      <c r="AA46" s="175"/>
      <c r="AB46" s="175"/>
      <c r="AC46" s="175"/>
      <c r="AD46" s="175"/>
      <c r="AE46" s="175"/>
      <c r="AF46" s="175"/>
      <c r="AG46" s="173"/>
      <c r="AH46" s="175"/>
      <c r="AI46" s="181"/>
      <c r="AJ46" s="175"/>
      <c r="AK46" s="173"/>
      <c r="AL46" s="173"/>
      <c r="AM46" s="173"/>
      <c r="AN46" s="173"/>
      <c r="AO46" s="173"/>
      <c r="AP46" s="173"/>
      <c r="AQ46" s="173"/>
      <c r="AR46" s="173"/>
      <c r="AS46" s="57"/>
      <c r="AT46" s="57"/>
    </row>
    <row r="47" spans="1:188" s="56" customFormat="1" x14ac:dyDescent="0.2">
      <c r="A47" s="177"/>
      <c r="B47" s="68"/>
      <c r="C47" s="420" t="str">
        <f t="shared" si="16"/>
        <v/>
      </c>
      <c r="D47" s="37" t="s">
        <v>4285</v>
      </c>
      <c r="E47" s="101">
        <f t="shared" si="17"/>
        <v>0</v>
      </c>
      <c r="F47" s="178"/>
      <c r="G47" s="173"/>
      <c r="H47" s="173"/>
      <c r="I47" s="173"/>
      <c r="J47" s="173"/>
      <c r="K47" s="173"/>
      <c r="L47" s="173"/>
      <c r="M47" s="173"/>
      <c r="N47" s="173"/>
      <c r="O47" s="173"/>
      <c r="P47" s="173"/>
      <c r="Q47" s="175"/>
      <c r="R47" s="173"/>
      <c r="S47" s="173"/>
      <c r="T47" s="173"/>
      <c r="U47" s="173"/>
      <c r="V47" s="173"/>
      <c r="W47" s="173"/>
      <c r="X47" s="173"/>
      <c r="Y47" s="173"/>
      <c r="Z47" s="175"/>
      <c r="AA47" s="175"/>
      <c r="AB47" s="175"/>
      <c r="AC47" s="175"/>
      <c r="AD47" s="175"/>
      <c r="AE47" s="175"/>
      <c r="AF47" s="175"/>
      <c r="AG47" s="173"/>
      <c r="AH47" s="175"/>
      <c r="AI47" s="173"/>
      <c r="AJ47" s="176"/>
      <c r="AK47" s="173"/>
      <c r="AL47" s="173"/>
      <c r="AM47" s="173"/>
      <c r="AN47" s="173"/>
      <c r="AO47" s="173"/>
      <c r="AP47" s="173"/>
      <c r="AQ47" s="173"/>
      <c r="AR47" s="173"/>
      <c r="AS47" s="57"/>
      <c r="AT47" s="57"/>
    </row>
    <row r="48" spans="1:188" s="56" customFormat="1" x14ac:dyDescent="0.2">
      <c r="A48" s="177"/>
      <c r="B48" s="68"/>
      <c r="C48" s="420" t="str">
        <f t="shared" si="16"/>
        <v/>
      </c>
      <c r="D48" s="38" t="s">
        <v>4286</v>
      </c>
      <c r="E48" s="101">
        <f t="shared" si="17"/>
        <v>0</v>
      </c>
      <c r="H48" s="173"/>
      <c r="I48" s="173"/>
      <c r="J48" s="173"/>
      <c r="K48" s="173"/>
      <c r="L48" s="173"/>
      <c r="M48" s="173"/>
      <c r="N48" s="173"/>
      <c r="O48" s="173"/>
      <c r="P48" s="173"/>
      <c r="Q48" s="176"/>
      <c r="R48" s="173"/>
      <c r="S48" s="173"/>
      <c r="T48" s="173"/>
      <c r="U48" s="173"/>
      <c r="V48" s="173"/>
      <c r="W48" s="173"/>
      <c r="X48" s="173"/>
      <c r="Y48" s="173"/>
      <c r="Z48" s="175"/>
      <c r="AA48" s="175"/>
      <c r="AB48" s="175"/>
      <c r="AC48" s="175"/>
      <c r="AD48" s="175"/>
      <c r="AE48" s="175"/>
      <c r="AF48" s="175"/>
      <c r="AG48" s="173"/>
      <c r="AH48" s="175"/>
      <c r="AI48" s="181"/>
      <c r="AJ48" s="176"/>
      <c r="AK48" s="173"/>
      <c r="AL48" s="173"/>
      <c r="AM48" s="173"/>
      <c r="AN48" s="173"/>
      <c r="AO48" s="173"/>
      <c r="AP48" s="173"/>
      <c r="AQ48" s="173"/>
      <c r="AR48" s="173"/>
      <c r="AS48" s="57"/>
      <c r="AT48" s="57"/>
    </row>
    <row r="49" spans="1:67" s="56" customFormat="1" x14ac:dyDescent="0.2">
      <c r="A49" s="177"/>
      <c r="B49" s="68"/>
      <c r="C49" s="420" t="str">
        <f t="shared" si="16"/>
        <v/>
      </c>
      <c r="D49" s="37" t="s">
        <v>654</v>
      </c>
      <c r="E49" s="101">
        <f t="shared" si="17"/>
        <v>-1</v>
      </c>
      <c r="H49" s="173"/>
      <c r="I49" s="173"/>
      <c r="J49" s="173"/>
      <c r="K49" s="173"/>
      <c r="L49" s="173"/>
      <c r="M49" s="173"/>
      <c r="N49" s="173"/>
      <c r="O49" s="173"/>
      <c r="P49" s="173"/>
      <c r="Q49" s="176"/>
      <c r="R49" s="173"/>
      <c r="S49" s="173"/>
      <c r="T49" s="173"/>
      <c r="U49" s="173"/>
      <c r="V49" s="173"/>
      <c r="W49" s="173"/>
      <c r="X49" s="173"/>
      <c r="Y49" s="173"/>
      <c r="Z49" s="175"/>
      <c r="AA49" s="175"/>
      <c r="AB49" s="175"/>
      <c r="AC49" s="432">
        <v>-1</v>
      </c>
      <c r="AD49" s="175"/>
      <c r="AE49" s="175"/>
      <c r="AF49" s="175"/>
      <c r="AG49" s="173"/>
      <c r="AH49" s="175"/>
      <c r="AI49" s="181"/>
      <c r="AJ49" s="175"/>
      <c r="AK49" s="173"/>
      <c r="AL49" s="173"/>
      <c r="AM49" s="173"/>
      <c r="AN49" s="173"/>
      <c r="AO49" s="173"/>
      <c r="AP49" s="173"/>
      <c r="AQ49" s="173"/>
      <c r="AR49" s="173"/>
      <c r="AS49" s="57"/>
      <c r="AT49" s="57"/>
    </row>
    <row r="50" spans="1:67" s="56" customFormat="1" x14ac:dyDescent="0.2">
      <c r="A50" s="177"/>
      <c r="B50" s="68"/>
      <c r="C50" s="419" t="str">
        <f t="shared" si="16"/>
        <v/>
      </c>
      <c r="D50" s="38" t="s">
        <v>4287</v>
      </c>
      <c r="E50" s="65">
        <f t="shared" si="17"/>
        <v>-1</v>
      </c>
      <c r="H50" s="173"/>
      <c r="I50" s="173"/>
      <c r="J50" s="173"/>
      <c r="K50" s="173"/>
      <c r="L50" s="173"/>
      <c r="M50" s="173"/>
      <c r="N50" s="173"/>
      <c r="O50" s="173"/>
      <c r="P50" s="173"/>
      <c r="Q50" s="175"/>
      <c r="R50" s="173"/>
      <c r="S50" s="173"/>
      <c r="T50" s="173"/>
      <c r="U50" s="173"/>
      <c r="V50" s="173"/>
      <c r="W50" s="173"/>
      <c r="X50" s="173"/>
      <c r="Y50" s="173"/>
      <c r="Z50" s="175"/>
      <c r="AA50" s="175"/>
      <c r="AB50" s="175"/>
      <c r="AC50" s="175"/>
      <c r="AD50" s="175"/>
      <c r="AE50" s="175"/>
      <c r="AF50" s="175"/>
      <c r="AG50" s="173"/>
      <c r="AH50" s="175"/>
      <c r="AI50" s="181"/>
      <c r="AJ50" s="175"/>
      <c r="AK50" s="173"/>
      <c r="AL50" s="173"/>
      <c r="AM50" s="173"/>
      <c r="AN50" s="173"/>
      <c r="AO50" s="173"/>
      <c r="AP50" s="173"/>
      <c r="AQ50" s="173"/>
      <c r="AR50" s="173"/>
      <c r="AS50" s="57"/>
      <c r="AT50" s="57"/>
      <c r="BO50" s="440">
        <v>-1</v>
      </c>
    </row>
    <row r="51" spans="1:67" s="56" customFormat="1" x14ac:dyDescent="0.2">
      <c r="A51" s="177"/>
      <c r="B51" s="68"/>
      <c r="C51" s="419" t="str">
        <f t="shared" si="16"/>
        <v/>
      </c>
      <c r="D51" s="38" t="s">
        <v>202</v>
      </c>
      <c r="E51" s="65">
        <f t="shared" si="17"/>
        <v>0</v>
      </c>
      <c r="H51" s="173"/>
      <c r="I51" s="173"/>
      <c r="J51" s="173"/>
      <c r="K51" s="173"/>
      <c r="L51" s="173"/>
      <c r="M51" s="173"/>
      <c r="N51" s="173"/>
      <c r="O51" s="173"/>
      <c r="P51" s="173"/>
      <c r="Q51" s="175"/>
      <c r="R51" s="173"/>
      <c r="S51" s="173"/>
      <c r="T51" s="173"/>
      <c r="U51" s="173"/>
      <c r="V51" s="173"/>
      <c r="W51" s="173"/>
      <c r="X51" s="173"/>
      <c r="Y51" s="173"/>
      <c r="Z51" s="175"/>
      <c r="AA51" s="175"/>
      <c r="AB51" s="175"/>
      <c r="AC51" s="175"/>
      <c r="AD51" s="175"/>
      <c r="AE51" s="175"/>
      <c r="AF51" s="175"/>
      <c r="AG51" s="173"/>
      <c r="AH51" s="175"/>
      <c r="AI51" s="173"/>
      <c r="AJ51" s="175"/>
      <c r="AK51" s="173"/>
      <c r="AL51" s="173"/>
      <c r="AM51" s="173"/>
      <c r="AN51" s="173"/>
      <c r="AO51" s="173"/>
      <c r="AP51" s="173"/>
      <c r="AQ51" s="173"/>
      <c r="AR51" s="173"/>
      <c r="AS51" s="57"/>
      <c r="AT51" s="57"/>
    </row>
    <row r="52" spans="1:67" s="56" customFormat="1" x14ac:dyDescent="0.2">
      <c r="A52" s="67"/>
      <c r="B52" s="66"/>
      <c r="C52" s="419" t="str">
        <f t="shared" si="16"/>
        <v/>
      </c>
      <c r="D52" s="38" t="s">
        <v>2920</v>
      </c>
      <c r="E52" s="65">
        <f t="shared" si="17"/>
        <v>0</v>
      </c>
      <c r="H52" s="57"/>
      <c r="I52" s="57"/>
      <c r="J52" s="57"/>
      <c r="K52" s="57"/>
      <c r="L52" s="57"/>
      <c r="M52" s="57"/>
      <c r="N52" s="57"/>
      <c r="O52" s="57"/>
      <c r="P52" s="57"/>
      <c r="Q52" s="144"/>
      <c r="R52" s="57"/>
      <c r="S52" s="57"/>
      <c r="T52" s="57"/>
      <c r="U52" s="57"/>
      <c r="V52" s="57"/>
      <c r="W52" s="57"/>
      <c r="Y52" s="57"/>
      <c r="Z52" s="144"/>
      <c r="AA52" s="144"/>
      <c r="AB52" s="144"/>
      <c r="AC52" s="144"/>
      <c r="AD52" s="144"/>
      <c r="AE52" s="144"/>
      <c r="AF52" s="144"/>
      <c r="AG52" s="57"/>
      <c r="AH52" s="144"/>
      <c r="AI52" s="57"/>
      <c r="AJ52" s="175"/>
      <c r="AL52" s="57"/>
      <c r="AM52" s="57"/>
      <c r="AN52" s="57"/>
      <c r="AO52" s="57"/>
      <c r="AP52" s="57"/>
      <c r="AQ52" s="57"/>
      <c r="AR52" s="57"/>
      <c r="AS52" s="57"/>
      <c r="AT52" s="57"/>
    </row>
    <row r="53" spans="1:67" s="56" customFormat="1" x14ac:dyDescent="0.2">
      <c r="A53" s="67"/>
      <c r="B53" s="66"/>
      <c r="C53" s="419" t="str">
        <f t="shared" si="16"/>
        <v/>
      </c>
      <c r="D53" s="38" t="s">
        <v>4288</v>
      </c>
      <c r="E53" s="65">
        <f t="shared" si="17"/>
        <v>0</v>
      </c>
      <c r="H53" s="57"/>
      <c r="I53" s="57"/>
      <c r="J53" s="57"/>
      <c r="K53" s="57"/>
      <c r="L53" s="57"/>
      <c r="M53" s="57"/>
      <c r="N53" s="57"/>
      <c r="O53" s="57"/>
      <c r="P53" s="57"/>
      <c r="Q53" s="144"/>
      <c r="R53" s="57"/>
      <c r="S53" s="57"/>
      <c r="T53" s="57"/>
      <c r="U53" s="57"/>
      <c r="V53" s="57"/>
      <c r="W53" s="57"/>
      <c r="X53" s="57"/>
      <c r="Y53" s="57"/>
      <c r="Z53" s="144"/>
      <c r="AA53" s="144"/>
      <c r="AB53" s="144"/>
      <c r="AC53" s="144"/>
      <c r="AD53" s="144"/>
      <c r="AE53" s="144"/>
      <c r="AF53" s="144"/>
      <c r="AG53" s="57"/>
      <c r="AH53" s="144"/>
      <c r="AI53" s="57"/>
      <c r="AJ53" s="175"/>
      <c r="AK53" s="57"/>
      <c r="AL53" s="57"/>
      <c r="AM53" s="57"/>
      <c r="AN53" s="57"/>
      <c r="AO53" s="57"/>
      <c r="AP53" s="57"/>
      <c r="AQ53" s="57"/>
      <c r="AR53" s="57"/>
      <c r="AS53" s="57"/>
      <c r="AT53" s="57"/>
    </row>
    <row r="54" spans="1:67" s="56" customFormat="1" x14ac:dyDescent="0.2">
      <c r="A54" s="67"/>
      <c r="B54" s="66"/>
      <c r="C54" s="420" t="str">
        <f t="shared" si="16"/>
        <v/>
      </c>
      <c r="D54" s="38" t="s">
        <v>4289</v>
      </c>
      <c r="E54" s="101">
        <f t="shared" si="17"/>
        <v>0</v>
      </c>
      <c r="H54" s="57"/>
      <c r="I54" s="57"/>
      <c r="J54" s="57"/>
      <c r="K54" s="57"/>
      <c r="L54" s="57"/>
      <c r="M54" s="57"/>
      <c r="N54" s="57"/>
      <c r="O54" s="57"/>
      <c r="P54" s="57"/>
      <c r="Q54" s="144"/>
      <c r="R54" s="57"/>
      <c r="S54" s="57"/>
      <c r="T54" s="57"/>
      <c r="U54" s="57"/>
      <c r="V54" s="57"/>
      <c r="W54" s="57"/>
      <c r="X54" s="57"/>
      <c r="Y54" s="57"/>
      <c r="Z54" s="144"/>
      <c r="AA54" s="144"/>
      <c r="AB54" s="144"/>
      <c r="AC54" s="144"/>
      <c r="AD54" s="144"/>
      <c r="AE54" s="144"/>
      <c r="AF54" s="144"/>
      <c r="AG54" s="57"/>
      <c r="AH54" s="144"/>
      <c r="AI54" s="57"/>
      <c r="AJ54" s="175"/>
      <c r="AK54" s="57"/>
      <c r="AL54" s="57"/>
      <c r="AM54" s="57"/>
      <c r="AN54" s="57"/>
      <c r="AO54" s="57"/>
      <c r="AP54" s="57"/>
      <c r="AQ54" s="57"/>
      <c r="AR54" s="57"/>
      <c r="AS54" s="57"/>
      <c r="AT54" s="57"/>
    </row>
    <row r="55" spans="1:67" s="56" customFormat="1" x14ac:dyDescent="0.2">
      <c r="A55" s="67"/>
      <c r="B55" s="66"/>
      <c r="C55" s="420" t="str">
        <f t="shared" si="16"/>
        <v/>
      </c>
      <c r="D55" s="38" t="s">
        <v>3041</v>
      </c>
      <c r="E55" s="101">
        <f t="shared" si="17"/>
        <v>0</v>
      </c>
      <c r="H55" s="57"/>
      <c r="I55" s="57"/>
      <c r="J55" s="57"/>
      <c r="K55" s="57"/>
      <c r="L55" s="57"/>
      <c r="M55" s="57"/>
      <c r="N55" s="57"/>
      <c r="O55" s="57"/>
      <c r="P55" s="57"/>
      <c r="Q55" s="144"/>
      <c r="R55" s="57"/>
      <c r="S55" s="57"/>
      <c r="T55" s="57"/>
      <c r="U55" s="57"/>
      <c r="V55" s="57"/>
      <c r="W55" s="57"/>
      <c r="X55" s="57"/>
      <c r="Y55" s="57"/>
      <c r="Z55" s="144"/>
      <c r="AA55" s="144"/>
      <c r="AB55" s="144"/>
      <c r="AC55" s="144"/>
      <c r="AD55" s="144"/>
      <c r="AE55" s="144"/>
      <c r="AF55" s="144"/>
      <c r="AG55" s="57"/>
      <c r="AH55" s="144"/>
      <c r="AI55" s="57"/>
      <c r="AJ55" s="176"/>
      <c r="AK55" s="57"/>
      <c r="AL55" s="57"/>
      <c r="AM55" s="57"/>
      <c r="AN55" s="57"/>
      <c r="AO55" s="57"/>
      <c r="AP55" s="57"/>
      <c r="AQ55" s="57"/>
      <c r="AR55" s="57"/>
      <c r="AS55" s="57"/>
      <c r="AT55" s="57"/>
    </row>
    <row r="56" spans="1:67" s="56" customFormat="1" ht="12.95" customHeight="1" x14ac:dyDescent="0.2">
      <c r="A56" s="67"/>
      <c r="B56" s="66"/>
      <c r="C56" s="419" t="str">
        <f t="shared" si="16"/>
        <v/>
      </c>
      <c r="D56" s="38" t="s">
        <v>3055</v>
      </c>
      <c r="E56" s="65">
        <f t="shared" si="17"/>
        <v>0</v>
      </c>
      <c r="H56" s="57"/>
      <c r="I56" s="57"/>
      <c r="J56" s="57"/>
      <c r="K56" s="57"/>
      <c r="L56" s="57"/>
      <c r="M56" s="57"/>
      <c r="N56" s="57"/>
      <c r="O56" s="57"/>
      <c r="P56" s="57"/>
      <c r="Q56" s="144"/>
      <c r="R56" s="57"/>
      <c r="S56" s="57"/>
      <c r="T56" s="57"/>
      <c r="U56" s="57"/>
      <c r="V56" s="57"/>
      <c r="W56" s="57"/>
      <c r="X56" s="57"/>
      <c r="Y56" s="57"/>
      <c r="Z56" s="144"/>
      <c r="AA56" s="144"/>
      <c r="AB56" s="144"/>
      <c r="AC56" s="144"/>
      <c r="AD56" s="144"/>
      <c r="AE56" s="144"/>
      <c r="AF56" s="144"/>
      <c r="AG56" s="57"/>
      <c r="AH56" s="144"/>
      <c r="AI56" s="57"/>
      <c r="AJ56" s="175"/>
      <c r="AK56" s="57"/>
      <c r="AL56" s="57"/>
      <c r="AM56" s="57"/>
      <c r="AN56" s="57"/>
      <c r="AO56" s="57"/>
      <c r="AP56" s="57"/>
      <c r="AQ56" s="57"/>
      <c r="AR56" s="57"/>
      <c r="AS56" s="57"/>
      <c r="AT56" s="57"/>
    </row>
    <row r="57" spans="1:67" s="56" customFormat="1" ht="14.1" customHeight="1" x14ac:dyDescent="0.2">
      <c r="A57" s="67"/>
      <c r="B57" s="66"/>
      <c r="C57" s="419" t="str">
        <f t="shared" si="16"/>
        <v/>
      </c>
      <c r="D57" s="38" t="s">
        <v>3056</v>
      </c>
      <c r="E57" s="65">
        <f t="shared" si="17"/>
        <v>0</v>
      </c>
      <c r="H57" s="57"/>
      <c r="I57" s="57"/>
      <c r="J57" s="57"/>
      <c r="K57" s="57"/>
      <c r="L57" s="57"/>
      <c r="M57" s="57"/>
      <c r="N57" s="57"/>
      <c r="O57" s="57"/>
      <c r="P57" s="57"/>
      <c r="Q57" s="144"/>
      <c r="R57" s="57"/>
      <c r="S57" s="57"/>
      <c r="T57" s="57"/>
      <c r="U57" s="57"/>
      <c r="V57" s="57"/>
      <c r="W57" s="57"/>
      <c r="X57" s="57"/>
      <c r="Y57" s="57"/>
      <c r="Z57" s="144"/>
      <c r="AA57" s="144"/>
      <c r="AB57" s="144"/>
      <c r="AC57" s="144"/>
      <c r="AD57" s="144"/>
      <c r="AE57" s="144"/>
      <c r="AF57" s="144"/>
      <c r="AG57" s="57"/>
      <c r="AH57" s="144"/>
      <c r="AI57" s="57"/>
      <c r="AJ57" s="175"/>
      <c r="AK57" s="57"/>
      <c r="AL57" s="57"/>
      <c r="AM57" s="57"/>
      <c r="AN57" s="57"/>
      <c r="AO57" s="57"/>
      <c r="AP57" s="57"/>
      <c r="AQ57" s="57"/>
      <c r="AR57" s="57"/>
      <c r="AS57" s="57"/>
      <c r="AT57" s="57"/>
    </row>
    <row r="58" spans="1:67" s="56" customFormat="1" ht="17.45" customHeight="1" x14ac:dyDescent="0.2">
      <c r="A58" s="67"/>
      <c r="B58" s="66"/>
      <c r="C58" s="419" t="str">
        <f t="shared" si="16"/>
        <v/>
      </c>
      <c r="D58" s="102" t="s">
        <v>3079</v>
      </c>
      <c r="E58" s="65">
        <f t="shared" si="17"/>
        <v>0</v>
      </c>
      <c r="H58" s="57"/>
      <c r="I58" s="57"/>
      <c r="J58" s="57"/>
      <c r="K58" s="57"/>
      <c r="L58" s="57"/>
      <c r="M58" s="57"/>
      <c r="N58" s="57"/>
      <c r="O58" s="57"/>
      <c r="P58" s="57"/>
      <c r="Q58" s="144"/>
      <c r="R58" s="57"/>
      <c r="S58" s="57"/>
      <c r="T58" s="57"/>
      <c r="U58" s="57"/>
      <c r="V58" s="57"/>
      <c r="W58" s="57"/>
      <c r="X58" s="57"/>
      <c r="Y58" s="57"/>
      <c r="Z58" s="144"/>
      <c r="AA58" s="144"/>
      <c r="AB58" s="144"/>
      <c r="AC58" s="144"/>
      <c r="AD58" s="144"/>
      <c r="AE58" s="144"/>
      <c r="AF58" s="144"/>
      <c r="AG58" s="57"/>
      <c r="AH58" s="144"/>
      <c r="AI58" s="57"/>
      <c r="AJ58" s="175"/>
      <c r="AK58" s="57"/>
      <c r="AL58" s="57"/>
      <c r="AM58" s="57"/>
      <c r="AN58" s="57"/>
      <c r="AO58" s="57"/>
      <c r="AP58" s="57"/>
      <c r="AQ58" s="57"/>
      <c r="AR58" s="57"/>
      <c r="AS58" s="57"/>
      <c r="AT58" s="57"/>
    </row>
    <row r="59" spans="1:67" s="56" customFormat="1" ht="17.45" customHeight="1" x14ac:dyDescent="0.2">
      <c r="A59" s="67"/>
      <c r="B59" s="66"/>
      <c r="C59" s="419" t="str">
        <f t="shared" si="16"/>
        <v/>
      </c>
      <c r="D59" s="104" t="s">
        <v>301</v>
      </c>
      <c r="E59" s="65">
        <f t="shared" si="17"/>
        <v>0</v>
      </c>
      <c r="H59" s="57"/>
      <c r="I59" s="57"/>
      <c r="J59" s="57"/>
      <c r="K59" s="57"/>
      <c r="L59" s="57"/>
      <c r="M59" s="57"/>
      <c r="N59" s="57"/>
      <c r="O59" s="57"/>
      <c r="P59" s="57"/>
      <c r="Q59" s="144"/>
      <c r="R59" s="57"/>
      <c r="S59" s="57"/>
      <c r="T59" s="57"/>
      <c r="U59" s="57"/>
      <c r="V59" s="57"/>
      <c r="W59" s="57"/>
      <c r="X59" s="57"/>
      <c r="Y59" s="57"/>
      <c r="Z59" s="144"/>
      <c r="AA59" s="144"/>
      <c r="AB59" s="144"/>
      <c r="AC59" s="144"/>
      <c r="AD59" s="144"/>
      <c r="AE59" s="144"/>
      <c r="AF59" s="144"/>
      <c r="AG59" s="57"/>
      <c r="AH59" s="144"/>
      <c r="AI59" s="57"/>
      <c r="AJ59" s="175"/>
      <c r="AK59" s="57"/>
      <c r="AL59" s="57"/>
      <c r="AM59" s="57"/>
      <c r="AN59" s="57"/>
      <c r="AO59" s="57"/>
      <c r="AP59" s="57"/>
      <c r="AQ59" s="57"/>
      <c r="AR59" s="57"/>
      <c r="AS59" s="57"/>
      <c r="AT59" s="57"/>
    </row>
    <row r="60" spans="1:67" s="56" customFormat="1" ht="17.45" customHeight="1" x14ac:dyDescent="0.2">
      <c r="A60" s="67"/>
      <c r="B60" s="66"/>
      <c r="C60" s="419" t="str">
        <f t="shared" si="16"/>
        <v/>
      </c>
      <c r="D60" s="102" t="s">
        <v>4290</v>
      </c>
      <c r="E60" s="65">
        <f t="shared" si="17"/>
        <v>0</v>
      </c>
      <c r="H60" s="57"/>
      <c r="I60" s="57"/>
      <c r="J60" s="57"/>
      <c r="K60" s="57"/>
      <c r="L60" s="57"/>
      <c r="M60" s="57"/>
      <c r="N60" s="57"/>
      <c r="O60" s="57"/>
      <c r="P60" s="57"/>
      <c r="Q60" s="144"/>
      <c r="R60" s="57"/>
      <c r="S60" s="57"/>
      <c r="T60" s="57"/>
      <c r="U60" s="57"/>
      <c r="V60" s="57"/>
      <c r="W60" s="57"/>
      <c r="X60" s="57"/>
      <c r="Y60" s="57"/>
      <c r="Z60" s="144"/>
      <c r="AA60" s="144"/>
      <c r="AB60" s="144"/>
      <c r="AC60" s="144"/>
      <c r="AD60" s="144"/>
      <c r="AE60" s="144"/>
      <c r="AF60" s="144"/>
      <c r="AG60" s="57"/>
      <c r="AH60" s="144"/>
      <c r="AI60" s="57"/>
      <c r="AJ60" s="175"/>
      <c r="AK60" s="57"/>
      <c r="AL60" s="57"/>
      <c r="AM60" s="57"/>
      <c r="AN60" s="57"/>
      <c r="AO60" s="57"/>
      <c r="AP60" s="57"/>
      <c r="AQ60" s="57"/>
      <c r="AR60" s="57"/>
      <c r="AS60" s="57"/>
      <c r="AT60" s="57"/>
    </row>
    <row r="61" spans="1:67" s="56" customFormat="1" ht="17.45" customHeight="1" x14ac:dyDescent="0.2">
      <c r="A61" s="67" t="s">
        <v>58</v>
      </c>
      <c r="B61" s="66"/>
      <c r="C61" s="419" t="str">
        <f t="shared" si="16"/>
        <v/>
      </c>
      <c r="D61" s="104" t="s">
        <v>695</v>
      </c>
      <c r="E61" s="65">
        <f t="shared" si="17"/>
        <v>-1</v>
      </c>
      <c r="H61" s="57"/>
      <c r="I61" s="57"/>
      <c r="J61" s="57"/>
      <c r="K61" s="57"/>
      <c r="L61" s="57"/>
      <c r="M61" s="57"/>
      <c r="N61" s="57"/>
      <c r="O61" s="57"/>
      <c r="P61" s="57"/>
      <c r="Q61" s="144"/>
      <c r="R61" s="57"/>
      <c r="S61" s="57"/>
      <c r="T61" s="57"/>
      <c r="U61" s="57"/>
      <c r="V61" s="57"/>
      <c r="W61" s="57"/>
      <c r="X61" s="57"/>
      <c r="Y61" s="57"/>
      <c r="Z61" s="144"/>
      <c r="AA61" s="144"/>
      <c r="AB61" s="144"/>
      <c r="AC61" s="145"/>
      <c r="AD61" s="145"/>
      <c r="AE61" s="144"/>
      <c r="AF61" s="144"/>
      <c r="AG61" s="438">
        <v>-1</v>
      </c>
      <c r="AH61" s="144"/>
      <c r="AI61" s="57"/>
      <c r="AJ61" s="175"/>
      <c r="AK61" s="57"/>
      <c r="AL61" s="57"/>
      <c r="AM61" s="57"/>
      <c r="AN61" s="57"/>
      <c r="AO61" s="57"/>
      <c r="AP61" s="57"/>
      <c r="AQ61" s="57"/>
      <c r="AR61" s="57"/>
      <c r="AS61" s="57"/>
      <c r="AT61" s="57"/>
    </row>
    <row r="62" spans="1:67" s="56" customFormat="1" ht="16.5" customHeight="1" x14ac:dyDescent="0.2">
      <c r="A62" s="67"/>
      <c r="B62" s="66"/>
      <c r="C62" s="419">
        <f t="shared" si="16"/>
        <v>11.111111111111111</v>
      </c>
      <c r="D62" s="102" t="s">
        <v>3138</v>
      </c>
      <c r="E62" s="65">
        <f t="shared" si="17"/>
        <v>5</v>
      </c>
      <c r="H62" s="57"/>
      <c r="I62" s="57"/>
      <c r="J62" s="57"/>
      <c r="K62" s="57"/>
      <c r="L62" s="57"/>
      <c r="M62" s="57"/>
      <c r="N62" s="57"/>
      <c r="O62" s="57"/>
      <c r="P62" s="57"/>
      <c r="Q62" s="144"/>
      <c r="R62" s="57"/>
      <c r="S62" s="57"/>
      <c r="T62" s="57"/>
      <c r="U62" s="57"/>
      <c r="V62" s="57"/>
      <c r="W62" s="57"/>
      <c r="X62" s="57"/>
      <c r="Y62" s="57"/>
      <c r="Z62" s="144"/>
      <c r="AA62" s="144"/>
      <c r="AB62" s="144"/>
      <c r="AC62" s="145"/>
      <c r="AD62" s="144"/>
      <c r="AE62" s="144"/>
      <c r="AF62" s="145"/>
      <c r="AG62" s="438">
        <v>1</v>
      </c>
      <c r="AH62" s="439">
        <v>1</v>
      </c>
      <c r="AI62" s="438">
        <v>1</v>
      </c>
      <c r="AJ62" s="432">
        <v>1</v>
      </c>
      <c r="AK62" s="57"/>
      <c r="AL62" s="57"/>
      <c r="AM62" s="57"/>
      <c r="AN62" s="57"/>
      <c r="AO62" s="57"/>
      <c r="AP62" s="57"/>
      <c r="AQ62" s="57"/>
      <c r="AR62" s="57"/>
      <c r="AS62" s="57"/>
      <c r="AT62" s="438">
        <v>1</v>
      </c>
    </row>
    <row r="63" spans="1:67" s="56" customFormat="1" x14ac:dyDescent="0.2">
      <c r="A63" s="67"/>
      <c r="B63" s="66"/>
      <c r="C63" s="419" t="str">
        <f t="shared" si="16"/>
        <v/>
      </c>
      <c r="D63" s="38" t="s">
        <v>278</v>
      </c>
      <c r="E63" s="65">
        <f t="shared" si="17"/>
        <v>-1</v>
      </c>
      <c r="H63" s="57"/>
      <c r="I63" s="57"/>
      <c r="J63" s="57"/>
      <c r="K63" s="57"/>
      <c r="L63" s="57"/>
      <c r="M63" s="57"/>
      <c r="N63" s="57"/>
      <c r="O63" s="57"/>
      <c r="P63" s="57"/>
      <c r="Q63" s="144"/>
      <c r="R63" s="57"/>
      <c r="S63" s="57"/>
      <c r="T63" s="57"/>
      <c r="U63" s="57"/>
      <c r="V63" s="57"/>
      <c r="W63" s="57"/>
      <c r="X63" s="57"/>
      <c r="Y63" s="57"/>
      <c r="Z63" s="144"/>
      <c r="AA63" s="144"/>
      <c r="AB63" s="144"/>
      <c r="AC63" s="144"/>
      <c r="AD63" s="145"/>
      <c r="AE63" s="145"/>
      <c r="AF63" s="144"/>
      <c r="AG63" s="57"/>
      <c r="AH63" s="439">
        <v>-1</v>
      </c>
      <c r="AI63" s="57"/>
      <c r="AJ63" s="175"/>
      <c r="AK63" s="57"/>
      <c r="AL63" s="57"/>
      <c r="AM63" s="57"/>
      <c r="AN63" s="57"/>
      <c r="AO63" s="57"/>
      <c r="AP63" s="57"/>
      <c r="AQ63" s="57"/>
      <c r="AR63" s="57"/>
      <c r="AS63" s="57"/>
      <c r="AT63" s="57"/>
    </row>
    <row r="64" spans="1:67" s="56" customFormat="1" x14ac:dyDescent="0.2">
      <c r="A64" s="67"/>
      <c r="B64" s="66"/>
      <c r="C64" s="420" t="str">
        <f t="shared" si="16"/>
        <v/>
      </c>
      <c r="D64" s="37" t="s">
        <v>620</v>
      </c>
      <c r="E64" s="101">
        <f t="shared" si="17"/>
        <v>-3</v>
      </c>
      <c r="H64" s="57"/>
      <c r="I64" s="57"/>
      <c r="J64" s="57"/>
      <c r="K64" s="57"/>
      <c r="L64" s="57"/>
      <c r="M64" s="57"/>
      <c r="N64" s="57"/>
      <c r="O64" s="57"/>
      <c r="P64" s="57"/>
      <c r="Q64" s="144"/>
      <c r="R64" s="57"/>
      <c r="S64" s="57"/>
      <c r="T64" s="57"/>
      <c r="U64" s="57"/>
      <c r="V64" s="57"/>
      <c r="W64" s="57"/>
      <c r="X64" s="57"/>
      <c r="Y64" s="57"/>
      <c r="Z64" s="144"/>
      <c r="AA64" s="144"/>
      <c r="AB64" s="144"/>
      <c r="AC64" s="144"/>
      <c r="AD64" s="144"/>
      <c r="AE64" s="144"/>
      <c r="AF64" s="145"/>
      <c r="AG64" s="57"/>
      <c r="AH64" s="144"/>
      <c r="AI64" s="438">
        <v>-1</v>
      </c>
      <c r="AJ64" s="432">
        <v>-1</v>
      </c>
      <c r="AK64" s="57"/>
      <c r="AL64" s="57"/>
      <c r="AM64" s="57"/>
      <c r="AN64" s="57"/>
      <c r="AO64" s="57"/>
      <c r="AP64" s="57"/>
      <c r="AQ64" s="57"/>
      <c r="AR64" s="57"/>
      <c r="AS64" s="57"/>
      <c r="AT64" s="438">
        <v>-1</v>
      </c>
    </row>
    <row r="65" spans="1:53" s="56" customFormat="1" x14ac:dyDescent="0.2">
      <c r="A65" s="67"/>
      <c r="B65" s="66"/>
      <c r="C65" s="420">
        <f t="shared" si="16"/>
        <v>2.2222222222222223</v>
      </c>
      <c r="D65" s="37" t="s">
        <v>3150</v>
      </c>
      <c r="E65" s="101">
        <f t="shared" si="17"/>
        <v>1</v>
      </c>
      <c r="H65" s="57"/>
      <c r="I65" s="57"/>
      <c r="J65" s="57"/>
      <c r="K65" s="57"/>
      <c r="L65" s="57"/>
      <c r="M65" s="57"/>
      <c r="N65" s="57"/>
      <c r="O65" s="57"/>
      <c r="P65" s="57"/>
      <c r="Q65" s="144"/>
      <c r="R65" s="57"/>
      <c r="S65" s="57"/>
      <c r="T65" s="57"/>
      <c r="U65" s="57"/>
      <c r="V65" s="57"/>
      <c r="W65" s="57"/>
      <c r="X65" s="57"/>
      <c r="Y65" s="57"/>
      <c r="Z65" s="144"/>
      <c r="AA65" s="144"/>
      <c r="AB65" s="144"/>
      <c r="AC65" s="144"/>
      <c r="AD65" s="144"/>
      <c r="AE65" s="144"/>
      <c r="AF65" s="145"/>
      <c r="AG65" s="57"/>
      <c r="AH65" s="144"/>
      <c r="AI65" s="57"/>
      <c r="AJ65" s="175"/>
      <c r="AK65" s="438">
        <v>1</v>
      </c>
      <c r="AL65" s="57"/>
      <c r="AM65" s="57"/>
      <c r="AN65" s="57"/>
      <c r="AO65" s="57"/>
      <c r="AP65" s="57"/>
      <c r="AQ65" s="57"/>
      <c r="AR65" s="57"/>
      <c r="AS65" s="57"/>
      <c r="AT65" s="57"/>
    </row>
    <row r="66" spans="1:53" s="56" customFormat="1" x14ac:dyDescent="0.2">
      <c r="A66" s="67"/>
      <c r="B66" s="66"/>
      <c r="C66" s="419" t="str">
        <f t="shared" si="16"/>
        <v/>
      </c>
      <c r="D66" s="38" t="s">
        <v>4291</v>
      </c>
      <c r="E66" s="65">
        <f t="shared" si="17"/>
        <v>0</v>
      </c>
      <c r="H66" s="57"/>
      <c r="I66" s="57"/>
      <c r="J66" s="57"/>
      <c r="K66" s="57"/>
      <c r="L66" s="57"/>
      <c r="M66" s="57"/>
      <c r="N66" s="57"/>
      <c r="O66" s="57"/>
      <c r="P66" s="57"/>
      <c r="Q66" s="144"/>
      <c r="R66" s="57"/>
      <c r="S66" s="57"/>
      <c r="T66" s="57"/>
      <c r="U66" s="57"/>
      <c r="V66" s="57"/>
      <c r="W66" s="57"/>
      <c r="X66" s="57"/>
      <c r="Y66" s="57"/>
      <c r="Z66" s="144"/>
      <c r="AA66" s="144"/>
      <c r="AB66" s="144"/>
      <c r="AC66" s="144"/>
      <c r="AD66" s="144"/>
      <c r="AE66" s="144"/>
      <c r="AF66" s="145"/>
      <c r="AG66" s="57"/>
      <c r="AH66" s="144"/>
      <c r="AI66" s="57"/>
      <c r="AJ66" s="175"/>
      <c r="AK66" s="57"/>
      <c r="AL66" s="57"/>
      <c r="AM66" s="57"/>
      <c r="AN66" s="57"/>
      <c r="AO66" s="57"/>
      <c r="AP66" s="57"/>
      <c r="AQ66" s="57"/>
      <c r="AR66" s="57"/>
      <c r="AS66" s="57"/>
      <c r="AT66" s="57"/>
    </row>
    <row r="67" spans="1:53" s="56" customFormat="1" x14ac:dyDescent="0.2">
      <c r="A67" s="67"/>
      <c r="B67" s="66"/>
      <c r="C67" s="420" t="str">
        <f t="shared" si="16"/>
        <v/>
      </c>
      <c r="D67" s="37" t="s">
        <v>4292</v>
      </c>
      <c r="E67" s="101">
        <f t="shared" si="17"/>
        <v>0</v>
      </c>
      <c r="H67" s="57"/>
      <c r="I67" s="57"/>
      <c r="J67" s="57"/>
      <c r="K67" s="57"/>
      <c r="L67" s="57"/>
      <c r="M67" s="57"/>
      <c r="N67" s="57"/>
      <c r="O67" s="57"/>
      <c r="P67" s="57"/>
      <c r="Q67" s="144"/>
      <c r="R67" s="57"/>
      <c r="S67" s="57"/>
      <c r="T67" s="57"/>
      <c r="U67" s="57"/>
      <c r="V67" s="57"/>
      <c r="W67" s="57"/>
      <c r="X67" s="57"/>
      <c r="Y67" s="57"/>
      <c r="Z67" s="144"/>
      <c r="AA67" s="144"/>
      <c r="AB67" s="144"/>
      <c r="AC67" s="144"/>
      <c r="AD67" s="144"/>
      <c r="AE67" s="144"/>
      <c r="AF67" s="145"/>
      <c r="AG67" s="57"/>
      <c r="AH67" s="144"/>
      <c r="AI67" s="57"/>
      <c r="AJ67" s="175"/>
      <c r="AK67" s="57"/>
      <c r="AL67" s="57"/>
      <c r="AM67" s="57"/>
      <c r="AN67" s="57"/>
      <c r="AO67" s="57"/>
      <c r="AP67" s="57"/>
      <c r="AQ67" s="57"/>
      <c r="AR67" s="57"/>
      <c r="AS67" s="57"/>
      <c r="AT67" s="57"/>
    </row>
    <row r="68" spans="1:53" s="56" customFormat="1" x14ac:dyDescent="0.2">
      <c r="A68" s="67"/>
      <c r="B68" s="66"/>
      <c r="C68" s="420" t="str">
        <f t="shared" si="16"/>
        <v/>
      </c>
      <c r="D68" s="37" t="s">
        <v>4293</v>
      </c>
      <c r="E68" s="101">
        <f t="shared" si="17"/>
        <v>0</v>
      </c>
      <c r="H68" s="57"/>
      <c r="I68" s="57"/>
      <c r="J68" s="57"/>
      <c r="K68" s="57"/>
      <c r="L68" s="57"/>
      <c r="M68" s="57"/>
      <c r="N68" s="57"/>
      <c r="O68" s="57"/>
      <c r="P68" s="57"/>
      <c r="Q68" s="144"/>
      <c r="R68" s="57"/>
      <c r="S68" s="57"/>
      <c r="T68" s="57"/>
      <c r="U68" s="57"/>
      <c r="V68" s="57"/>
      <c r="W68" s="57"/>
      <c r="X68" s="57"/>
      <c r="Y68" s="57"/>
      <c r="Z68" s="144"/>
      <c r="AA68" s="144"/>
      <c r="AB68" s="144"/>
      <c r="AC68" s="144"/>
      <c r="AD68" s="144"/>
      <c r="AE68" s="144"/>
      <c r="AF68" s="144"/>
      <c r="AG68" s="57"/>
      <c r="AH68" s="144"/>
      <c r="AI68" s="57"/>
      <c r="AJ68" s="176"/>
      <c r="AK68" s="57"/>
      <c r="AL68" s="57"/>
      <c r="AM68" s="57"/>
      <c r="AN68" s="57"/>
      <c r="AO68" s="57"/>
      <c r="AP68" s="57"/>
      <c r="AQ68" s="57"/>
      <c r="AR68" s="57"/>
      <c r="AS68" s="57"/>
      <c r="AT68" s="57"/>
    </row>
    <row r="69" spans="1:53" s="56" customFormat="1" x14ac:dyDescent="0.2">
      <c r="A69" s="67"/>
      <c r="B69" s="66"/>
      <c r="C69" s="419" t="str">
        <f t="shared" si="16"/>
        <v/>
      </c>
      <c r="D69" s="38" t="s">
        <v>4440</v>
      </c>
      <c r="E69" s="65">
        <f t="shared" si="17"/>
        <v>0</v>
      </c>
      <c r="H69" s="57"/>
      <c r="I69" s="57"/>
      <c r="J69" s="57"/>
      <c r="K69" s="57"/>
      <c r="L69" s="57"/>
      <c r="M69" s="57"/>
      <c r="N69" s="57"/>
      <c r="O69" s="57"/>
      <c r="P69" s="57"/>
      <c r="Q69" s="144"/>
      <c r="R69" s="57"/>
      <c r="S69" s="57"/>
      <c r="T69" s="57"/>
      <c r="U69" s="57"/>
      <c r="V69" s="57"/>
      <c r="W69" s="57"/>
      <c r="X69" s="57"/>
      <c r="Y69" s="57"/>
      <c r="Z69" s="144"/>
      <c r="AA69" s="144"/>
      <c r="AB69" s="144"/>
      <c r="AC69" s="144"/>
      <c r="AD69" s="144"/>
      <c r="AE69" s="144"/>
      <c r="AF69" s="144"/>
      <c r="AG69" s="57"/>
      <c r="AH69" s="144"/>
      <c r="AI69" s="57"/>
      <c r="AJ69" s="175"/>
      <c r="AK69" s="57"/>
      <c r="AL69" s="57"/>
      <c r="AM69" s="57"/>
      <c r="AN69" s="57"/>
      <c r="AO69" s="57"/>
      <c r="AP69" s="57"/>
      <c r="AQ69" s="57"/>
      <c r="AR69" s="57"/>
      <c r="AS69" s="57"/>
      <c r="AT69" s="57"/>
    </row>
    <row r="70" spans="1:53" s="56" customFormat="1" x14ac:dyDescent="0.2">
      <c r="A70" s="67"/>
      <c r="B70" s="66"/>
      <c r="C70" s="419" t="str">
        <f t="shared" si="16"/>
        <v/>
      </c>
      <c r="D70" s="38" t="s">
        <v>3315</v>
      </c>
      <c r="E70" s="65">
        <f t="shared" si="17"/>
        <v>-1</v>
      </c>
      <c r="H70" s="57"/>
      <c r="I70" s="57"/>
      <c r="J70" s="57"/>
      <c r="K70" s="57"/>
      <c r="L70" s="57"/>
      <c r="M70" s="57"/>
      <c r="N70" s="57"/>
      <c r="O70" s="57"/>
      <c r="P70" s="57"/>
      <c r="Q70" s="144"/>
      <c r="R70" s="57"/>
      <c r="S70" s="57"/>
      <c r="T70" s="57"/>
      <c r="U70" s="57"/>
      <c r="V70" s="57"/>
      <c r="W70" s="57"/>
      <c r="X70" s="57"/>
      <c r="Y70" s="57"/>
      <c r="Z70" s="144"/>
      <c r="AA70" s="144"/>
      <c r="AB70" s="144"/>
      <c r="AC70" s="144"/>
      <c r="AD70" s="144"/>
      <c r="AE70" s="144"/>
      <c r="AF70" s="144"/>
      <c r="AG70" s="57"/>
      <c r="AH70" s="144"/>
      <c r="AI70" s="57"/>
      <c r="AJ70" s="175"/>
      <c r="AK70" s="57"/>
      <c r="AL70" s="57"/>
      <c r="AM70" s="57"/>
      <c r="AN70" s="438">
        <v>-1</v>
      </c>
      <c r="AO70" s="57"/>
      <c r="AP70" s="57"/>
      <c r="AQ70" s="57"/>
      <c r="AR70" s="57"/>
      <c r="AS70" s="57"/>
      <c r="AT70" s="57"/>
    </row>
    <row r="71" spans="1:53" s="56" customFormat="1" x14ac:dyDescent="0.2">
      <c r="A71" s="67"/>
      <c r="B71" s="66"/>
      <c r="C71" s="419">
        <f t="shared" si="16"/>
        <v>2.2222222222222223</v>
      </c>
      <c r="D71" s="38" t="s">
        <v>944</v>
      </c>
      <c r="E71" s="65">
        <f t="shared" si="17"/>
        <v>1</v>
      </c>
      <c r="H71" s="57"/>
      <c r="I71" s="57"/>
      <c r="J71" s="57"/>
      <c r="K71" s="57"/>
      <c r="L71" s="57"/>
      <c r="M71" s="57"/>
      <c r="N71" s="57"/>
      <c r="O71" s="57"/>
      <c r="P71" s="57"/>
      <c r="Q71" s="144"/>
      <c r="R71" s="57"/>
      <c r="S71" s="57"/>
      <c r="T71" s="57"/>
      <c r="U71" s="57"/>
      <c r="V71" s="57"/>
      <c r="W71" s="57"/>
      <c r="X71" s="57"/>
      <c r="Y71" s="57"/>
      <c r="Z71" s="144"/>
      <c r="AA71" s="144"/>
      <c r="AB71" s="144"/>
      <c r="AC71" s="144"/>
      <c r="AD71" s="144"/>
      <c r="AE71" s="144"/>
      <c r="AF71" s="144"/>
      <c r="AG71" s="57"/>
      <c r="AH71" s="144"/>
      <c r="AI71" s="57"/>
      <c r="AJ71" s="175"/>
      <c r="AK71" s="57"/>
      <c r="AL71" s="57"/>
      <c r="AM71" s="57"/>
      <c r="AN71" s="438">
        <v>1</v>
      </c>
      <c r="AO71" s="57"/>
      <c r="AP71" s="57"/>
      <c r="AQ71" s="57"/>
      <c r="AR71" s="57"/>
      <c r="AS71" s="57"/>
      <c r="AT71" s="57"/>
    </row>
    <row r="72" spans="1:53" s="56" customFormat="1" x14ac:dyDescent="0.2">
      <c r="A72" s="67"/>
      <c r="B72" s="66"/>
      <c r="C72" s="419" t="str">
        <f t="shared" si="16"/>
        <v/>
      </c>
      <c r="D72" s="104" t="s">
        <v>3361</v>
      </c>
      <c r="E72" s="65">
        <f t="shared" si="17"/>
        <v>-1</v>
      </c>
      <c r="H72" s="57"/>
      <c r="I72" s="57"/>
      <c r="J72" s="57"/>
      <c r="K72" s="57"/>
      <c r="L72" s="57"/>
      <c r="M72" s="57"/>
      <c r="N72" s="57"/>
      <c r="O72" s="57"/>
      <c r="P72" s="57"/>
      <c r="Q72" s="144"/>
      <c r="R72" s="57"/>
      <c r="S72" s="57"/>
      <c r="T72" s="57"/>
      <c r="U72" s="57"/>
      <c r="V72" s="57"/>
      <c r="W72" s="57"/>
      <c r="X72" s="57"/>
      <c r="Y72" s="57"/>
      <c r="Z72" s="144"/>
      <c r="AA72" s="144"/>
      <c r="AB72" s="144"/>
      <c r="AC72" s="144"/>
      <c r="AD72" s="144"/>
      <c r="AE72" s="144"/>
      <c r="AF72" s="144"/>
      <c r="AG72" s="57"/>
      <c r="AH72" s="144"/>
      <c r="AI72" s="57"/>
      <c r="AJ72" s="175"/>
      <c r="AK72" s="57"/>
      <c r="AL72" s="57"/>
      <c r="AM72" s="57"/>
      <c r="AN72" s="57"/>
      <c r="AO72" s="57"/>
      <c r="AP72" s="438">
        <v>-1</v>
      </c>
      <c r="AQ72" s="57"/>
      <c r="AR72" s="57"/>
      <c r="AS72" s="57"/>
      <c r="AT72" s="57"/>
    </row>
    <row r="73" spans="1:53" s="56" customFormat="1" x14ac:dyDescent="0.2">
      <c r="A73" s="67"/>
      <c r="B73" s="66"/>
      <c r="C73" s="419">
        <f t="shared" si="16"/>
        <v>2.2222222222222223</v>
      </c>
      <c r="D73" s="93" t="s">
        <v>4294</v>
      </c>
      <c r="E73" s="65">
        <f t="shared" si="17"/>
        <v>1</v>
      </c>
      <c r="H73" s="57"/>
      <c r="I73" s="57"/>
      <c r="J73" s="57"/>
      <c r="K73" s="57"/>
      <c r="L73" s="57"/>
      <c r="M73" s="57"/>
      <c r="N73" s="57"/>
      <c r="O73" s="57"/>
      <c r="P73" s="57"/>
      <c r="Q73" s="144"/>
      <c r="R73" s="57"/>
      <c r="S73" s="57"/>
      <c r="T73" s="57"/>
      <c r="U73" s="57"/>
      <c r="V73" s="57"/>
      <c r="W73" s="57"/>
      <c r="X73" s="57"/>
      <c r="Y73" s="57"/>
      <c r="Z73" s="144"/>
      <c r="AA73" s="144"/>
      <c r="AB73" s="144"/>
      <c r="AC73" s="144"/>
      <c r="AD73" s="144"/>
      <c r="AE73" s="144"/>
      <c r="AF73" s="144"/>
      <c r="AG73" s="57"/>
      <c r="AH73" s="144"/>
      <c r="AI73" s="57"/>
      <c r="AJ73" s="175"/>
      <c r="AK73" s="57"/>
      <c r="AL73" s="57"/>
      <c r="AM73" s="57"/>
      <c r="AN73" s="57"/>
      <c r="AO73" s="57"/>
      <c r="AP73" s="438">
        <v>1</v>
      </c>
      <c r="AQ73" s="57"/>
      <c r="AR73" s="57"/>
      <c r="AS73" s="57"/>
      <c r="AT73" s="57"/>
    </row>
    <row r="74" spans="1:53" s="56" customFormat="1" x14ac:dyDescent="0.2">
      <c r="A74" s="67"/>
      <c r="B74" s="66"/>
      <c r="C74" s="419">
        <f t="shared" ref="C74:C105" si="18">IFERROR(IF($E74&gt;0,$E74/SUMIF($E$10:$E$127,"&gt;0")*$D$5,""),"")</f>
        <v>2.2222222222222223</v>
      </c>
      <c r="D74" s="93" t="s">
        <v>490</v>
      </c>
      <c r="E74" s="65">
        <f t="shared" si="17"/>
        <v>1</v>
      </c>
      <c r="H74" s="57"/>
      <c r="I74" s="57"/>
      <c r="J74" s="57"/>
      <c r="K74" s="57"/>
      <c r="L74" s="57"/>
      <c r="M74" s="57"/>
      <c r="N74" s="57"/>
      <c r="O74" s="57"/>
      <c r="P74" s="57"/>
      <c r="Q74" s="144"/>
      <c r="R74" s="57"/>
      <c r="S74" s="57"/>
      <c r="T74" s="57"/>
      <c r="U74" s="57"/>
      <c r="V74" s="57"/>
      <c r="W74" s="57"/>
      <c r="X74" s="57"/>
      <c r="Y74" s="57"/>
      <c r="Z74" s="144"/>
      <c r="AA74" s="144"/>
      <c r="AB74" s="144"/>
      <c r="AC74" s="144"/>
      <c r="AD74" s="144"/>
      <c r="AE74" s="144"/>
      <c r="AF74" s="144"/>
      <c r="AG74" s="57"/>
      <c r="AH74" s="144"/>
      <c r="AI74" s="57"/>
      <c r="AJ74" s="175"/>
      <c r="AK74" s="57"/>
      <c r="AL74" s="57"/>
      <c r="AM74" s="57"/>
      <c r="AN74" s="57"/>
      <c r="AO74" s="57"/>
      <c r="AP74" s="57"/>
      <c r="AQ74" s="57"/>
      <c r="AR74" s="57"/>
      <c r="AS74" s="57"/>
      <c r="AT74" s="57"/>
      <c r="BA74" s="440">
        <v>1</v>
      </c>
    </row>
    <row r="75" spans="1:53" s="56" customFormat="1" x14ac:dyDescent="0.2">
      <c r="A75" s="67"/>
      <c r="B75" s="66"/>
      <c r="C75" s="420" t="str">
        <f t="shared" si="18"/>
        <v/>
      </c>
      <c r="D75" s="93" t="s">
        <v>4295</v>
      </c>
      <c r="E75" s="101">
        <f t="shared" si="17"/>
        <v>0</v>
      </c>
      <c r="H75" s="57"/>
      <c r="I75" s="57"/>
      <c r="J75" s="57"/>
      <c r="K75" s="57"/>
      <c r="L75" s="57"/>
      <c r="M75" s="57"/>
      <c r="N75" s="57"/>
      <c r="O75" s="57"/>
      <c r="P75" s="57"/>
      <c r="Q75" s="144"/>
      <c r="R75" s="57"/>
      <c r="S75" s="57"/>
      <c r="T75" s="57"/>
      <c r="U75" s="57"/>
      <c r="V75" s="57"/>
      <c r="W75" s="57"/>
      <c r="X75" s="57"/>
      <c r="Y75" s="57"/>
      <c r="Z75" s="144"/>
      <c r="AA75" s="144"/>
      <c r="AB75" s="144"/>
      <c r="AC75" s="144"/>
      <c r="AD75" s="144"/>
      <c r="AE75" s="144"/>
      <c r="AF75" s="144"/>
      <c r="AG75" s="57"/>
      <c r="AH75" s="144"/>
      <c r="AI75" s="57"/>
      <c r="AJ75" s="144"/>
      <c r="AK75" s="57"/>
      <c r="AL75" s="57"/>
      <c r="AM75" s="57"/>
      <c r="AN75" s="57"/>
      <c r="AO75" s="57"/>
      <c r="AP75" s="57"/>
      <c r="AQ75" s="57"/>
      <c r="AR75" s="57"/>
      <c r="AS75" s="57"/>
      <c r="AT75" s="57"/>
    </row>
    <row r="76" spans="1:53" s="56" customFormat="1" x14ac:dyDescent="0.2">
      <c r="A76" s="67"/>
      <c r="B76" s="66"/>
      <c r="C76" s="420" t="str">
        <f t="shared" si="18"/>
        <v/>
      </c>
      <c r="D76" s="93" t="s">
        <v>3385</v>
      </c>
      <c r="E76" s="101">
        <f t="shared" ref="E76:E107" si="19">SUM(G76:HT76)</f>
        <v>-1</v>
      </c>
      <c r="H76" s="57"/>
      <c r="I76" s="57"/>
      <c r="J76" s="57"/>
      <c r="K76" s="57"/>
      <c r="L76" s="57"/>
      <c r="M76" s="57"/>
      <c r="N76" s="57"/>
      <c r="O76" s="57"/>
      <c r="P76" s="57"/>
      <c r="Q76" s="144"/>
      <c r="R76" s="57"/>
      <c r="S76" s="57"/>
      <c r="T76" s="57"/>
      <c r="U76" s="57"/>
      <c r="V76" s="57"/>
      <c r="W76" s="57"/>
      <c r="X76" s="57"/>
      <c r="Y76" s="57"/>
      <c r="Z76" s="144"/>
      <c r="AA76" s="144"/>
      <c r="AB76" s="144"/>
      <c r="AC76" s="144"/>
      <c r="AD76" s="144"/>
      <c r="AE76" s="144"/>
      <c r="AF76" s="144"/>
      <c r="AG76" s="57"/>
      <c r="AH76" s="144"/>
      <c r="AI76" s="57"/>
      <c r="AJ76" s="144"/>
      <c r="AK76" s="57"/>
      <c r="AL76" s="57"/>
      <c r="AM76" s="57"/>
      <c r="AN76" s="57"/>
      <c r="AO76" s="57"/>
      <c r="AP76" s="57"/>
      <c r="AQ76" s="57"/>
      <c r="AR76" s="57"/>
      <c r="AS76" s="57"/>
      <c r="AT76" s="57"/>
      <c r="BA76" s="440">
        <v>-1</v>
      </c>
    </row>
    <row r="77" spans="1:53" s="56" customFormat="1" x14ac:dyDescent="0.2">
      <c r="A77" s="67"/>
      <c r="B77" s="66"/>
      <c r="C77" s="419" t="str">
        <f t="shared" si="18"/>
        <v/>
      </c>
      <c r="D77" s="93" t="s">
        <v>513</v>
      </c>
      <c r="E77" s="65">
        <f t="shared" si="19"/>
        <v>0</v>
      </c>
      <c r="H77" s="57"/>
      <c r="I77" s="57"/>
      <c r="J77" s="57"/>
      <c r="K77" s="57"/>
      <c r="L77" s="57"/>
      <c r="M77" s="57"/>
      <c r="N77" s="57"/>
      <c r="O77" s="57"/>
      <c r="P77" s="57"/>
      <c r="Q77" s="144"/>
      <c r="R77" s="57"/>
      <c r="S77" s="57"/>
      <c r="T77" s="57"/>
      <c r="U77" s="57"/>
      <c r="V77" s="57"/>
      <c r="W77" s="57"/>
      <c r="X77" s="57"/>
      <c r="Y77" s="57"/>
      <c r="Z77" s="144"/>
      <c r="AA77" s="144"/>
      <c r="AB77" s="144"/>
      <c r="AC77" s="144"/>
      <c r="AD77" s="144"/>
      <c r="AE77" s="144"/>
      <c r="AF77" s="144"/>
      <c r="AG77" s="57"/>
      <c r="AH77" s="144"/>
      <c r="AI77" s="57"/>
      <c r="AJ77" s="144"/>
      <c r="AK77" s="57"/>
      <c r="AL77" s="57"/>
      <c r="AM77" s="57"/>
      <c r="AN77" s="57"/>
      <c r="AO77" s="57"/>
      <c r="AP77" s="57"/>
      <c r="AQ77" s="57"/>
      <c r="AR77" s="57"/>
      <c r="AS77" s="57"/>
      <c r="AT77" s="57"/>
    </row>
    <row r="78" spans="1:53" s="56" customFormat="1" x14ac:dyDescent="0.2">
      <c r="A78" s="67"/>
      <c r="B78" s="66"/>
      <c r="C78" s="419" t="str">
        <f t="shared" si="18"/>
        <v/>
      </c>
      <c r="D78" s="93" t="s">
        <v>4441</v>
      </c>
      <c r="E78" s="65">
        <f t="shared" si="19"/>
        <v>0</v>
      </c>
      <c r="H78" s="57"/>
      <c r="I78" s="57"/>
      <c r="J78" s="57"/>
      <c r="K78" s="57"/>
      <c r="L78" s="57"/>
      <c r="M78" s="57"/>
      <c r="N78" s="57"/>
      <c r="O78" s="57"/>
      <c r="P78" s="57"/>
      <c r="Q78" s="144"/>
      <c r="R78" s="57"/>
      <c r="S78" s="57"/>
      <c r="T78" s="57"/>
      <c r="U78" s="57"/>
      <c r="V78" s="57"/>
      <c r="W78" s="57"/>
      <c r="X78" s="57"/>
      <c r="Y78" s="57"/>
      <c r="Z78" s="144"/>
      <c r="AA78" s="144"/>
      <c r="AB78" s="144"/>
      <c r="AC78" s="144"/>
      <c r="AD78" s="144"/>
      <c r="AE78" s="144"/>
      <c r="AF78" s="144"/>
      <c r="AG78" s="57"/>
      <c r="AH78" s="144"/>
      <c r="AI78" s="57"/>
      <c r="AJ78" s="144"/>
      <c r="AK78" s="57"/>
      <c r="AL78" s="57"/>
      <c r="AM78" s="57"/>
      <c r="AN78" s="57"/>
      <c r="AO78" s="57"/>
      <c r="AP78" s="57"/>
      <c r="AQ78" s="57"/>
      <c r="AR78" s="57"/>
      <c r="AS78" s="57"/>
      <c r="AT78" s="57"/>
    </row>
    <row r="79" spans="1:53" s="56" customFormat="1" x14ac:dyDescent="0.2">
      <c r="A79" s="67"/>
      <c r="B79" s="66"/>
      <c r="C79" s="419" t="str">
        <f t="shared" si="18"/>
        <v/>
      </c>
      <c r="D79" s="103" t="s">
        <v>4296</v>
      </c>
      <c r="E79" s="65">
        <f t="shared" si="19"/>
        <v>0</v>
      </c>
      <c r="H79" s="57"/>
      <c r="I79" s="57"/>
      <c r="J79" s="57"/>
      <c r="K79" s="57"/>
      <c r="L79" s="57"/>
      <c r="M79" s="57"/>
      <c r="N79" s="57"/>
      <c r="O79" s="57"/>
      <c r="P79" s="57"/>
      <c r="Q79" s="144"/>
      <c r="R79" s="57"/>
      <c r="S79" s="57"/>
      <c r="T79" s="57"/>
      <c r="U79" s="57"/>
      <c r="V79" s="57"/>
      <c r="W79" s="57"/>
      <c r="X79" s="57"/>
      <c r="Y79" s="57"/>
      <c r="Z79" s="144"/>
      <c r="AA79" s="144"/>
      <c r="AB79" s="144"/>
      <c r="AC79" s="144"/>
      <c r="AD79" s="144"/>
      <c r="AE79" s="144"/>
      <c r="AF79" s="144"/>
      <c r="AG79" s="57"/>
      <c r="AH79" s="144"/>
      <c r="AI79" s="57"/>
      <c r="AJ79" s="144"/>
      <c r="AK79" s="57"/>
      <c r="AL79" s="57"/>
      <c r="AM79" s="57"/>
      <c r="AN79" s="57"/>
      <c r="AO79" s="57"/>
      <c r="AP79" s="57"/>
      <c r="AQ79" s="57"/>
      <c r="AR79" s="57"/>
      <c r="AS79" s="57"/>
      <c r="AT79" s="57"/>
    </row>
    <row r="80" spans="1:53" s="56" customFormat="1" x14ac:dyDescent="0.2">
      <c r="A80" s="67"/>
      <c r="B80" s="66"/>
      <c r="C80" s="419" t="str">
        <f t="shared" si="18"/>
        <v/>
      </c>
      <c r="D80" s="93" t="s">
        <v>4297</v>
      </c>
      <c r="E80" s="65">
        <f t="shared" si="19"/>
        <v>0</v>
      </c>
      <c r="H80" s="57"/>
      <c r="I80" s="57"/>
      <c r="J80" s="57"/>
      <c r="K80" s="57"/>
      <c r="L80" s="57"/>
      <c r="M80" s="57"/>
      <c r="N80" s="57"/>
      <c r="O80" s="57"/>
      <c r="P80" s="57"/>
      <c r="Q80" s="144"/>
      <c r="R80" s="57"/>
      <c r="S80" s="57"/>
      <c r="T80" s="57"/>
      <c r="U80" s="57"/>
      <c r="V80" s="57"/>
      <c r="W80" s="57"/>
      <c r="X80" s="57"/>
      <c r="Y80" s="57"/>
      <c r="Z80" s="144"/>
      <c r="AA80" s="144"/>
      <c r="AB80" s="144"/>
      <c r="AC80" s="144"/>
      <c r="AD80" s="144"/>
      <c r="AE80" s="144"/>
      <c r="AF80" s="144"/>
      <c r="AG80" s="57"/>
      <c r="AH80" s="144"/>
      <c r="AI80" s="57"/>
      <c r="AJ80" s="144"/>
      <c r="AK80" s="57"/>
      <c r="AL80" s="57"/>
      <c r="AM80" s="57"/>
      <c r="AN80" s="57"/>
      <c r="AO80" s="57"/>
      <c r="AP80" s="57"/>
      <c r="AQ80" s="57"/>
      <c r="AR80" s="57"/>
      <c r="AS80" s="57"/>
      <c r="AT80" s="57"/>
    </row>
    <row r="81" spans="1:46" s="56" customFormat="1" x14ac:dyDescent="0.2">
      <c r="A81" s="67"/>
      <c r="B81" s="66"/>
      <c r="C81" s="420" t="str">
        <f t="shared" si="18"/>
        <v/>
      </c>
      <c r="D81" s="37" t="s">
        <v>3423</v>
      </c>
      <c r="E81" s="101">
        <f t="shared" si="19"/>
        <v>0</v>
      </c>
      <c r="H81" s="57"/>
      <c r="I81" s="57"/>
      <c r="J81" s="57"/>
      <c r="K81" s="57"/>
      <c r="L81" s="57"/>
      <c r="M81" s="57"/>
      <c r="N81" s="57"/>
      <c r="O81" s="57"/>
      <c r="P81" s="57"/>
      <c r="Q81" s="144"/>
      <c r="R81" s="57"/>
      <c r="S81" s="57"/>
      <c r="T81" s="57"/>
      <c r="U81" s="57"/>
      <c r="V81" s="57"/>
      <c r="W81" s="57"/>
      <c r="X81" s="57"/>
      <c r="Y81" s="57"/>
      <c r="Z81" s="144"/>
      <c r="AA81" s="144"/>
      <c r="AB81" s="144"/>
      <c r="AC81" s="144"/>
      <c r="AD81" s="144"/>
      <c r="AE81" s="144"/>
      <c r="AF81" s="144"/>
      <c r="AG81" s="57"/>
      <c r="AH81" s="144"/>
      <c r="AI81" s="57"/>
      <c r="AJ81" s="144"/>
      <c r="AK81" s="57"/>
      <c r="AL81" s="57"/>
      <c r="AM81" s="57"/>
      <c r="AN81" s="57"/>
      <c r="AO81" s="57"/>
      <c r="AP81" s="57"/>
      <c r="AQ81" s="57"/>
      <c r="AR81" s="57"/>
      <c r="AS81" s="57"/>
      <c r="AT81" s="57"/>
    </row>
    <row r="82" spans="1:46" s="56" customFormat="1" x14ac:dyDescent="0.2">
      <c r="A82" s="67"/>
      <c r="B82" s="66"/>
      <c r="C82" s="419" t="str">
        <f t="shared" si="18"/>
        <v/>
      </c>
      <c r="D82" s="93" t="s">
        <v>577</v>
      </c>
      <c r="E82" s="65">
        <f t="shared" si="19"/>
        <v>0</v>
      </c>
      <c r="H82" s="57"/>
      <c r="I82" s="57"/>
      <c r="J82" s="57"/>
      <c r="K82" s="57"/>
      <c r="L82" s="57"/>
      <c r="M82" s="57"/>
      <c r="N82" s="57"/>
      <c r="O82" s="57"/>
      <c r="P82" s="57"/>
      <c r="Q82" s="144"/>
      <c r="R82" s="57"/>
      <c r="S82" s="57"/>
      <c r="T82" s="57"/>
      <c r="U82" s="57"/>
      <c r="V82" s="57"/>
      <c r="W82" s="57"/>
      <c r="X82" s="57"/>
      <c r="Y82" s="57"/>
      <c r="Z82" s="144"/>
      <c r="AA82" s="144"/>
      <c r="AB82" s="144"/>
      <c r="AC82" s="144"/>
      <c r="AD82" s="144"/>
      <c r="AE82" s="144"/>
      <c r="AF82" s="144"/>
      <c r="AG82" s="57"/>
      <c r="AH82" s="144"/>
      <c r="AI82" s="57"/>
      <c r="AJ82" s="144"/>
      <c r="AK82" s="57"/>
      <c r="AL82" s="57"/>
      <c r="AM82" s="57"/>
      <c r="AN82" s="57"/>
      <c r="AO82" s="57"/>
      <c r="AP82" s="57"/>
      <c r="AQ82" s="57"/>
      <c r="AR82" s="57"/>
      <c r="AS82" s="57"/>
      <c r="AT82" s="57"/>
    </row>
    <row r="83" spans="1:46" s="56" customFormat="1" x14ac:dyDescent="0.2">
      <c r="A83" s="67"/>
      <c r="B83" s="66"/>
      <c r="C83" s="420" t="str">
        <f t="shared" si="18"/>
        <v/>
      </c>
      <c r="D83" s="37" t="s">
        <v>571</v>
      </c>
      <c r="E83" s="101">
        <f t="shared" si="19"/>
        <v>0</v>
      </c>
      <c r="H83" s="57"/>
      <c r="I83" s="57"/>
      <c r="J83" s="57"/>
      <c r="K83" s="57"/>
      <c r="L83" s="57"/>
      <c r="M83" s="57"/>
      <c r="N83" s="57"/>
      <c r="O83" s="57"/>
      <c r="P83" s="57"/>
      <c r="Q83" s="144"/>
      <c r="R83" s="57"/>
      <c r="S83" s="57"/>
      <c r="T83" s="57"/>
      <c r="U83" s="57"/>
      <c r="V83" s="57"/>
      <c r="W83" s="57"/>
      <c r="X83" s="57"/>
      <c r="Y83" s="57"/>
      <c r="Z83" s="144"/>
      <c r="AA83" s="144"/>
      <c r="AB83" s="144"/>
      <c r="AC83" s="144"/>
      <c r="AD83" s="144"/>
      <c r="AE83" s="144"/>
      <c r="AF83" s="144"/>
      <c r="AG83" s="57"/>
      <c r="AH83" s="144"/>
      <c r="AI83" s="57"/>
      <c r="AJ83" s="144"/>
      <c r="AK83" s="57"/>
      <c r="AL83" s="57"/>
      <c r="AM83" s="57"/>
      <c r="AN83" s="57"/>
      <c r="AO83" s="57"/>
      <c r="AP83" s="57"/>
      <c r="AQ83" s="57"/>
      <c r="AR83" s="57"/>
      <c r="AS83" s="57"/>
      <c r="AT83" s="57"/>
    </row>
    <row r="84" spans="1:46" s="56" customFormat="1" x14ac:dyDescent="0.2">
      <c r="A84" s="67"/>
      <c r="B84" s="66"/>
      <c r="C84" s="419" t="str">
        <f t="shared" si="18"/>
        <v/>
      </c>
      <c r="D84" s="93" t="s">
        <v>4298</v>
      </c>
      <c r="E84" s="65">
        <f t="shared" si="19"/>
        <v>0</v>
      </c>
      <c r="H84" s="57"/>
      <c r="I84" s="57"/>
      <c r="J84" s="57"/>
      <c r="K84" s="57"/>
      <c r="L84" s="57"/>
      <c r="M84" s="57"/>
      <c r="N84" s="57"/>
      <c r="O84" s="57"/>
      <c r="P84" s="57"/>
      <c r="Q84" s="144"/>
      <c r="R84" s="57"/>
      <c r="S84" s="57"/>
      <c r="T84" s="57"/>
      <c r="U84" s="57"/>
      <c r="V84" s="57"/>
      <c r="W84" s="57"/>
      <c r="X84" s="57"/>
      <c r="Y84" s="57"/>
      <c r="Z84" s="144"/>
      <c r="AA84" s="144"/>
      <c r="AB84" s="144"/>
      <c r="AC84" s="144"/>
      <c r="AD84" s="144"/>
      <c r="AE84" s="144"/>
      <c r="AF84" s="144"/>
      <c r="AG84" s="57"/>
      <c r="AH84" s="144"/>
      <c r="AI84" s="57"/>
      <c r="AJ84" s="144"/>
      <c r="AK84" s="57"/>
      <c r="AL84" s="57"/>
      <c r="AM84" s="57"/>
      <c r="AN84" s="57"/>
      <c r="AO84" s="57"/>
      <c r="AP84" s="57"/>
      <c r="AQ84" s="57"/>
      <c r="AR84" s="57"/>
      <c r="AS84" s="57"/>
      <c r="AT84" s="57"/>
    </row>
    <row r="85" spans="1:46" s="56" customFormat="1" x14ac:dyDescent="0.2">
      <c r="A85" s="67"/>
      <c r="B85" s="66"/>
      <c r="C85" s="420" t="str">
        <f t="shared" si="18"/>
        <v/>
      </c>
      <c r="D85" s="37" t="s">
        <v>4299</v>
      </c>
      <c r="E85" s="101">
        <f t="shared" si="19"/>
        <v>0</v>
      </c>
      <c r="H85" s="57"/>
      <c r="I85" s="57"/>
      <c r="J85" s="57"/>
      <c r="K85" s="57"/>
      <c r="L85" s="57"/>
      <c r="M85" s="57"/>
      <c r="N85" s="57"/>
      <c r="O85" s="57"/>
      <c r="P85" s="57"/>
      <c r="Q85" s="144"/>
      <c r="R85" s="57"/>
      <c r="S85" s="57"/>
      <c r="T85" s="57"/>
      <c r="U85" s="57"/>
      <c r="V85" s="57"/>
      <c r="W85" s="57"/>
      <c r="X85" s="57"/>
      <c r="Y85" s="57"/>
      <c r="Z85" s="144"/>
      <c r="AA85" s="144"/>
      <c r="AB85" s="144"/>
      <c r="AC85" s="144"/>
      <c r="AD85" s="144"/>
      <c r="AE85" s="144"/>
      <c r="AF85" s="144"/>
      <c r="AG85" s="57"/>
      <c r="AH85" s="144"/>
      <c r="AI85" s="57"/>
      <c r="AJ85" s="144"/>
      <c r="AK85" s="57"/>
      <c r="AL85" s="57"/>
      <c r="AM85" s="57"/>
      <c r="AN85" s="57"/>
      <c r="AO85" s="57"/>
      <c r="AP85" s="57"/>
      <c r="AQ85" s="57"/>
      <c r="AR85" s="57"/>
      <c r="AS85" s="57"/>
      <c r="AT85" s="57"/>
    </row>
    <row r="86" spans="1:46" s="56" customFormat="1" x14ac:dyDescent="0.2">
      <c r="A86" s="67"/>
      <c r="B86" s="66"/>
      <c r="C86" s="419" t="str">
        <f t="shared" si="18"/>
        <v/>
      </c>
      <c r="D86" s="93" t="s">
        <v>4300</v>
      </c>
      <c r="E86" s="65">
        <f t="shared" si="19"/>
        <v>0</v>
      </c>
      <c r="H86" s="57"/>
      <c r="I86" s="57"/>
      <c r="J86" s="57"/>
      <c r="K86" s="57"/>
      <c r="L86" s="57"/>
      <c r="M86" s="57"/>
      <c r="N86" s="57"/>
      <c r="O86" s="57"/>
      <c r="P86" s="57"/>
      <c r="Q86" s="144"/>
      <c r="R86" s="57"/>
      <c r="S86" s="57"/>
      <c r="T86" s="57"/>
      <c r="U86" s="57"/>
      <c r="V86" s="57"/>
      <c r="W86" s="57"/>
      <c r="X86" s="57"/>
      <c r="Y86" s="57"/>
      <c r="Z86" s="144"/>
      <c r="AA86" s="144"/>
      <c r="AB86" s="144"/>
      <c r="AC86" s="144"/>
      <c r="AD86" s="144"/>
      <c r="AE86" s="144"/>
      <c r="AF86" s="144"/>
      <c r="AG86" s="57"/>
      <c r="AH86" s="144"/>
      <c r="AI86" s="57"/>
      <c r="AJ86" s="144"/>
      <c r="AK86" s="57"/>
      <c r="AL86" s="57"/>
      <c r="AM86" s="57"/>
      <c r="AN86" s="57"/>
      <c r="AO86" s="57"/>
      <c r="AP86" s="57"/>
      <c r="AQ86" s="57"/>
      <c r="AR86" s="57"/>
      <c r="AS86" s="57"/>
      <c r="AT86" s="57"/>
    </row>
    <row r="87" spans="1:46" s="56" customFormat="1" x14ac:dyDescent="0.2">
      <c r="A87" s="67"/>
      <c r="B87" s="66"/>
      <c r="C87" s="419" t="str">
        <f t="shared" si="18"/>
        <v/>
      </c>
      <c r="D87" s="93" t="s">
        <v>4301</v>
      </c>
      <c r="E87" s="65">
        <f t="shared" si="19"/>
        <v>0</v>
      </c>
      <c r="H87" s="57"/>
      <c r="I87" s="57"/>
      <c r="J87" s="57"/>
      <c r="K87" s="57"/>
      <c r="L87" s="57"/>
      <c r="M87" s="57"/>
      <c r="N87" s="57"/>
      <c r="O87" s="57"/>
      <c r="P87" s="57"/>
      <c r="Q87" s="144"/>
      <c r="R87" s="57"/>
      <c r="S87" s="57"/>
      <c r="T87" s="57"/>
      <c r="U87" s="57"/>
      <c r="V87" s="57"/>
      <c r="W87" s="57"/>
      <c r="X87" s="57"/>
      <c r="Y87" s="57"/>
      <c r="Z87" s="144"/>
      <c r="AA87" s="144"/>
      <c r="AB87" s="144"/>
      <c r="AC87" s="144"/>
      <c r="AD87" s="144"/>
      <c r="AE87" s="144"/>
      <c r="AF87" s="144"/>
      <c r="AG87" s="57"/>
      <c r="AH87" s="144"/>
      <c r="AI87" s="57"/>
      <c r="AJ87" s="144"/>
      <c r="AK87" s="57"/>
      <c r="AL87" s="57"/>
      <c r="AM87" s="57"/>
      <c r="AN87" s="57"/>
      <c r="AO87" s="57"/>
      <c r="AP87" s="57"/>
      <c r="AQ87" s="57"/>
      <c r="AR87" s="57"/>
      <c r="AS87" s="57"/>
      <c r="AT87" s="57"/>
    </row>
    <row r="88" spans="1:46" s="56" customFormat="1" x14ac:dyDescent="0.2">
      <c r="A88" s="67"/>
      <c r="B88" s="66"/>
      <c r="C88" s="419" t="str">
        <f t="shared" si="18"/>
        <v/>
      </c>
      <c r="D88" s="93" t="s">
        <v>4302</v>
      </c>
      <c r="E88" s="65">
        <f t="shared" si="19"/>
        <v>0</v>
      </c>
      <c r="H88" s="57"/>
      <c r="I88" s="57"/>
      <c r="J88" s="57"/>
      <c r="K88" s="57"/>
      <c r="L88" s="57"/>
      <c r="M88" s="57"/>
      <c r="N88" s="57"/>
      <c r="O88" s="57"/>
      <c r="P88" s="57"/>
      <c r="Q88" s="144"/>
      <c r="R88" s="57"/>
      <c r="S88" s="57"/>
      <c r="T88" s="57"/>
      <c r="U88" s="57"/>
      <c r="V88" s="57"/>
      <c r="W88" s="57"/>
      <c r="X88" s="57"/>
      <c r="Y88" s="57"/>
      <c r="Z88" s="144"/>
      <c r="AA88" s="144"/>
      <c r="AB88" s="144"/>
      <c r="AC88" s="144"/>
      <c r="AD88" s="144"/>
      <c r="AE88" s="144"/>
      <c r="AF88" s="144"/>
      <c r="AG88" s="57"/>
      <c r="AH88" s="144"/>
      <c r="AI88" s="57"/>
      <c r="AJ88" s="144"/>
      <c r="AK88" s="57"/>
      <c r="AL88" s="57"/>
      <c r="AM88" s="57"/>
      <c r="AN88" s="57"/>
      <c r="AO88" s="57"/>
      <c r="AP88" s="57"/>
      <c r="AQ88" s="57"/>
      <c r="AR88" s="57"/>
      <c r="AS88" s="57"/>
      <c r="AT88" s="57"/>
    </row>
    <row r="89" spans="1:46" s="56" customFormat="1" x14ac:dyDescent="0.2">
      <c r="A89" s="67"/>
      <c r="B89" s="66"/>
      <c r="C89" s="419" t="str">
        <f t="shared" si="18"/>
        <v/>
      </c>
      <c r="D89" s="93" t="s">
        <v>8647</v>
      </c>
      <c r="E89" s="65">
        <f t="shared" si="19"/>
        <v>0</v>
      </c>
      <c r="Q89" s="144"/>
      <c r="Z89" s="144"/>
      <c r="AA89" s="144"/>
      <c r="AB89" s="144"/>
      <c r="AC89" s="144"/>
      <c r="AD89" s="144"/>
      <c r="AE89" s="144"/>
      <c r="AF89" s="144"/>
      <c r="AH89" s="144"/>
      <c r="AJ89" s="144"/>
    </row>
    <row r="90" spans="1:46" s="56" customFormat="1" x14ac:dyDescent="0.2">
      <c r="A90" s="67"/>
      <c r="B90" s="66"/>
      <c r="C90" s="420" t="str">
        <f t="shared" si="18"/>
        <v/>
      </c>
      <c r="D90" s="37" t="s">
        <v>4303</v>
      </c>
      <c r="E90" s="101">
        <f t="shared" si="19"/>
        <v>0</v>
      </c>
      <c r="Q90" s="144"/>
      <c r="Z90" s="144"/>
      <c r="AA90" s="144"/>
      <c r="AB90" s="144"/>
      <c r="AC90" s="144"/>
      <c r="AD90" s="144"/>
      <c r="AE90" s="144"/>
      <c r="AF90" s="144"/>
      <c r="AH90" s="144"/>
      <c r="AJ90" s="144"/>
    </row>
    <row r="91" spans="1:46" s="56" customFormat="1" x14ac:dyDescent="0.2">
      <c r="A91" s="67"/>
      <c r="B91" s="66"/>
      <c r="C91" s="419" t="str">
        <f t="shared" si="18"/>
        <v/>
      </c>
      <c r="D91" s="93" t="s">
        <v>4304</v>
      </c>
      <c r="E91" s="65">
        <f t="shared" si="19"/>
        <v>0</v>
      </c>
      <c r="Q91" s="144"/>
      <c r="Z91" s="144"/>
      <c r="AA91" s="144"/>
      <c r="AB91" s="144"/>
      <c r="AC91" s="144"/>
      <c r="AD91" s="144"/>
      <c r="AE91" s="144"/>
      <c r="AF91" s="144"/>
      <c r="AH91" s="144"/>
      <c r="AJ91" s="144"/>
    </row>
    <row r="92" spans="1:46" s="56" customFormat="1" x14ac:dyDescent="0.2">
      <c r="A92" s="67"/>
      <c r="B92" s="66"/>
      <c r="C92" s="419" t="str">
        <f t="shared" si="18"/>
        <v/>
      </c>
      <c r="D92" s="93" t="s">
        <v>4305</v>
      </c>
      <c r="E92" s="101">
        <f t="shared" si="19"/>
        <v>0</v>
      </c>
      <c r="Q92" s="144"/>
      <c r="Z92" s="144"/>
      <c r="AA92" s="144"/>
      <c r="AB92" s="144"/>
      <c r="AC92" s="144"/>
      <c r="AD92" s="144"/>
      <c r="AE92" s="144"/>
      <c r="AF92" s="144"/>
      <c r="AH92" s="144"/>
      <c r="AJ92" s="144"/>
    </row>
    <row r="93" spans="1:46" s="56" customFormat="1" x14ac:dyDescent="0.2">
      <c r="A93" s="67"/>
      <c r="B93" s="66"/>
      <c r="C93" s="420" t="str">
        <f t="shared" si="18"/>
        <v/>
      </c>
      <c r="D93" s="93" t="s">
        <v>4306</v>
      </c>
      <c r="E93" s="101">
        <f t="shared" si="19"/>
        <v>0</v>
      </c>
      <c r="Q93" s="144"/>
      <c r="Z93" s="144"/>
      <c r="AA93" s="144"/>
      <c r="AB93" s="144"/>
      <c r="AC93" s="144"/>
      <c r="AD93" s="144"/>
      <c r="AE93" s="144"/>
      <c r="AF93" s="144"/>
      <c r="AH93" s="144"/>
      <c r="AJ93" s="144"/>
    </row>
    <row r="94" spans="1:46" s="56" customFormat="1" x14ac:dyDescent="0.2">
      <c r="A94" s="67"/>
      <c r="B94" s="66"/>
      <c r="C94" s="419" t="str">
        <f t="shared" si="18"/>
        <v/>
      </c>
      <c r="D94" s="93" t="s">
        <v>4307</v>
      </c>
      <c r="E94" s="101">
        <f t="shared" si="19"/>
        <v>0</v>
      </c>
      <c r="Q94" s="144"/>
      <c r="Z94" s="144"/>
      <c r="AA94" s="144"/>
      <c r="AB94" s="144"/>
      <c r="AC94" s="144"/>
      <c r="AD94" s="144"/>
      <c r="AE94" s="144"/>
      <c r="AF94" s="144"/>
      <c r="AH94" s="144"/>
      <c r="AJ94" s="144"/>
    </row>
    <row r="95" spans="1:46" s="56" customFormat="1" x14ac:dyDescent="0.2">
      <c r="A95" s="67"/>
      <c r="B95" s="66"/>
      <c r="C95" s="420" t="str">
        <f t="shared" si="18"/>
        <v/>
      </c>
      <c r="D95" s="93" t="s">
        <v>4308</v>
      </c>
      <c r="E95" s="101">
        <f t="shared" si="19"/>
        <v>0</v>
      </c>
      <c r="Q95" s="144"/>
      <c r="Z95" s="144"/>
      <c r="AA95" s="144"/>
      <c r="AB95" s="144"/>
      <c r="AC95" s="144"/>
      <c r="AD95" s="144"/>
      <c r="AE95" s="144"/>
      <c r="AF95" s="144"/>
      <c r="AH95" s="144"/>
      <c r="AJ95" s="144"/>
    </row>
    <row r="96" spans="1:46" s="56" customFormat="1" x14ac:dyDescent="0.2">
      <c r="A96" s="67"/>
      <c r="B96" s="66"/>
      <c r="C96" s="419" t="str">
        <f t="shared" si="18"/>
        <v/>
      </c>
      <c r="D96" s="93" t="s">
        <v>4309</v>
      </c>
      <c r="E96" s="101">
        <f t="shared" si="19"/>
        <v>0</v>
      </c>
      <c r="Q96" s="144"/>
      <c r="Z96" s="144"/>
      <c r="AA96" s="144"/>
      <c r="AB96" s="144"/>
      <c r="AC96" s="144"/>
      <c r="AD96" s="144"/>
      <c r="AE96" s="144"/>
      <c r="AF96" s="144"/>
      <c r="AH96" s="144"/>
      <c r="AJ96" s="144"/>
    </row>
    <row r="97" spans="1:36" s="56" customFormat="1" x14ac:dyDescent="0.2">
      <c r="A97" s="67"/>
      <c r="B97" s="66"/>
      <c r="C97" s="420" t="str">
        <f t="shared" si="18"/>
        <v/>
      </c>
      <c r="D97" s="93" t="s">
        <v>4310</v>
      </c>
      <c r="E97" s="101">
        <f t="shared" si="19"/>
        <v>0</v>
      </c>
      <c r="Q97" s="144"/>
      <c r="Z97" s="144"/>
      <c r="AA97" s="144"/>
      <c r="AB97" s="144"/>
      <c r="AC97" s="144"/>
      <c r="AD97" s="144"/>
      <c r="AE97" s="144"/>
      <c r="AF97" s="144"/>
      <c r="AH97" s="144"/>
      <c r="AJ97" s="144"/>
    </row>
    <row r="98" spans="1:36" s="56" customFormat="1" x14ac:dyDescent="0.2">
      <c r="A98" s="67"/>
      <c r="B98" s="66"/>
      <c r="C98" s="419" t="str">
        <f t="shared" si="18"/>
        <v/>
      </c>
      <c r="D98" s="93" t="s">
        <v>4311</v>
      </c>
      <c r="E98" s="65">
        <f t="shared" si="19"/>
        <v>0</v>
      </c>
      <c r="Q98" s="144"/>
      <c r="Z98" s="144"/>
      <c r="AA98" s="144"/>
      <c r="AB98" s="144"/>
      <c r="AC98" s="144"/>
      <c r="AD98" s="144"/>
      <c r="AE98" s="144"/>
      <c r="AF98" s="144"/>
      <c r="AH98" s="144"/>
      <c r="AJ98" s="144"/>
    </row>
    <row r="99" spans="1:36" s="56" customFormat="1" x14ac:dyDescent="0.2">
      <c r="A99" s="67"/>
      <c r="B99" s="66"/>
      <c r="C99" s="419" t="str">
        <f t="shared" si="18"/>
        <v/>
      </c>
      <c r="D99" s="93" t="s">
        <v>3521</v>
      </c>
      <c r="E99" s="65">
        <f t="shared" si="19"/>
        <v>0</v>
      </c>
      <c r="Q99" s="144"/>
      <c r="Z99" s="144"/>
      <c r="AA99" s="144"/>
      <c r="AB99" s="144"/>
      <c r="AC99" s="144"/>
      <c r="AD99" s="144"/>
      <c r="AE99" s="144"/>
      <c r="AF99" s="144"/>
      <c r="AH99" s="144"/>
      <c r="AJ99" s="144"/>
    </row>
    <row r="100" spans="1:36" s="56" customFormat="1" x14ac:dyDescent="0.2">
      <c r="A100" s="67"/>
      <c r="B100" s="66"/>
      <c r="C100" s="419" t="str">
        <f t="shared" si="18"/>
        <v/>
      </c>
      <c r="D100" s="93" t="s">
        <v>240</v>
      </c>
      <c r="E100" s="65">
        <f t="shared" si="19"/>
        <v>0</v>
      </c>
      <c r="Q100" s="144"/>
      <c r="Z100" s="144"/>
      <c r="AA100" s="144"/>
      <c r="AB100" s="144"/>
      <c r="AC100" s="144"/>
      <c r="AD100" s="144"/>
      <c r="AE100" s="144"/>
      <c r="AF100" s="144"/>
      <c r="AH100" s="144"/>
      <c r="AJ100" s="144"/>
    </row>
    <row r="101" spans="1:36" s="56" customFormat="1" x14ac:dyDescent="0.2">
      <c r="A101" s="67"/>
      <c r="B101" s="66"/>
      <c r="C101" s="419" t="str">
        <f t="shared" si="18"/>
        <v/>
      </c>
      <c r="D101" s="37" t="s">
        <v>3497</v>
      </c>
      <c r="E101" s="65">
        <f t="shared" si="19"/>
        <v>0</v>
      </c>
      <c r="Q101" s="144"/>
      <c r="Z101" s="144"/>
      <c r="AA101" s="144"/>
      <c r="AB101" s="144"/>
      <c r="AC101" s="144"/>
      <c r="AD101" s="144"/>
      <c r="AE101" s="144"/>
      <c r="AF101" s="144"/>
      <c r="AH101" s="144"/>
      <c r="AJ101" s="144"/>
    </row>
    <row r="102" spans="1:36" s="56" customFormat="1" x14ac:dyDescent="0.2">
      <c r="A102" s="67"/>
      <c r="B102" s="66"/>
      <c r="C102" s="419" t="str">
        <f t="shared" si="18"/>
        <v/>
      </c>
      <c r="D102" s="37" t="s">
        <v>3613</v>
      </c>
      <c r="E102" s="65">
        <f t="shared" si="19"/>
        <v>0</v>
      </c>
      <c r="Q102" s="144"/>
      <c r="Z102" s="144"/>
      <c r="AA102" s="144"/>
      <c r="AB102" s="144"/>
      <c r="AC102" s="144"/>
      <c r="AD102" s="144"/>
      <c r="AE102" s="144"/>
      <c r="AF102" s="144"/>
      <c r="AH102" s="144"/>
      <c r="AJ102" s="144"/>
    </row>
    <row r="103" spans="1:36" s="56" customFormat="1" x14ac:dyDescent="0.2">
      <c r="A103" s="67"/>
      <c r="B103" s="66"/>
      <c r="C103" s="419" t="str">
        <f t="shared" si="18"/>
        <v/>
      </c>
      <c r="D103" s="49" t="s">
        <v>3620</v>
      </c>
      <c r="E103" s="65">
        <f t="shared" si="19"/>
        <v>0</v>
      </c>
      <c r="Q103" s="144"/>
      <c r="Z103" s="144"/>
      <c r="AA103" s="144"/>
      <c r="AB103" s="144"/>
      <c r="AC103" s="144"/>
      <c r="AD103" s="144"/>
      <c r="AE103" s="144"/>
      <c r="AF103" s="144"/>
      <c r="AH103" s="144"/>
      <c r="AJ103" s="144"/>
    </row>
    <row r="104" spans="1:36" s="56" customFormat="1" x14ac:dyDescent="0.2">
      <c r="A104" s="67"/>
      <c r="B104" s="66"/>
      <c r="C104" s="419" t="str">
        <f t="shared" si="18"/>
        <v/>
      </c>
      <c r="D104" s="49" t="s">
        <v>4312</v>
      </c>
      <c r="E104" s="65">
        <f t="shared" si="19"/>
        <v>0</v>
      </c>
      <c r="Q104" s="144"/>
      <c r="Z104" s="144"/>
      <c r="AA104" s="144"/>
      <c r="AB104" s="144"/>
      <c r="AC104" s="144"/>
      <c r="AD104" s="144"/>
      <c r="AE104" s="144"/>
      <c r="AF104" s="144"/>
      <c r="AH104" s="144"/>
      <c r="AJ104" s="144"/>
    </row>
    <row r="105" spans="1:36" s="56" customFormat="1" ht="25.5" customHeight="1" x14ac:dyDescent="0.2">
      <c r="A105" s="67"/>
      <c r="B105" s="66"/>
      <c r="C105" s="419" t="str">
        <f t="shared" si="18"/>
        <v/>
      </c>
      <c r="D105" s="49" t="s">
        <v>4313</v>
      </c>
      <c r="E105" s="65">
        <f t="shared" si="19"/>
        <v>0</v>
      </c>
      <c r="Q105" s="144"/>
      <c r="Z105" s="144"/>
      <c r="AA105" s="144"/>
      <c r="AB105" s="144"/>
      <c r="AC105" s="144"/>
      <c r="AD105" s="144"/>
      <c r="AE105" s="144"/>
      <c r="AF105" s="144"/>
      <c r="AH105" s="144"/>
      <c r="AJ105" s="144"/>
    </row>
    <row r="106" spans="1:36" s="56" customFormat="1" x14ac:dyDescent="0.2">
      <c r="A106" s="67"/>
      <c r="B106" s="66"/>
      <c r="C106" s="419" t="str">
        <f t="shared" ref="C106:C127" si="20">IFERROR(IF($E106&gt;0,$E106/SUMIF($E$10:$E$127,"&gt;0")*$D$5,""),"")</f>
        <v/>
      </c>
      <c r="D106" s="49" t="s">
        <v>4314</v>
      </c>
      <c r="E106" s="65">
        <f t="shared" si="19"/>
        <v>0</v>
      </c>
      <c r="Q106" s="144"/>
      <c r="Z106" s="144"/>
      <c r="AA106" s="144"/>
      <c r="AB106" s="144"/>
      <c r="AC106" s="144"/>
      <c r="AD106" s="144"/>
      <c r="AE106" s="144"/>
      <c r="AF106" s="144"/>
      <c r="AH106" s="144"/>
      <c r="AJ106" s="144"/>
    </row>
    <row r="107" spans="1:36" s="56" customFormat="1" x14ac:dyDescent="0.2">
      <c r="A107" s="67"/>
      <c r="B107" s="66"/>
      <c r="C107" s="419" t="str">
        <f t="shared" si="20"/>
        <v/>
      </c>
      <c r="D107" s="49" t="s">
        <v>4315</v>
      </c>
      <c r="E107" s="65">
        <f t="shared" si="19"/>
        <v>0</v>
      </c>
      <c r="Q107" s="144"/>
      <c r="Z107" s="144"/>
      <c r="AA107" s="144"/>
      <c r="AB107" s="144"/>
      <c r="AC107" s="144"/>
      <c r="AD107" s="144"/>
      <c r="AE107" s="144"/>
      <c r="AF107" s="144"/>
      <c r="AH107" s="144"/>
      <c r="AJ107" s="144"/>
    </row>
    <row r="108" spans="1:36" s="56" customFormat="1" x14ac:dyDescent="0.2">
      <c r="A108" s="67"/>
      <c r="B108" s="66"/>
      <c r="C108" s="419" t="str">
        <f t="shared" si="20"/>
        <v/>
      </c>
      <c r="D108" s="49" t="s">
        <v>4316</v>
      </c>
      <c r="E108" s="65">
        <f t="shared" ref="E108:E139" si="21">SUM(G108:HT108)</f>
        <v>0</v>
      </c>
      <c r="Q108" s="144"/>
      <c r="Z108" s="144"/>
      <c r="AA108" s="144"/>
      <c r="AB108" s="144"/>
      <c r="AC108" s="144"/>
      <c r="AD108" s="144"/>
      <c r="AE108" s="144"/>
      <c r="AF108" s="144"/>
      <c r="AH108" s="144"/>
      <c r="AJ108" s="144"/>
    </row>
    <row r="109" spans="1:36" s="56" customFormat="1" x14ac:dyDescent="0.2">
      <c r="A109" s="67"/>
      <c r="B109" s="66"/>
      <c r="C109" s="419" t="str">
        <f t="shared" si="20"/>
        <v/>
      </c>
      <c r="D109" s="49" t="s">
        <v>4317</v>
      </c>
      <c r="E109" s="65">
        <f t="shared" si="21"/>
        <v>0</v>
      </c>
      <c r="Q109" s="144"/>
      <c r="Z109" s="144"/>
      <c r="AA109" s="144"/>
      <c r="AB109" s="144"/>
      <c r="AC109" s="144"/>
      <c r="AD109" s="144"/>
      <c r="AE109" s="144"/>
      <c r="AF109" s="144"/>
      <c r="AH109" s="144"/>
      <c r="AJ109" s="144"/>
    </row>
    <row r="110" spans="1:36" s="56" customFormat="1" x14ac:dyDescent="0.2">
      <c r="A110" s="67"/>
      <c r="B110" s="66"/>
      <c r="C110" s="419" t="str">
        <f t="shared" si="20"/>
        <v/>
      </c>
      <c r="D110" s="49" t="s">
        <v>3690</v>
      </c>
      <c r="E110" s="65">
        <f t="shared" si="21"/>
        <v>0</v>
      </c>
      <c r="Q110" s="144"/>
      <c r="Z110" s="144"/>
      <c r="AA110" s="144"/>
      <c r="AB110" s="144"/>
      <c r="AC110" s="144"/>
      <c r="AD110" s="144"/>
      <c r="AE110" s="144"/>
      <c r="AF110" s="144"/>
      <c r="AH110" s="144"/>
      <c r="AJ110" s="144"/>
    </row>
    <row r="111" spans="1:36" s="56" customFormat="1" x14ac:dyDescent="0.2">
      <c r="A111" s="67"/>
      <c r="B111" s="66"/>
      <c r="C111" s="419" t="str">
        <f t="shared" si="20"/>
        <v/>
      </c>
      <c r="D111" s="49" t="s">
        <v>520</v>
      </c>
      <c r="E111" s="65">
        <f t="shared" si="21"/>
        <v>0</v>
      </c>
      <c r="Q111" s="144"/>
      <c r="Z111" s="144"/>
      <c r="AA111" s="144"/>
      <c r="AB111" s="144"/>
      <c r="AC111" s="144"/>
      <c r="AD111" s="144"/>
      <c r="AE111" s="144"/>
      <c r="AF111" s="144"/>
      <c r="AH111" s="144"/>
      <c r="AJ111" s="144"/>
    </row>
    <row r="112" spans="1:36" s="56" customFormat="1" x14ac:dyDescent="0.2">
      <c r="A112" s="67"/>
      <c r="B112" s="66"/>
      <c r="C112" s="419" t="str">
        <f t="shared" si="20"/>
        <v/>
      </c>
      <c r="D112" s="49" t="s">
        <v>3735</v>
      </c>
      <c r="E112" s="65">
        <f t="shared" si="21"/>
        <v>0</v>
      </c>
      <c r="Q112" s="144"/>
      <c r="Z112" s="144"/>
      <c r="AA112" s="144"/>
      <c r="AB112" s="144"/>
      <c r="AC112" s="144"/>
      <c r="AD112" s="144"/>
      <c r="AE112" s="144"/>
      <c r="AF112" s="144"/>
      <c r="AH112" s="144"/>
      <c r="AJ112" s="144"/>
    </row>
    <row r="113" spans="1:36" s="56" customFormat="1" x14ac:dyDescent="0.2">
      <c r="A113" s="67"/>
      <c r="B113" s="66"/>
      <c r="C113" s="419" t="str">
        <f t="shared" si="20"/>
        <v/>
      </c>
      <c r="D113" s="49" t="s">
        <v>438</v>
      </c>
      <c r="E113" s="65">
        <f t="shared" si="21"/>
        <v>0</v>
      </c>
      <c r="Q113" s="144"/>
      <c r="Z113" s="144"/>
      <c r="AA113" s="144"/>
      <c r="AB113" s="144"/>
      <c r="AC113" s="144"/>
      <c r="AD113" s="144"/>
      <c r="AE113" s="144"/>
      <c r="AF113" s="144"/>
      <c r="AH113" s="144"/>
      <c r="AJ113" s="144"/>
    </row>
    <row r="114" spans="1:36" s="56" customFormat="1" x14ac:dyDescent="0.2">
      <c r="A114" s="67"/>
      <c r="B114" s="66"/>
      <c r="C114" s="419" t="str">
        <f t="shared" si="20"/>
        <v/>
      </c>
      <c r="D114" s="49" t="s">
        <v>263</v>
      </c>
      <c r="E114" s="65">
        <f t="shared" si="21"/>
        <v>0</v>
      </c>
      <c r="Q114" s="144"/>
      <c r="Z114" s="144"/>
      <c r="AA114" s="144"/>
      <c r="AB114" s="144"/>
      <c r="AC114" s="144"/>
      <c r="AD114" s="144"/>
      <c r="AE114" s="144"/>
      <c r="AF114" s="144"/>
      <c r="AH114" s="144"/>
      <c r="AJ114" s="144"/>
    </row>
    <row r="115" spans="1:36" s="56" customFormat="1" x14ac:dyDescent="0.2">
      <c r="A115" s="67"/>
      <c r="B115" s="66"/>
      <c r="C115" s="419" t="str">
        <f t="shared" si="20"/>
        <v/>
      </c>
      <c r="D115" s="49" t="s">
        <v>4318</v>
      </c>
      <c r="E115" s="65">
        <f t="shared" si="21"/>
        <v>0</v>
      </c>
      <c r="Q115" s="144"/>
      <c r="Z115" s="144"/>
      <c r="AA115" s="144"/>
      <c r="AB115" s="144"/>
      <c r="AC115" s="144"/>
      <c r="AD115" s="144"/>
      <c r="AE115" s="144"/>
      <c r="AF115" s="144"/>
      <c r="AH115" s="144"/>
      <c r="AJ115" s="144"/>
    </row>
    <row r="116" spans="1:36" s="56" customFormat="1" x14ac:dyDescent="0.2">
      <c r="A116" s="67"/>
      <c r="B116" s="66"/>
      <c r="C116" s="419" t="str">
        <f t="shared" si="20"/>
        <v/>
      </c>
      <c r="D116" s="49" t="s">
        <v>3799</v>
      </c>
      <c r="E116" s="65">
        <f t="shared" si="21"/>
        <v>0</v>
      </c>
      <c r="Q116" s="144"/>
      <c r="Z116" s="144"/>
      <c r="AA116" s="144"/>
      <c r="AB116" s="144"/>
      <c r="AC116" s="144"/>
      <c r="AD116" s="144"/>
      <c r="AE116" s="144"/>
      <c r="AF116" s="144"/>
      <c r="AH116" s="144"/>
      <c r="AJ116" s="144"/>
    </row>
    <row r="117" spans="1:36" s="56" customFormat="1" x14ac:dyDescent="0.2">
      <c r="A117" s="67"/>
      <c r="B117" s="66"/>
      <c r="C117" s="419" t="str">
        <f t="shared" si="20"/>
        <v/>
      </c>
      <c r="D117" s="49" t="s">
        <v>3853</v>
      </c>
      <c r="E117" s="65">
        <f t="shared" si="21"/>
        <v>0</v>
      </c>
      <c r="Q117" s="144"/>
      <c r="Z117" s="144"/>
      <c r="AA117" s="144"/>
      <c r="AB117" s="144"/>
      <c r="AC117" s="144"/>
      <c r="AD117" s="144"/>
      <c r="AE117" s="144"/>
      <c r="AF117" s="144"/>
      <c r="AH117" s="144"/>
      <c r="AJ117" s="144"/>
    </row>
    <row r="118" spans="1:36" s="56" customFormat="1" x14ac:dyDescent="0.2">
      <c r="A118" s="67"/>
      <c r="B118" s="66"/>
      <c r="C118" s="419" t="str">
        <f t="shared" si="20"/>
        <v/>
      </c>
      <c r="D118" s="49" t="s">
        <v>4319</v>
      </c>
      <c r="E118" s="65">
        <f t="shared" si="21"/>
        <v>0</v>
      </c>
      <c r="Q118" s="144"/>
      <c r="Z118" s="144"/>
      <c r="AA118" s="144"/>
      <c r="AB118" s="144"/>
      <c r="AC118" s="144"/>
      <c r="AD118" s="144"/>
      <c r="AE118" s="144"/>
      <c r="AF118" s="144"/>
      <c r="AH118" s="144"/>
      <c r="AJ118" s="144"/>
    </row>
    <row r="119" spans="1:36" s="56" customFormat="1" x14ac:dyDescent="0.2">
      <c r="A119" s="67"/>
      <c r="B119" s="66"/>
      <c r="C119" s="419" t="str">
        <f t="shared" si="20"/>
        <v/>
      </c>
      <c r="D119" s="49" t="s">
        <v>3936</v>
      </c>
      <c r="E119" s="65">
        <f t="shared" si="21"/>
        <v>0</v>
      </c>
      <c r="Q119" s="144"/>
      <c r="Z119" s="144"/>
      <c r="AA119" s="144"/>
      <c r="AB119" s="144"/>
      <c r="AC119" s="144"/>
      <c r="AD119" s="144"/>
      <c r="AE119" s="144"/>
      <c r="AF119" s="144"/>
      <c r="AH119" s="144"/>
      <c r="AJ119" s="144"/>
    </row>
    <row r="120" spans="1:36" s="56" customFormat="1" x14ac:dyDescent="0.2">
      <c r="A120" s="67"/>
      <c r="B120" s="66"/>
      <c r="C120" s="419" t="str">
        <f t="shared" si="20"/>
        <v/>
      </c>
      <c r="D120" s="49" t="s">
        <v>4320</v>
      </c>
      <c r="E120" s="65">
        <f t="shared" si="21"/>
        <v>0</v>
      </c>
      <c r="Q120" s="144"/>
      <c r="Z120" s="144"/>
      <c r="AA120" s="144"/>
      <c r="AB120" s="144"/>
      <c r="AC120" s="144"/>
      <c r="AD120" s="144"/>
      <c r="AE120" s="144"/>
      <c r="AF120" s="144"/>
      <c r="AH120" s="144"/>
      <c r="AJ120" s="144"/>
    </row>
    <row r="121" spans="1:36" s="56" customFormat="1" x14ac:dyDescent="0.2">
      <c r="A121" s="67"/>
      <c r="B121" s="66"/>
      <c r="C121" s="419" t="str">
        <f t="shared" si="20"/>
        <v/>
      </c>
      <c r="D121" s="49" t="s">
        <v>4321</v>
      </c>
      <c r="E121" s="65">
        <f t="shared" si="21"/>
        <v>0</v>
      </c>
      <c r="Q121" s="144"/>
      <c r="Z121" s="144"/>
      <c r="AA121" s="144"/>
      <c r="AB121" s="144"/>
      <c r="AC121" s="144"/>
      <c r="AD121" s="144"/>
      <c r="AE121" s="144"/>
      <c r="AF121" s="144"/>
      <c r="AH121" s="144"/>
      <c r="AJ121" s="144"/>
    </row>
    <row r="122" spans="1:36" s="56" customFormat="1" x14ac:dyDescent="0.2">
      <c r="A122" s="67"/>
      <c r="B122" s="66"/>
      <c r="C122" s="419" t="str">
        <f t="shared" si="20"/>
        <v/>
      </c>
      <c r="D122" s="49" t="s">
        <v>3934</v>
      </c>
      <c r="E122" s="65">
        <f t="shared" si="21"/>
        <v>0</v>
      </c>
      <c r="Q122" s="144"/>
      <c r="Z122" s="144"/>
      <c r="AA122" s="144"/>
      <c r="AB122" s="144"/>
      <c r="AC122" s="144"/>
      <c r="AD122" s="144"/>
      <c r="AE122" s="144"/>
      <c r="AF122" s="144"/>
      <c r="AH122" s="144"/>
      <c r="AJ122" s="144"/>
    </row>
    <row r="123" spans="1:36" s="56" customFormat="1" x14ac:dyDescent="0.2">
      <c r="A123" s="67"/>
      <c r="B123" s="66"/>
      <c r="C123" s="419" t="str">
        <f t="shared" si="20"/>
        <v/>
      </c>
      <c r="D123" s="49" t="s">
        <v>3932</v>
      </c>
      <c r="E123" s="65">
        <f t="shared" si="21"/>
        <v>0</v>
      </c>
      <c r="Q123" s="144"/>
      <c r="Z123" s="144"/>
      <c r="AA123" s="144"/>
      <c r="AB123" s="144"/>
      <c r="AC123" s="144"/>
      <c r="AD123" s="144"/>
      <c r="AE123" s="144"/>
      <c r="AF123" s="144"/>
      <c r="AH123" s="144"/>
      <c r="AJ123" s="144"/>
    </row>
    <row r="124" spans="1:36" s="56" customFormat="1" x14ac:dyDescent="0.2">
      <c r="A124" s="67"/>
      <c r="B124" s="66"/>
      <c r="C124" s="419" t="str">
        <f t="shared" si="20"/>
        <v/>
      </c>
      <c r="D124" s="49" t="s">
        <v>3949</v>
      </c>
      <c r="E124" s="65">
        <f t="shared" si="21"/>
        <v>0</v>
      </c>
      <c r="Q124" s="144"/>
      <c r="Z124" s="144"/>
      <c r="AA124" s="144"/>
      <c r="AB124" s="144"/>
      <c r="AC124" s="144"/>
      <c r="AD124" s="144"/>
      <c r="AE124" s="144"/>
      <c r="AF124" s="144"/>
      <c r="AH124" s="144"/>
      <c r="AJ124" s="144"/>
    </row>
    <row r="125" spans="1:36" s="56" customFormat="1" x14ac:dyDescent="0.2">
      <c r="A125" s="67"/>
      <c r="B125" s="66"/>
      <c r="C125" s="419" t="str">
        <f t="shared" si="20"/>
        <v/>
      </c>
      <c r="D125" s="49" t="s">
        <v>4322</v>
      </c>
      <c r="E125" s="65">
        <f t="shared" si="21"/>
        <v>0</v>
      </c>
      <c r="Q125" s="144"/>
      <c r="Z125" s="144"/>
      <c r="AA125" s="144"/>
      <c r="AB125" s="144"/>
      <c r="AC125" s="144"/>
      <c r="AD125" s="144"/>
      <c r="AE125" s="144"/>
      <c r="AF125" s="144"/>
      <c r="AH125" s="144"/>
      <c r="AJ125" s="144"/>
    </row>
    <row r="126" spans="1:36" s="56" customFormat="1" x14ac:dyDescent="0.2">
      <c r="A126" s="67"/>
      <c r="B126" s="66"/>
      <c r="C126" s="419" t="str">
        <f t="shared" si="20"/>
        <v/>
      </c>
      <c r="D126" s="49" t="s">
        <v>4323</v>
      </c>
      <c r="E126" s="65">
        <f t="shared" si="21"/>
        <v>0</v>
      </c>
      <c r="Q126" s="144"/>
      <c r="Z126" s="144"/>
      <c r="AA126" s="144"/>
      <c r="AB126" s="144"/>
      <c r="AC126" s="144"/>
      <c r="AD126" s="144"/>
      <c r="AE126" s="144"/>
      <c r="AF126" s="144"/>
      <c r="AH126" s="144"/>
      <c r="AJ126" s="144"/>
    </row>
    <row r="127" spans="1:36" s="56" customFormat="1" x14ac:dyDescent="0.2">
      <c r="A127" s="67"/>
      <c r="B127" s="66"/>
      <c r="C127" s="419" t="str">
        <f t="shared" si="20"/>
        <v/>
      </c>
      <c r="D127" s="49" t="s">
        <v>4042</v>
      </c>
      <c r="E127" s="65">
        <f t="shared" si="21"/>
        <v>0</v>
      </c>
      <c r="Q127" s="144"/>
      <c r="Z127" s="144"/>
      <c r="AA127" s="144"/>
      <c r="AB127" s="144"/>
      <c r="AC127" s="144"/>
      <c r="AD127" s="144"/>
      <c r="AE127" s="144"/>
      <c r="AF127" s="144"/>
      <c r="AH127" s="144"/>
      <c r="AJ127" s="144"/>
    </row>
    <row r="128" spans="1:36" s="56" customFormat="1" x14ac:dyDescent="0.2">
      <c r="A128" s="67"/>
      <c r="B128" s="66"/>
      <c r="C128" s="65">
        <f t="shared" ref="C128:C159" si="22">E128*D$5</f>
        <v>0</v>
      </c>
      <c r="D128" s="49"/>
      <c r="E128" s="65">
        <f t="shared" si="21"/>
        <v>0</v>
      </c>
      <c r="Q128" s="144"/>
      <c r="Z128" s="144"/>
      <c r="AA128" s="144"/>
      <c r="AB128" s="144"/>
      <c r="AC128" s="144"/>
      <c r="AD128" s="144"/>
      <c r="AE128" s="144"/>
      <c r="AF128" s="144"/>
      <c r="AH128" s="144"/>
      <c r="AJ128" s="144"/>
    </row>
    <row r="129" spans="1:36" s="56" customFormat="1" x14ac:dyDescent="0.2">
      <c r="A129" s="67"/>
      <c r="B129" s="66"/>
      <c r="C129" s="65">
        <f t="shared" si="22"/>
        <v>0</v>
      </c>
      <c r="D129" s="49"/>
      <c r="E129" s="65">
        <f t="shared" si="21"/>
        <v>0</v>
      </c>
      <c r="Q129" s="144"/>
      <c r="Z129" s="144"/>
      <c r="AA129" s="144"/>
      <c r="AB129" s="144"/>
      <c r="AC129" s="144"/>
      <c r="AD129" s="144"/>
      <c r="AE129" s="144"/>
      <c r="AF129" s="144"/>
      <c r="AH129" s="144"/>
      <c r="AJ129" s="144"/>
    </row>
    <row r="130" spans="1:36" s="56" customFormat="1" x14ac:dyDescent="0.2">
      <c r="A130" s="67"/>
      <c r="B130" s="66"/>
      <c r="C130" s="65">
        <f t="shared" si="22"/>
        <v>0</v>
      </c>
      <c r="D130" s="49"/>
      <c r="E130" s="65">
        <f t="shared" si="21"/>
        <v>0</v>
      </c>
      <c r="Q130" s="144"/>
      <c r="Z130" s="144"/>
      <c r="AA130" s="144"/>
      <c r="AB130" s="144"/>
      <c r="AC130" s="144"/>
      <c r="AD130" s="144"/>
      <c r="AE130" s="144"/>
      <c r="AF130" s="144"/>
      <c r="AH130" s="144"/>
      <c r="AJ130" s="144"/>
    </row>
    <row r="131" spans="1:36" s="56" customFormat="1" x14ac:dyDescent="0.2">
      <c r="A131" s="67"/>
      <c r="B131" s="66"/>
      <c r="C131" s="65">
        <f t="shared" si="22"/>
        <v>0</v>
      </c>
      <c r="D131" s="49"/>
      <c r="E131" s="65">
        <f t="shared" si="21"/>
        <v>0</v>
      </c>
      <c r="Q131" s="144"/>
      <c r="Z131" s="144"/>
      <c r="AA131" s="144"/>
      <c r="AB131" s="144"/>
      <c r="AC131" s="144"/>
      <c r="AD131" s="144"/>
      <c r="AE131" s="144"/>
      <c r="AF131" s="144"/>
      <c r="AH131" s="144"/>
      <c r="AJ131" s="144"/>
    </row>
    <row r="132" spans="1:36" s="56" customFormat="1" x14ac:dyDescent="0.2">
      <c r="A132" s="67"/>
      <c r="B132" s="66"/>
      <c r="C132" s="65">
        <f t="shared" si="22"/>
        <v>0</v>
      </c>
      <c r="D132" s="49"/>
      <c r="E132" s="65">
        <f t="shared" si="21"/>
        <v>0</v>
      </c>
      <c r="Q132" s="144"/>
      <c r="Z132" s="144"/>
      <c r="AA132" s="144"/>
      <c r="AB132" s="144"/>
      <c r="AC132" s="144"/>
      <c r="AD132" s="144"/>
      <c r="AE132" s="144"/>
      <c r="AF132" s="144"/>
      <c r="AH132" s="144"/>
      <c r="AJ132" s="144"/>
    </row>
    <row r="133" spans="1:36" s="56" customFormat="1" x14ac:dyDescent="0.2">
      <c r="A133" s="67"/>
      <c r="B133" s="66"/>
      <c r="C133" s="65">
        <f t="shared" si="22"/>
        <v>0</v>
      </c>
      <c r="D133" s="49"/>
      <c r="E133" s="65">
        <f t="shared" si="21"/>
        <v>0</v>
      </c>
      <c r="Q133" s="144"/>
      <c r="Z133" s="144"/>
      <c r="AA133" s="144"/>
      <c r="AB133" s="144"/>
      <c r="AC133" s="144"/>
      <c r="AD133" s="144"/>
      <c r="AE133" s="144"/>
      <c r="AF133" s="144"/>
      <c r="AH133" s="144"/>
      <c r="AJ133" s="144"/>
    </row>
    <row r="134" spans="1:36" s="56" customFormat="1" x14ac:dyDescent="0.2">
      <c r="A134" s="67"/>
      <c r="B134" s="66"/>
      <c r="C134" s="65">
        <f t="shared" si="22"/>
        <v>0</v>
      </c>
      <c r="D134" s="49"/>
      <c r="E134" s="65">
        <f t="shared" si="21"/>
        <v>0</v>
      </c>
      <c r="Q134" s="144"/>
      <c r="Z134" s="144"/>
      <c r="AA134" s="144"/>
      <c r="AB134" s="144"/>
      <c r="AC134" s="144"/>
      <c r="AD134" s="144"/>
      <c r="AE134" s="144"/>
      <c r="AF134" s="144"/>
      <c r="AH134" s="144"/>
      <c r="AJ134" s="144"/>
    </row>
    <row r="135" spans="1:36" s="56" customFormat="1" x14ac:dyDescent="0.2">
      <c r="A135" s="67"/>
      <c r="B135" s="66"/>
      <c r="C135" s="65">
        <f t="shared" si="22"/>
        <v>0</v>
      </c>
      <c r="D135" s="49"/>
      <c r="E135" s="65">
        <f t="shared" si="21"/>
        <v>0</v>
      </c>
      <c r="Q135" s="144"/>
      <c r="Z135" s="144"/>
      <c r="AA135" s="144"/>
      <c r="AB135" s="144"/>
      <c r="AC135" s="144"/>
      <c r="AD135" s="144"/>
      <c r="AE135" s="144"/>
      <c r="AF135" s="144"/>
      <c r="AH135" s="144"/>
      <c r="AJ135" s="144"/>
    </row>
    <row r="136" spans="1:36" s="56" customFormat="1" x14ac:dyDescent="0.2">
      <c r="A136" s="67"/>
      <c r="B136" s="66"/>
      <c r="C136" s="65">
        <f t="shared" si="22"/>
        <v>0</v>
      </c>
      <c r="D136" s="49"/>
      <c r="E136" s="65">
        <f t="shared" si="21"/>
        <v>0</v>
      </c>
      <c r="Q136" s="144"/>
      <c r="Z136" s="144"/>
      <c r="AA136" s="144"/>
      <c r="AB136" s="144"/>
      <c r="AC136" s="144"/>
      <c r="AD136" s="144"/>
      <c r="AE136" s="144"/>
      <c r="AF136" s="144"/>
      <c r="AH136" s="144"/>
      <c r="AJ136" s="144"/>
    </row>
    <row r="137" spans="1:36" s="56" customFormat="1" x14ac:dyDescent="0.2">
      <c r="A137" s="67"/>
      <c r="B137" s="66"/>
      <c r="C137" s="65">
        <f t="shared" si="22"/>
        <v>0</v>
      </c>
      <c r="D137" s="49"/>
      <c r="E137" s="65">
        <f t="shared" si="21"/>
        <v>0</v>
      </c>
      <c r="Q137" s="144"/>
      <c r="Z137" s="144"/>
      <c r="AA137" s="144"/>
      <c r="AB137" s="144"/>
      <c r="AC137" s="144"/>
      <c r="AD137" s="144"/>
      <c r="AE137" s="144"/>
      <c r="AF137" s="144"/>
      <c r="AH137" s="144"/>
      <c r="AJ137" s="144"/>
    </row>
    <row r="138" spans="1:36" s="56" customFormat="1" x14ac:dyDescent="0.2">
      <c r="A138" s="67"/>
      <c r="B138" s="66"/>
      <c r="C138" s="65">
        <f t="shared" si="22"/>
        <v>0</v>
      </c>
      <c r="D138" s="49"/>
      <c r="E138" s="65">
        <f t="shared" si="21"/>
        <v>0</v>
      </c>
      <c r="Q138" s="144"/>
      <c r="Z138" s="144"/>
      <c r="AA138" s="144"/>
      <c r="AB138" s="144"/>
      <c r="AC138" s="144"/>
      <c r="AD138" s="144"/>
      <c r="AE138" s="144"/>
      <c r="AF138" s="144"/>
      <c r="AH138" s="144"/>
      <c r="AJ138" s="144"/>
    </row>
    <row r="139" spans="1:36" s="56" customFormat="1" x14ac:dyDescent="0.2">
      <c r="A139" s="67"/>
      <c r="B139" s="66"/>
      <c r="C139" s="65">
        <f t="shared" si="22"/>
        <v>0</v>
      </c>
      <c r="D139" s="49"/>
      <c r="E139" s="65">
        <f t="shared" si="21"/>
        <v>0</v>
      </c>
      <c r="Q139" s="144"/>
      <c r="Z139" s="144"/>
      <c r="AA139" s="144"/>
      <c r="AB139" s="144"/>
      <c r="AC139" s="144"/>
      <c r="AD139" s="144"/>
      <c r="AE139" s="144"/>
      <c r="AF139" s="144"/>
      <c r="AH139" s="144"/>
      <c r="AJ139" s="144"/>
    </row>
    <row r="140" spans="1:36" s="56" customFormat="1" x14ac:dyDescent="0.2">
      <c r="A140" s="67"/>
      <c r="B140" s="66"/>
      <c r="C140" s="65">
        <f t="shared" si="22"/>
        <v>0</v>
      </c>
      <c r="D140" s="49"/>
      <c r="E140" s="65">
        <f t="shared" ref="E140:E171" si="23">SUM(G140:HT140)</f>
        <v>0</v>
      </c>
      <c r="Q140" s="144"/>
      <c r="Z140" s="144"/>
      <c r="AA140" s="144"/>
      <c r="AB140" s="144"/>
      <c r="AC140" s="144"/>
      <c r="AD140" s="144"/>
      <c r="AE140" s="144"/>
      <c r="AF140" s="144"/>
      <c r="AH140" s="144"/>
      <c r="AJ140" s="144"/>
    </row>
    <row r="141" spans="1:36" s="56" customFormat="1" x14ac:dyDescent="0.2">
      <c r="A141" s="67"/>
      <c r="B141" s="66"/>
      <c r="C141" s="65">
        <f t="shared" si="22"/>
        <v>0</v>
      </c>
      <c r="D141" s="49"/>
      <c r="E141" s="65">
        <f t="shared" si="23"/>
        <v>0</v>
      </c>
      <c r="Q141" s="144"/>
      <c r="Z141" s="144"/>
      <c r="AA141" s="144"/>
      <c r="AB141" s="144"/>
      <c r="AC141" s="144"/>
      <c r="AD141" s="144"/>
      <c r="AE141" s="144"/>
      <c r="AF141" s="144"/>
      <c r="AH141" s="144"/>
      <c r="AJ141" s="144"/>
    </row>
    <row r="142" spans="1:36" s="56" customFormat="1" x14ac:dyDescent="0.2">
      <c r="A142" s="67"/>
      <c r="B142" s="66"/>
      <c r="C142" s="65">
        <f t="shared" si="22"/>
        <v>0</v>
      </c>
      <c r="D142" s="49"/>
      <c r="E142" s="65">
        <f t="shared" si="23"/>
        <v>0</v>
      </c>
      <c r="Q142" s="144"/>
      <c r="Z142" s="144"/>
      <c r="AA142" s="144"/>
      <c r="AB142" s="144"/>
      <c r="AC142" s="144"/>
      <c r="AD142" s="144"/>
      <c r="AE142" s="144"/>
      <c r="AF142" s="144"/>
      <c r="AH142" s="144"/>
      <c r="AJ142" s="144"/>
    </row>
    <row r="143" spans="1:36" s="56" customFormat="1" x14ac:dyDescent="0.2">
      <c r="A143" s="67"/>
      <c r="B143" s="66"/>
      <c r="C143" s="65">
        <f t="shared" si="22"/>
        <v>0</v>
      </c>
      <c r="D143" s="49"/>
      <c r="E143" s="65">
        <f t="shared" si="23"/>
        <v>0</v>
      </c>
      <c r="Q143" s="144"/>
      <c r="Z143" s="144"/>
      <c r="AA143" s="144"/>
      <c r="AB143" s="144"/>
      <c r="AC143" s="144"/>
      <c r="AD143" s="144"/>
      <c r="AE143" s="144"/>
      <c r="AF143" s="144"/>
      <c r="AH143" s="144"/>
      <c r="AJ143" s="144"/>
    </row>
    <row r="144" spans="1:36" s="56" customFormat="1" x14ac:dyDescent="0.2">
      <c r="A144" s="67"/>
      <c r="B144" s="66"/>
      <c r="C144" s="65">
        <f t="shared" si="22"/>
        <v>0</v>
      </c>
      <c r="D144" s="49"/>
      <c r="E144" s="65">
        <f t="shared" si="23"/>
        <v>0</v>
      </c>
      <c r="Q144" s="144"/>
      <c r="Z144" s="144"/>
      <c r="AA144" s="144"/>
      <c r="AB144" s="144"/>
      <c r="AC144" s="144"/>
      <c r="AD144" s="144"/>
      <c r="AE144" s="144"/>
      <c r="AF144" s="144"/>
      <c r="AH144" s="144"/>
      <c r="AJ144" s="144"/>
    </row>
    <row r="145" spans="1:36" s="56" customFormat="1" x14ac:dyDescent="0.2">
      <c r="A145" s="67"/>
      <c r="B145" s="66"/>
      <c r="C145" s="65">
        <f t="shared" si="22"/>
        <v>0</v>
      </c>
      <c r="D145" s="49"/>
      <c r="E145" s="65">
        <f t="shared" si="23"/>
        <v>0</v>
      </c>
      <c r="Q145" s="144"/>
      <c r="Z145" s="144"/>
      <c r="AA145" s="144"/>
      <c r="AB145" s="144"/>
      <c r="AC145" s="144"/>
      <c r="AD145" s="144"/>
      <c r="AE145" s="144"/>
      <c r="AF145" s="144"/>
      <c r="AH145" s="144"/>
      <c r="AJ145" s="144"/>
    </row>
    <row r="146" spans="1:36" s="56" customFormat="1" x14ac:dyDescent="0.2">
      <c r="A146" s="67"/>
      <c r="B146" s="66"/>
      <c r="C146" s="65">
        <f t="shared" si="22"/>
        <v>0</v>
      </c>
      <c r="D146" s="49"/>
      <c r="E146" s="65">
        <f t="shared" si="23"/>
        <v>0</v>
      </c>
      <c r="Q146" s="144"/>
      <c r="Z146" s="144"/>
      <c r="AA146" s="144"/>
      <c r="AB146" s="144"/>
      <c r="AC146" s="144"/>
      <c r="AD146" s="144"/>
      <c r="AE146" s="144"/>
      <c r="AF146" s="144"/>
      <c r="AH146" s="144"/>
      <c r="AJ146" s="144"/>
    </row>
    <row r="147" spans="1:36" s="56" customFormat="1" x14ac:dyDescent="0.2">
      <c r="A147" s="67"/>
      <c r="B147" s="66"/>
      <c r="C147" s="65">
        <f t="shared" si="22"/>
        <v>0</v>
      </c>
      <c r="D147" s="49"/>
      <c r="E147" s="65">
        <f t="shared" si="23"/>
        <v>0</v>
      </c>
      <c r="Q147" s="144"/>
      <c r="Z147" s="144"/>
      <c r="AA147" s="144"/>
      <c r="AB147" s="144"/>
      <c r="AC147" s="144"/>
      <c r="AD147" s="144"/>
      <c r="AE147" s="144"/>
      <c r="AF147" s="144"/>
      <c r="AH147" s="144"/>
      <c r="AJ147" s="144"/>
    </row>
    <row r="148" spans="1:36" s="56" customFormat="1" x14ac:dyDescent="0.2">
      <c r="A148" s="67"/>
      <c r="B148" s="66"/>
      <c r="C148" s="65">
        <f t="shared" si="22"/>
        <v>0</v>
      </c>
      <c r="D148" s="49"/>
      <c r="E148" s="65">
        <f t="shared" si="23"/>
        <v>0</v>
      </c>
      <c r="Q148" s="144"/>
      <c r="Z148" s="144"/>
      <c r="AA148" s="144"/>
      <c r="AB148" s="144"/>
      <c r="AC148" s="144"/>
      <c r="AD148" s="144"/>
      <c r="AE148" s="144"/>
      <c r="AF148" s="144"/>
      <c r="AH148" s="144"/>
      <c r="AJ148" s="144"/>
    </row>
    <row r="149" spans="1:36" s="56" customFormat="1" x14ac:dyDescent="0.2">
      <c r="A149" s="67"/>
      <c r="B149" s="66"/>
      <c r="C149" s="65">
        <f t="shared" si="22"/>
        <v>0</v>
      </c>
      <c r="D149" s="49"/>
      <c r="E149" s="65">
        <f t="shared" si="23"/>
        <v>0</v>
      </c>
      <c r="Q149" s="144"/>
      <c r="Z149" s="144"/>
      <c r="AA149" s="144"/>
      <c r="AB149" s="144"/>
      <c r="AC149" s="144"/>
      <c r="AD149" s="144"/>
      <c r="AE149" s="144"/>
      <c r="AF149" s="144"/>
      <c r="AH149" s="144"/>
      <c r="AJ149" s="144"/>
    </row>
    <row r="150" spans="1:36" s="56" customFormat="1" x14ac:dyDescent="0.2">
      <c r="A150" s="67"/>
      <c r="B150" s="66"/>
      <c r="C150" s="65">
        <f t="shared" si="22"/>
        <v>0</v>
      </c>
      <c r="D150" s="49"/>
      <c r="E150" s="65">
        <f t="shared" si="23"/>
        <v>0</v>
      </c>
      <c r="Q150" s="144"/>
      <c r="Z150" s="144"/>
      <c r="AA150" s="144"/>
      <c r="AB150" s="144"/>
      <c r="AC150" s="144"/>
      <c r="AD150" s="144"/>
      <c r="AE150" s="144"/>
      <c r="AF150" s="144"/>
      <c r="AH150" s="144"/>
      <c r="AJ150" s="144"/>
    </row>
    <row r="151" spans="1:36" s="56" customFormat="1" x14ac:dyDescent="0.2">
      <c r="A151" s="67"/>
      <c r="B151" s="66"/>
      <c r="C151" s="65">
        <f t="shared" si="22"/>
        <v>0</v>
      </c>
      <c r="D151" s="49"/>
      <c r="E151" s="65">
        <f t="shared" si="23"/>
        <v>0</v>
      </c>
      <c r="Q151" s="144"/>
      <c r="Z151" s="144"/>
      <c r="AA151" s="144"/>
      <c r="AB151" s="144"/>
      <c r="AC151" s="144"/>
      <c r="AD151" s="144"/>
      <c r="AE151" s="144"/>
      <c r="AF151" s="144"/>
      <c r="AH151" s="144"/>
      <c r="AJ151" s="144"/>
    </row>
    <row r="152" spans="1:36" s="56" customFormat="1" x14ac:dyDescent="0.2">
      <c r="A152" s="67"/>
      <c r="B152" s="66"/>
      <c r="C152" s="65">
        <f t="shared" si="22"/>
        <v>0</v>
      </c>
      <c r="D152" s="49"/>
      <c r="E152" s="65">
        <f t="shared" si="23"/>
        <v>0</v>
      </c>
      <c r="Q152" s="144"/>
      <c r="Z152" s="144"/>
      <c r="AA152" s="144"/>
      <c r="AB152" s="144"/>
      <c r="AC152" s="144"/>
      <c r="AD152" s="144"/>
      <c r="AE152" s="144"/>
      <c r="AF152" s="144"/>
      <c r="AH152" s="144"/>
      <c r="AJ152" s="144"/>
    </row>
    <row r="153" spans="1:36" s="56" customFormat="1" x14ac:dyDescent="0.2">
      <c r="A153" s="67"/>
      <c r="B153" s="66"/>
      <c r="C153" s="65">
        <f t="shared" si="22"/>
        <v>0</v>
      </c>
      <c r="D153" s="49"/>
      <c r="E153" s="65">
        <f t="shared" si="23"/>
        <v>0</v>
      </c>
      <c r="Q153" s="144"/>
      <c r="Z153" s="144"/>
      <c r="AA153" s="144"/>
      <c r="AB153" s="144"/>
      <c r="AC153" s="144"/>
      <c r="AD153" s="144"/>
      <c r="AE153" s="144"/>
      <c r="AF153" s="144"/>
      <c r="AH153" s="144"/>
      <c r="AJ153" s="144"/>
    </row>
    <row r="154" spans="1:36" s="56" customFormat="1" x14ac:dyDescent="0.2">
      <c r="A154" s="67"/>
      <c r="B154" s="66"/>
      <c r="C154" s="65">
        <f t="shared" si="22"/>
        <v>0</v>
      </c>
      <c r="D154" s="49"/>
      <c r="E154" s="65">
        <f t="shared" si="23"/>
        <v>0</v>
      </c>
      <c r="Q154" s="144"/>
      <c r="Z154" s="144"/>
      <c r="AA154" s="144"/>
      <c r="AB154" s="144"/>
      <c r="AC154" s="144"/>
      <c r="AD154" s="144"/>
      <c r="AE154" s="144"/>
      <c r="AF154" s="144"/>
      <c r="AH154" s="144"/>
      <c r="AJ154" s="144"/>
    </row>
    <row r="155" spans="1:36" s="56" customFormat="1" x14ac:dyDescent="0.2">
      <c r="A155" s="67"/>
      <c r="B155" s="66"/>
      <c r="C155" s="65">
        <f t="shared" si="22"/>
        <v>0</v>
      </c>
      <c r="D155" s="49"/>
      <c r="E155" s="65">
        <f t="shared" si="23"/>
        <v>0</v>
      </c>
      <c r="Q155" s="144"/>
      <c r="Z155" s="144"/>
      <c r="AA155" s="144"/>
      <c r="AB155" s="144"/>
      <c r="AC155" s="144"/>
      <c r="AD155" s="144"/>
      <c r="AE155" s="144"/>
      <c r="AF155" s="144"/>
      <c r="AH155" s="144"/>
      <c r="AJ155" s="144"/>
    </row>
    <row r="156" spans="1:36" s="56" customFormat="1" x14ac:dyDescent="0.2">
      <c r="A156" s="67"/>
      <c r="B156" s="66"/>
      <c r="C156" s="65">
        <f t="shared" si="22"/>
        <v>0</v>
      </c>
      <c r="D156" s="49"/>
      <c r="E156" s="65">
        <f t="shared" si="23"/>
        <v>0</v>
      </c>
      <c r="Q156" s="144"/>
      <c r="Z156" s="144"/>
      <c r="AA156" s="144"/>
      <c r="AB156" s="144"/>
      <c r="AC156" s="144"/>
      <c r="AD156" s="144"/>
      <c r="AE156" s="144"/>
      <c r="AF156" s="144"/>
      <c r="AH156" s="144"/>
      <c r="AJ156" s="144"/>
    </row>
    <row r="157" spans="1:36" s="56" customFormat="1" x14ac:dyDescent="0.2">
      <c r="A157" s="67"/>
      <c r="B157" s="66"/>
      <c r="C157" s="65">
        <f t="shared" si="22"/>
        <v>0</v>
      </c>
      <c r="D157" s="49"/>
      <c r="E157" s="65">
        <f t="shared" si="23"/>
        <v>0</v>
      </c>
      <c r="Q157" s="144"/>
      <c r="Z157" s="144"/>
      <c r="AA157" s="144"/>
      <c r="AB157" s="144"/>
      <c r="AC157" s="144"/>
      <c r="AD157" s="144"/>
      <c r="AE157" s="144"/>
      <c r="AF157" s="144"/>
      <c r="AH157" s="144"/>
      <c r="AJ157" s="144"/>
    </row>
    <row r="158" spans="1:36" s="56" customFormat="1" x14ac:dyDescent="0.2">
      <c r="A158" s="67"/>
      <c r="B158" s="66"/>
      <c r="C158" s="65">
        <f t="shared" si="22"/>
        <v>0</v>
      </c>
      <c r="D158" s="49"/>
      <c r="E158" s="65">
        <f t="shared" si="23"/>
        <v>0</v>
      </c>
      <c r="Q158" s="144"/>
      <c r="Z158" s="144"/>
      <c r="AA158" s="144"/>
      <c r="AB158" s="144"/>
      <c r="AC158" s="144"/>
      <c r="AD158" s="144"/>
      <c r="AE158" s="144"/>
      <c r="AF158" s="144"/>
      <c r="AH158" s="144"/>
      <c r="AJ158" s="144"/>
    </row>
    <row r="159" spans="1:36" s="56" customFormat="1" x14ac:dyDescent="0.2">
      <c r="A159" s="67"/>
      <c r="B159" s="66"/>
      <c r="C159" s="65">
        <f t="shared" si="22"/>
        <v>0</v>
      </c>
      <c r="D159" s="49"/>
      <c r="E159" s="65">
        <f t="shared" si="23"/>
        <v>0</v>
      </c>
      <c r="Q159" s="144"/>
      <c r="Z159" s="144"/>
      <c r="AA159" s="144"/>
      <c r="AB159" s="144"/>
      <c r="AC159" s="144"/>
      <c r="AD159" s="144"/>
      <c r="AE159" s="144"/>
      <c r="AF159" s="144"/>
      <c r="AH159" s="144"/>
      <c r="AJ159" s="144"/>
    </row>
    <row r="160" spans="1:36" s="56" customFormat="1" x14ac:dyDescent="0.2">
      <c r="A160" s="67"/>
      <c r="B160" s="66"/>
      <c r="C160" s="65">
        <f t="shared" ref="C160:C191" si="24">E160*D$5</f>
        <v>0</v>
      </c>
      <c r="D160" s="49"/>
      <c r="E160" s="65">
        <f t="shared" si="23"/>
        <v>0</v>
      </c>
      <c r="Q160" s="144"/>
      <c r="Z160" s="144"/>
      <c r="AA160" s="144"/>
      <c r="AB160" s="144"/>
      <c r="AC160" s="144"/>
      <c r="AD160" s="144"/>
      <c r="AE160" s="144"/>
      <c r="AF160" s="144"/>
      <c r="AH160" s="144"/>
      <c r="AJ160" s="144"/>
    </row>
    <row r="161" spans="1:36" s="56" customFormat="1" x14ac:dyDescent="0.2">
      <c r="A161" s="67"/>
      <c r="B161" s="66"/>
      <c r="C161" s="65">
        <f t="shared" si="24"/>
        <v>0</v>
      </c>
      <c r="D161" s="49"/>
      <c r="E161" s="65">
        <f t="shared" si="23"/>
        <v>0</v>
      </c>
      <c r="Q161" s="144"/>
      <c r="Z161" s="144"/>
      <c r="AA161" s="144"/>
      <c r="AB161" s="144"/>
      <c r="AC161" s="144"/>
      <c r="AD161" s="144"/>
      <c r="AE161" s="144"/>
      <c r="AF161" s="144"/>
      <c r="AH161" s="144"/>
      <c r="AJ161" s="144"/>
    </row>
    <row r="162" spans="1:36" s="56" customFormat="1" x14ac:dyDescent="0.2">
      <c r="A162" s="67"/>
      <c r="B162" s="66"/>
      <c r="C162" s="65">
        <f t="shared" si="24"/>
        <v>0</v>
      </c>
      <c r="D162" s="49"/>
      <c r="E162" s="65">
        <f t="shared" si="23"/>
        <v>0</v>
      </c>
      <c r="Q162" s="144"/>
      <c r="Z162" s="144"/>
      <c r="AA162" s="144"/>
      <c r="AB162" s="144"/>
      <c r="AC162" s="144"/>
      <c r="AD162" s="144"/>
      <c r="AE162" s="144"/>
      <c r="AF162" s="144"/>
      <c r="AH162" s="144"/>
      <c r="AJ162" s="144"/>
    </row>
    <row r="163" spans="1:36" s="56" customFormat="1" x14ac:dyDescent="0.2">
      <c r="A163" s="67"/>
      <c r="B163" s="66"/>
      <c r="C163" s="65">
        <f t="shared" si="24"/>
        <v>0</v>
      </c>
      <c r="D163" s="49"/>
      <c r="E163" s="65">
        <f t="shared" si="23"/>
        <v>0</v>
      </c>
      <c r="Q163" s="144"/>
      <c r="Z163" s="144"/>
      <c r="AA163" s="144"/>
      <c r="AB163" s="144"/>
      <c r="AC163" s="144"/>
      <c r="AD163" s="144"/>
      <c r="AE163" s="144"/>
      <c r="AF163" s="144"/>
      <c r="AH163" s="144"/>
      <c r="AJ163" s="144"/>
    </row>
    <row r="164" spans="1:36" s="56" customFormat="1" x14ac:dyDescent="0.2">
      <c r="A164" s="67"/>
      <c r="B164" s="66"/>
      <c r="C164" s="65">
        <f t="shared" si="24"/>
        <v>0</v>
      </c>
      <c r="D164" s="49"/>
      <c r="E164" s="65">
        <f t="shared" si="23"/>
        <v>0</v>
      </c>
      <c r="Q164" s="144"/>
      <c r="Z164" s="144"/>
      <c r="AA164" s="144"/>
      <c r="AB164" s="144"/>
      <c r="AC164" s="144"/>
      <c r="AD164" s="144"/>
      <c r="AE164" s="144"/>
      <c r="AF164" s="144"/>
      <c r="AH164" s="144"/>
      <c r="AJ164" s="144"/>
    </row>
    <row r="165" spans="1:36" s="56" customFormat="1" x14ac:dyDescent="0.2">
      <c r="A165" s="67"/>
      <c r="B165" s="66"/>
      <c r="C165" s="65">
        <f t="shared" si="24"/>
        <v>0</v>
      </c>
      <c r="D165" s="49"/>
      <c r="E165" s="65">
        <f t="shared" si="23"/>
        <v>0</v>
      </c>
      <c r="Q165" s="144"/>
      <c r="Z165" s="144"/>
      <c r="AA165" s="144"/>
      <c r="AB165" s="144"/>
      <c r="AC165" s="144"/>
      <c r="AD165" s="144"/>
      <c r="AE165" s="144"/>
      <c r="AF165" s="144"/>
      <c r="AH165" s="144"/>
      <c r="AJ165" s="144"/>
    </row>
    <row r="166" spans="1:36" s="56" customFormat="1" x14ac:dyDescent="0.2">
      <c r="A166" s="67"/>
      <c r="B166" s="66"/>
      <c r="C166" s="65">
        <f t="shared" si="24"/>
        <v>0</v>
      </c>
      <c r="D166" s="49"/>
      <c r="E166" s="65">
        <f t="shared" si="23"/>
        <v>0</v>
      </c>
      <c r="Q166" s="144"/>
      <c r="Z166" s="144"/>
      <c r="AA166" s="144"/>
      <c r="AB166" s="144"/>
      <c r="AC166" s="144"/>
      <c r="AD166" s="144"/>
      <c r="AE166" s="144"/>
      <c r="AF166" s="144"/>
      <c r="AH166" s="144"/>
      <c r="AJ166" s="144"/>
    </row>
    <row r="167" spans="1:36" s="56" customFormat="1" x14ac:dyDescent="0.2">
      <c r="A167" s="67"/>
      <c r="B167" s="66"/>
      <c r="C167" s="65">
        <f t="shared" si="24"/>
        <v>0</v>
      </c>
      <c r="D167" s="49"/>
      <c r="E167" s="65">
        <f t="shared" si="23"/>
        <v>0</v>
      </c>
      <c r="Q167" s="144"/>
      <c r="Z167" s="144"/>
      <c r="AA167" s="144"/>
      <c r="AB167" s="144"/>
      <c r="AC167" s="144"/>
      <c r="AD167" s="144"/>
      <c r="AE167" s="144"/>
      <c r="AF167" s="144"/>
      <c r="AH167" s="144"/>
      <c r="AJ167" s="144"/>
    </row>
    <row r="168" spans="1:36" s="56" customFormat="1" x14ac:dyDescent="0.2">
      <c r="A168" s="67"/>
      <c r="B168" s="66"/>
      <c r="C168" s="65">
        <f t="shared" si="24"/>
        <v>0</v>
      </c>
      <c r="D168" s="49"/>
      <c r="E168" s="65">
        <f t="shared" si="23"/>
        <v>0</v>
      </c>
      <c r="Q168" s="144"/>
      <c r="Z168" s="144"/>
      <c r="AA168" s="144"/>
      <c r="AB168" s="144"/>
      <c r="AC168" s="144"/>
      <c r="AD168" s="144"/>
      <c r="AE168" s="144"/>
      <c r="AF168" s="144"/>
      <c r="AH168" s="144"/>
      <c r="AJ168" s="144"/>
    </row>
    <row r="169" spans="1:36" s="56" customFormat="1" x14ac:dyDescent="0.2">
      <c r="A169" s="67"/>
      <c r="B169" s="66"/>
      <c r="C169" s="65">
        <f t="shared" si="24"/>
        <v>0</v>
      </c>
      <c r="D169" s="49"/>
      <c r="E169" s="65">
        <f t="shared" si="23"/>
        <v>0</v>
      </c>
      <c r="Q169" s="144"/>
      <c r="Z169" s="144"/>
      <c r="AA169" s="144"/>
      <c r="AB169" s="144"/>
      <c r="AC169" s="144"/>
      <c r="AD169" s="144"/>
      <c r="AE169" s="144"/>
      <c r="AF169" s="144"/>
      <c r="AH169" s="144"/>
      <c r="AJ169" s="144"/>
    </row>
    <row r="170" spans="1:36" s="56" customFormat="1" x14ac:dyDescent="0.2">
      <c r="A170" s="67"/>
      <c r="B170" s="66"/>
      <c r="C170" s="65">
        <f t="shared" si="24"/>
        <v>0</v>
      </c>
      <c r="D170" s="49"/>
      <c r="E170" s="65">
        <f t="shared" si="23"/>
        <v>0</v>
      </c>
      <c r="Q170" s="144"/>
      <c r="Z170" s="144"/>
      <c r="AA170" s="144"/>
      <c r="AB170" s="144"/>
      <c r="AC170" s="144"/>
      <c r="AD170" s="144"/>
      <c r="AE170" s="144"/>
      <c r="AF170" s="144"/>
      <c r="AH170" s="144"/>
      <c r="AJ170" s="144"/>
    </row>
    <row r="171" spans="1:36" s="56" customFormat="1" x14ac:dyDescent="0.2">
      <c r="A171" s="67"/>
      <c r="B171" s="66"/>
      <c r="C171" s="65">
        <f t="shared" si="24"/>
        <v>0</v>
      </c>
      <c r="D171" s="49"/>
      <c r="E171" s="65">
        <f t="shared" si="23"/>
        <v>0</v>
      </c>
      <c r="Q171" s="144"/>
      <c r="Z171" s="144"/>
      <c r="AA171" s="144"/>
      <c r="AB171" s="144"/>
      <c r="AC171" s="144"/>
      <c r="AD171" s="144"/>
      <c r="AE171" s="144"/>
      <c r="AF171" s="144"/>
      <c r="AH171" s="144"/>
      <c r="AJ171" s="144"/>
    </row>
    <row r="172" spans="1:36" s="56" customFormat="1" x14ac:dyDescent="0.2">
      <c r="A172" s="67"/>
      <c r="B172" s="66"/>
      <c r="C172" s="65">
        <f t="shared" si="24"/>
        <v>0</v>
      </c>
      <c r="D172" s="49"/>
      <c r="E172" s="65">
        <f t="shared" ref="E172:E205" si="25">SUM(G172:HT172)</f>
        <v>0</v>
      </c>
      <c r="Q172" s="144"/>
      <c r="Z172" s="144"/>
      <c r="AA172" s="144"/>
      <c r="AB172" s="144"/>
      <c r="AC172" s="144"/>
      <c r="AD172" s="144"/>
      <c r="AE172" s="144"/>
      <c r="AF172" s="144"/>
      <c r="AH172" s="144"/>
      <c r="AJ172" s="144"/>
    </row>
    <row r="173" spans="1:36" s="56" customFormat="1" x14ac:dyDescent="0.2">
      <c r="A173" s="67"/>
      <c r="B173" s="66"/>
      <c r="C173" s="65">
        <f t="shared" si="24"/>
        <v>0</v>
      </c>
      <c r="D173" s="49"/>
      <c r="E173" s="65">
        <f t="shared" si="25"/>
        <v>0</v>
      </c>
      <c r="Q173" s="144"/>
      <c r="Z173" s="144"/>
      <c r="AA173" s="144"/>
      <c r="AB173" s="144"/>
      <c r="AC173" s="144"/>
      <c r="AD173" s="144"/>
      <c r="AE173" s="144"/>
      <c r="AF173" s="144"/>
      <c r="AH173" s="144"/>
      <c r="AJ173" s="144"/>
    </row>
    <row r="174" spans="1:36" s="56" customFormat="1" x14ac:dyDescent="0.2">
      <c r="A174" s="67"/>
      <c r="B174" s="66"/>
      <c r="C174" s="65">
        <f t="shared" si="24"/>
        <v>0</v>
      </c>
      <c r="D174" s="49"/>
      <c r="E174" s="65">
        <f t="shared" si="25"/>
        <v>0</v>
      </c>
      <c r="Q174" s="144"/>
      <c r="Z174" s="144"/>
      <c r="AA174" s="144"/>
      <c r="AB174" s="144"/>
      <c r="AC174" s="144"/>
      <c r="AD174" s="144"/>
      <c r="AE174" s="144"/>
      <c r="AF174" s="144"/>
      <c r="AH174" s="144"/>
      <c r="AJ174" s="144"/>
    </row>
    <row r="175" spans="1:36" s="56" customFormat="1" x14ac:dyDescent="0.2">
      <c r="A175" s="67"/>
      <c r="B175" s="66"/>
      <c r="C175" s="65">
        <f t="shared" si="24"/>
        <v>0</v>
      </c>
      <c r="D175" s="49"/>
      <c r="E175" s="65">
        <f t="shared" si="25"/>
        <v>0</v>
      </c>
      <c r="Q175" s="144"/>
      <c r="Z175" s="144"/>
      <c r="AA175" s="144"/>
      <c r="AB175" s="144"/>
      <c r="AC175" s="144"/>
      <c r="AD175" s="144"/>
      <c r="AE175" s="144"/>
      <c r="AF175" s="144"/>
      <c r="AH175" s="144"/>
      <c r="AJ175" s="144"/>
    </row>
    <row r="176" spans="1:36" s="56" customFormat="1" x14ac:dyDescent="0.2">
      <c r="A176" s="67"/>
      <c r="B176" s="66"/>
      <c r="C176" s="65">
        <f t="shared" si="24"/>
        <v>0</v>
      </c>
      <c r="D176" s="49"/>
      <c r="E176" s="65">
        <f t="shared" si="25"/>
        <v>0</v>
      </c>
      <c r="Q176" s="144"/>
      <c r="Z176" s="144"/>
      <c r="AA176" s="144"/>
      <c r="AB176" s="144"/>
      <c r="AC176" s="144"/>
      <c r="AD176" s="144"/>
      <c r="AE176" s="144"/>
      <c r="AF176" s="144"/>
      <c r="AH176" s="144"/>
      <c r="AJ176" s="144"/>
    </row>
    <row r="177" spans="1:36" s="56" customFormat="1" x14ac:dyDescent="0.2">
      <c r="A177" s="67"/>
      <c r="B177" s="66"/>
      <c r="C177" s="65">
        <f t="shared" si="24"/>
        <v>0</v>
      </c>
      <c r="D177" s="49"/>
      <c r="E177" s="65">
        <f t="shared" si="25"/>
        <v>0</v>
      </c>
      <c r="Q177" s="144"/>
      <c r="Z177" s="144"/>
      <c r="AA177" s="144"/>
      <c r="AB177" s="144"/>
      <c r="AC177" s="144"/>
      <c r="AD177" s="144"/>
      <c r="AE177" s="144"/>
      <c r="AF177" s="144"/>
      <c r="AH177" s="144"/>
      <c r="AJ177" s="144"/>
    </row>
    <row r="178" spans="1:36" s="56" customFormat="1" x14ac:dyDescent="0.2">
      <c r="A178" s="67"/>
      <c r="B178" s="66"/>
      <c r="C178" s="65">
        <f t="shared" si="24"/>
        <v>0</v>
      </c>
      <c r="D178" s="49"/>
      <c r="E178" s="65">
        <f t="shared" si="25"/>
        <v>0</v>
      </c>
      <c r="Q178" s="144"/>
      <c r="Z178" s="144"/>
      <c r="AA178" s="144"/>
      <c r="AB178" s="144"/>
      <c r="AC178" s="144"/>
      <c r="AD178" s="144"/>
      <c r="AE178" s="144"/>
      <c r="AF178" s="144"/>
      <c r="AH178" s="144"/>
      <c r="AJ178" s="144"/>
    </row>
    <row r="179" spans="1:36" s="56" customFormat="1" x14ac:dyDescent="0.2">
      <c r="A179" s="67"/>
      <c r="B179" s="66"/>
      <c r="C179" s="65">
        <f t="shared" si="24"/>
        <v>0</v>
      </c>
      <c r="D179" s="49"/>
      <c r="E179" s="65">
        <f t="shared" si="25"/>
        <v>0</v>
      </c>
      <c r="Q179" s="144"/>
      <c r="Z179" s="144"/>
      <c r="AA179" s="144"/>
      <c r="AB179" s="144"/>
      <c r="AC179" s="144"/>
      <c r="AD179" s="144"/>
      <c r="AE179" s="144"/>
      <c r="AF179" s="144"/>
      <c r="AH179" s="144"/>
      <c r="AJ179" s="144"/>
    </row>
    <row r="180" spans="1:36" s="56" customFormat="1" x14ac:dyDescent="0.2">
      <c r="A180" s="67"/>
      <c r="B180" s="66"/>
      <c r="C180" s="65">
        <f t="shared" si="24"/>
        <v>0</v>
      </c>
      <c r="D180" s="49"/>
      <c r="E180" s="65">
        <f t="shared" si="25"/>
        <v>0</v>
      </c>
      <c r="Q180" s="144"/>
      <c r="Z180" s="144"/>
      <c r="AA180" s="144"/>
      <c r="AB180" s="144"/>
      <c r="AC180" s="144"/>
      <c r="AD180" s="144"/>
      <c r="AE180" s="144"/>
      <c r="AF180" s="144"/>
      <c r="AH180" s="144"/>
      <c r="AJ180" s="144"/>
    </row>
    <row r="181" spans="1:36" s="56" customFormat="1" x14ac:dyDescent="0.2">
      <c r="A181" s="67"/>
      <c r="B181" s="66"/>
      <c r="C181" s="65">
        <f t="shared" si="24"/>
        <v>0</v>
      </c>
      <c r="D181" s="49"/>
      <c r="E181" s="65">
        <f t="shared" si="25"/>
        <v>0</v>
      </c>
      <c r="Q181" s="144"/>
      <c r="Z181" s="144"/>
      <c r="AA181" s="144"/>
      <c r="AB181" s="144"/>
      <c r="AC181" s="144"/>
      <c r="AD181" s="144"/>
      <c r="AE181" s="144"/>
      <c r="AF181" s="144"/>
      <c r="AH181" s="144"/>
      <c r="AJ181" s="144"/>
    </row>
    <row r="182" spans="1:36" s="56" customFormat="1" x14ac:dyDescent="0.2">
      <c r="A182" s="67"/>
      <c r="B182" s="66"/>
      <c r="C182" s="65">
        <f t="shared" si="24"/>
        <v>0</v>
      </c>
      <c r="D182" s="49"/>
      <c r="E182" s="65">
        <f t="shared" si="25"/>
        <v>0</v>
      </c>
      <c r="Q182" s="144"/>
      <c r="Z182" s="144"/>
      <c r="AA182" s="144"/>
      <c r="AB182" s="144"/>
      <c r="AC182" s="144"/>
      <c r="AD182" s="144"/>
      <c r="AE182" s="144"/>
      <c r="AF182" s="144"/>
      <c r="AH182" s="144"/>
      <c r="AJ182" s="144"/>
    </row>
    <row r="183" spans="1:36" s="56" customFormat="1" x14ac:dyDescent="0.2">
      <c r="A183" s="67"/>
      <c r="B183" s="66"/>
      <c r="C183" s="65">
        <f t="shared" si="24"/>
        <v>0</v>
      </c>
      <c r="D183" s="49"/>
      <c r="E183" s="65">
        <f t="shared" si="25"/>
        <v>0</v>
      </c>
      <c r="Q183" s="144"/>
      <c r="Z183" s="144"/>
      <c r="AA183" s="144"/>
      <c r="AB183" s="144"/>
      <c r="AC183" s="144"/>
      <c r="AD183" s="144"/>
      <c r="AE183" s="144"/>
      <c r="AF183" s="144"/>
      <c r="AH183" s="144"/>
      <c r="AJ183" s="144"/>
    </row>
    <row r="184" spans="1:36" s="56" customFormat="1" x14ac:dyDescent="0.2">
      <c r="A184" s="67"/>
      <c r="B184" s="66"/>
      <c r="C184" s="65">
        <f t="shared" si="24"/>
        <v>0</v>
      </c>
      <c r="D184" s="49"/>
      <c r="E184" s="65">
        <f t="shared" si="25"/>
        <v>0</v>
      </c>
      <c r="Q184" s="144"/>
      <c r="Z184" s="144"/>
      <c r="AA184" s="144"/>
      <c r="AB184" s="144"/>
      <c r="AC184" s="144"/>
      <c r="AD184" s="144"/>
      <c r="AE184" s="144"/>
      <c r="AF184" s="144"/>
      <c r="AH184" s="144"/>
      <c r="AJ184" s="144"/>
    </row>
    <row r="185" spans="1:36" s="56" customFormat="1" x14ac:dyDescent="0.2">
      <c r="A185" s="67"/>
      <c r="B185" s="66"/>
      <c r="C185" s="65">
        <f t="shared" si="24"/>
        <v>0</v>
      </c>
      <c r="D185" s="49"/>
      <c r="E185" s="65">
        <f t="shared" si="25"/>
        <v>0</v>
      </c>
      <c r="Q185" s="144"/>
      <c r="Z185" s="144"/>
      <c r="AA185" s="144"/>
      <c r="AB185" s="144"/>
      <c r="AC185" s="144"/>
      <c r="AD185" s="144"/>
      <c r="AE185" s="144"/>
      <c r="AF185" s="144"/>
      <c r="AH185" s="144"/>
      <c r="AJ185" s="144"/>
    </row>
    <row r="186" spans="1:36" s="56" customFormat="1" x14ac:dyDescent="0.2">
      <c r="A186" s="67"/>
      <c r="B186" s="66"/>
      <c r="C186" s="65">
        <f t="shared" si="24"/>
        <v>0</v>
      </c>
      <c r="D186" s="49"/>
      <c r="E186" s="65">
        <f t="shared" si="25"/>
        <v>0</v>
      </c>
      <c r="Q186" s="144"/>
      <c r="Z186" s="144"/>
      <c r="AA186" s="144"/>
      <c r="AB186" s="144"/>
      <c r="AC186" s="144"/>
      <c r="AD186" s="144"/>
      <c r="AE186" s="144"/>
      <c r="AF186" s="144"/>
      <c r="AH186" s="144"/>
      <c r="AJ186" s="144"/>
    </row>
    <row r="187" spans="1:36" s="56" customFormat="1" x14ac:dyDescent="0.2">
      <c r="A187" s="67"/>
      <c r="B187" s="66"/>
      <c r="C187" s="65">
        <f t="shared" si="24"/>
        <v>0</v>
      </c>
      <c r="D187" s="49"/>
      <c r="E187" s="65">
        <f t="shared" si="25"/>
        <v>0</v>
      </c>
      <c r="Q187" s="144"/>
      <c r="Z187" s="144"/>
      <c r="AA187" s="144"/>
      <c r="AB187" s="144"/>
      <c r="AC187" s="144"/>
      <c r="AD187" s="144"/>
      <c r="AE187" s="144"/>
      <c r="AF187" s="144"/>
      <c r="AH187" s="144"/>
      <c r="AJ187" s="144"/>
    </row>
    <row r="188" spans="1:36" s="56" customFormat="1" x14ac:dyDescent="0.2">
      <c r="A188" s="67"/>
      <c r="B188" s="66"/>
      <c r="C188" s="65">
        <f t="shared" si="24"/>
        <v>0</v>
      </c>
      <c r="D188" s="49"/>
      <c r="E188" s="65">
        <f t="shared" si="25"/>
        <v>0</v>
      </c>
      <c r="Q188" s="144"/>
      <c r="Z188" s="144"/>
      <c r="AA188" s="144"/>
      <c r="AB188" s="144"/>
      <c r="AC188" s="144"/>
      <c r="AD188" s="144"/>
      <c r="AE188" s="144"/>
      <c r="AF188" s="144"/>
      <c r="AH188" s="144"/>
      <c r="AJ188" s="144"/>
    </row>
    <row r="189" spans="1:36" s="56" customFormat="1" x14ac:dyDescent="0.2">
      <c r="A189" s="67"/>
      <c r="B189" s="66"/>
      <c r="C189" s="65">
        <f t="shared" si="24"/>
        <v>0</v>
      </c>
      <c r="D189" s="49"/>
      <c r="E189" s="65">
        <f t="shared" si="25"/>
        <v>0</v>
      </c>
      <c r="Q189" s="144"/>
      <c r="Z189" s="144"/>
      <c r="AA189" s="144"/>
      <c r="AB189" s="144"/>
      <c r="AC189" s="144"/>
      <c r="AD189" s="144"/>
      <c r="AE189" s="144"/>
      <c r="AF189" s="144"/>
      <c r="AH189" s="144"/>
      <c r="AJ189" s="144"/>
    </row>
    <row r="190" spans="1:36" s="56" customFormat="1" x14ac:dyDescent="0.2">
      <c r="A190" s="67"/>
      <c r="B190" s="66"/>
      <c r="C190" s="65">
        <f t="shared" si="24"/>
        <v>0</v>
      </c>
      <c r="D190" s="49"/>
      <c r="E190" s="65">
        <f t="shared" si="25"/>
        <v>0</v>
      </c>
      <c r="Q190" s="144"/>
      <c r="Z190" s="144"/>
      <c r="AA190" s="144"/>
      <c r="AB190" s="144"/>
      <c r="AC190" s="144"/>
      <c r="AD190" s="144"/>
      <c r="AE190" s="144"/>
      <c r="AF190" s="144"/>
      <c r="AH190" s="144"/>
      <c r="AJ190" s="144"/>
    </row>
    <row r="191" spans="1:36" s="56" customFormat="1" x14ac:dyDescent="0.2">
      <c r="A191" s="67"/>
      <c r="B191" s="66"/>
      <c r="C191" s="65">
        <f t="shared" si="24"/>
        <v>0</v>
      </c>
      <c r="D191" s="49"/>
      <c r="E191" s="65">
        <f t="shared" si="25"/>
        <v>0</v>
      </c>
      <c r="Q191" s="144"/>
      <c r="Z191" s="144"/>
      <c r="AA191" s="144"/>
      <c r="AB191" s="144"/>
      <c r="AC191" s="144"/>
      <c r="AD191" s="144"/>
      <c r="AE191" s="144"/>
      <c r="AF191" s="144"/>
      <c r="AH191" s="144"/>
      <c r="AJ191" s="144"/>
    </row>
    <row r="192" spans="1:36" s="56" customFormat="1" x14ac:dyDescent="0.2">
      <c r="A192" s="67"/>
      <c r="B192" s="66"/>
      <c r="C192" s="65">
        <f t="shared" ref="C192:C205" si="26">E192*D$5</f>
        <v>0</v>
      </c>
      <c r="D192" s="49"/>
      <c r="E192" s="65">
        <f t="shared" si="25"/>
        <v>0</v>
      </c>
      <c r="Q192" s="144"/>
      <c r="Z192" s="144"/>
      <c r="AA192" s="144"/>
      <c r="AB192" s="144"/>
      <c r="AC192" s="144"/>
      <c r="AD192" s="144"/>
      <c r="AE192" s="144"/>
      <c r="AF192" s="144"/>
      <c r="AH192" s="144"/>
      <c r="AJ192" s="144"/>
    </row>
    <row r="193" spans="1:36" s="56" customFormat="1" x14ac:dyDescent="0.2">
      <c r="A193" s="67"/>
      <c r="B193" s="66"/>
      <c r="C193" s="65">
        <f t="shared" si="26"/>
        <v>0</v>
      </c>
      <c r="D193" s="49"/>
      <c r="E193" s="65">
        <f t="shared" si="25"/>
        <v>0</v>
      </c>
      <c r="Q193" s="144"/>
      <c r="Z193" s="144"/>
      <c r="AA193" s="144"/>
      <c r="AB193" s="144"/>
      <c r="AC193" s="144"/>
      <c r="AD193" s="144"/>
      <c r="AE193" s="144"/>
      <c r="AF193" s="144"/>
      <c r="AH193" s="144"/>
      <c r="AJ193" s="144"/>
    </row>
    <row r="194" spans="1:36" s="56" customFormat="1" x14ac:dyDescent="0.2">
      <c r="A194" s="67"/>
      <c r="B194" s="66"/>
      <c r="C194" s="65">
        <f t="shared" si="26"/>
        <v>0</v>
      </c>
      <c r="D194" s="49"/>
      <c r="E194" s="65">
        <f t="shared" si="25"/>
        <v>0</v>
      </c>
      <c r="Q194" s="144"/>
      <c r="Z194" s="144"/>
      <c r="AA194" s="144"/>
      <c r="AB194" s="144"/>
      <c r="AC194" s="144"/>
      <c r="AD194" s="144"/>
      <c r="AE194" s="144"/>
      <c r="AF194" s="144"/>
      <c r="AH194" s="144"/>
      <c r="AJ194" s="144"/>
    </row>
    <row r="195" spans="1:36" s="56" customFormat="1" x14ac:dyDescent="0.2">
      <c r="A195" s="67"/>
      <c r="B195" s="66"/>
      <c r="C195" s="65">
        <f t="shared" si="26"/>
        <v>0</v>
      </c>
      <c r="D195" s="49"/>
      <c r="E195" s="65">
        <f t="shared" si="25"/>
        <v>0</v>
      </c>
      <c r="Q195" s="144"/>
      <c r="Z195" s="144"/>
      <c r="AA195" s="144"/>
      <c r="AB195" s="144"/>
      <c r="AC195" s="144"/>
      <c r="AD195" s="144"/>
      <c r="AE195" s="144"/>
      <c r="AF195" s="144"/>
      <c r="AH195" s="144"/>
      <c r="AJ195" s="144"/>
    </row>
    <row r="196" spans="1:36" s="56" customFormat="1" x14ac:dyDescent="0.2">
      <c r="A196" s="67"/>
      <c r="B196" s="66"/>
      <c r="C196" s="65">
        <f t="shared" si="26"/>
        <v>0</v>
      </c>
      <c r="D196" s="49"/>
      <c r="E196" s="65">
        <f t="shared" si="25"/>
        <v>0</v>
      </c>
      <c r="Q196" s="144"/>
      <c r="Z196" s="144"/>
      <c r="AA196" s="144"/>
      <c r="AB196" s="144"/>
      <c r="AC196" s="144"/>
      <c r="AD196" s="144"/>
      <c r="AE196" s="144"/>
      <c r="AF196" s="144"/>
      <c r="AH196" s="144"/>
      <c r="AJ196" s="144"/>
    </row>
    <row r="197" spans="1:36" s="56" customFormat="1" x14ac:dyDescent="0.2">
      <c r="A197" s="67"/>
      <c r="B197" s="66"/>
      <c r="C197" s="65">
        <f t="shared" si="26"/>
        <v>0</v>
      </c>
      <c r="D197" s="49"/>
      <c r="E197" s="65">
        <f t="shared" si="25"/>
        <v>0</v>
      </c>
      <c r="Q197" s="144"/>
      <c r="Z197" s="144"/>
      <c r="AA197" s="144"/>
      <c r="AB197" s="144"/>
      <c r="AC197" s="144"/>
      <c r="AD197" s="144"/>
      <c r="AE197" s="144"/>
      <c r="AF197" s="144"/>
      <c r="AH197" s="144"/>
      <c r="AJ197" s="144"/>
    </row>
    <row r="198" spans="1:36" s="56" customFormat="1" x14ac:dyDescent="0.2">
      <c r="A198" s="67"/>
      <c r="B198" s="66"/>
      <c r="C198" s="65">
        <f t="shared" si="26"/>
        <v>0</v>
      </c>
      <c r="D198" s="49"/>
      <c r="E198" s="65">
        <f t="shared" si="25"/>
        <v>0</v>
      </c>
      <c r="Q198" s="144"/>
      <c r="Z198" s="144"/>
      <c r="AA198" s="144"/>
      <c r="AB198" s="144"/>
      <c r="AC198" s="144"/>
      <c r="AD198" s="144"/>
      <c r="AE198" s="144"/>
      <c r="AF198" s="144"/>
      <c r="AH198" s="144"/>
      <c r="AJ198" s="144"/>
    </row>
    <row r="199" spans="1:36" s="56" customFormat="1" x14ac:dyDescent="0.2">
      <c r="A199" s="67"/>
      <c r="B199" s="66"/>
      <c r="C199" s="65">
        <f t="shared" si="26"/>
        <v>0</v>
      </c>
      <c r="D199" s="49"/>
      <c r="E199" s="65">
        <f t="shared" si="25"/>
        <v>0</v>
      </c>
      <c r="Q199" s="144"/>
      <c r="Z199" s="144"/>
      <c r="AA199" s="144"/>
      <c r="AB199" s="144"/>
      <c r="AC199" s="144"/>
      <c r="AD199" s="144"/>
      <c r="AE199" s="144"/>
      <c r="AF199" s="144"/>
      <c r="AH199" s="144"/>
      <c r="AJ199" s="144"/>
    </row>
    <row r="200" spans="1:36" s="56" customFormat="1" x14ac:dyDescent="0.2">
      <c r="A200" s="67"/>
      <c r="B200" s="66"/>
      <c r="C200" s="65">
        <f t="shared" si="26"/>
        <v>0</v>
      </c>
      <c r="D200" s="49"/>
      <c r="E200" s="65">
        <f t="shared" si="25"/>
        <v>0</v>
      </c>
      <c r="Q200" s="144"/>
      <c r="Z200" s="144"/>
      <c r="AA200" s="144"/>
      <c r="AB200" s="144"/>
      <c r="AC200" s="144"/>
      <c r="AD200" s="144"/>
      <c r="AE200" s="144"/>
      <c r="AF200" s="144"/>
      <c r="AH200" s="144"/>
      <c r="AJ200" s="144"/>
    </row>
    <row r="201" spans="1:36" s="56" customFormat="1" x14ac:dyDescent="0.2">
      <c r="A201" s="67"/>
      <c r="B201" s="66"/>
      <c r="C201" s="65">
        <f t="shared" si="26"/>
        <v>0</v>
      </c>
      <c r="D201" s="49"/>
      <c r="E201" s="65">
        <f t="shared" si="25"/>
        <v>0</v>
      </c>
      <c r="Q201" s="144"/>
      <c r="Z201" s="144"/>
      <c r="AA201" s="144"/>
      <c r="AB201" s="144"/>
      <c r="AC201" s="146"/>
      <c r="AD201" s="146"/>
      <c r="AE201" s="146"/>
      <c r="AF201" s="146"/>
      <c r="AH201" s="144"/>
      <c r="AJ201" s="144"/>
    </row>
    <row r="202" spans="1:36" s="56" customFormat="1" x14ac:dyDescent="0.2">
      <c r="A202" s="67"/>
      <c r="B202" s="66"/>
      <c r="C202" s="65">
        <f t="shared" si="26"/>
        <v>0</v>
      </c>
      <c r="D202" s="49"/>
      <c r="E202" s="65">
        <f t="shared" si="25"/>
        <v>0</v>
      </c>
      <c r="Q202" s="144"/>
      <c r="Z202" s="144"/>
      <c r="AA202" s="144"/>
      <c r="AB202" s="144"/>
      <c r="AC202" s="139"/>
      <c r="AD202" s="139"/>
      <c r="AE202" s="139"/>
      <c r="AF202" s="139"/>
      <c r="AH202" s="146"/>
      <c r="AJ202" s="144"/>
    </row>
    <row r="203" spans="1:36" s="56" customFormat="1" x14ac:dyDescent="0.2">
      <c r="A203" s="67"/>
      <c r="B203" s="66"/>
      <c r="C203" s="65">
        <f t="shared" si="26"/>
        <v>0</v>
      </c>
      <c r="D203" s="49"/>
      <c r="E203" s="65">
        <f t="shared" si="25"/>
        <v>0</v>
      </c>
      <c r="Q203" s="144"/>
      <c r="Z203" s="144"/>
      <c r="AA203" s="144"/>
      <c r="AB203" s="144"/>
      <c r="AC203" s="139"/>
      <c r="AD203" s="139"/>
      <c r="AE203" s="139"/>
      <c r="AF203" s="139"/>
      <c r="AH203" s="139"/>
      <c r="AJ203" s="144"/>
    </row>
    <row r="204" spans="1:36" s="56" customFormat="1" x14ac:dyDescent="0.2">
      <c r="A204" s="67"/>
      <c r="B204" s="66"/>
      <c r="C204" s="65">
        <f t="shared" si="26"/>
        <v>0</v>
      </c>
      <c r="D204" s="49"/>
      <c r="E204" s="65">
        <f t="shared" si="25"/>
        <v>0</v>
      </c>
      <c r="Q204" s="144"/>
      <c r="Z204" s="144"/>
      <c r="AA204" s="144"/>
      <c r="AB204" s="144"/>
      <c r="AC204" s="139"/>
      <c r="AD204" s="139"/>
      <c r="AE204" s="139"/>
      <c r="AF204" s="139"/>
      <c r="AH204" s="139"/>
      <c r="AJ204" s="144"/>
    </row>
    <row r="205" spans="1:36" s="56" customFormat="1" x14ac:dyDescent="0.2">
      <c r="A205" s="67"/>
      <c r="B205" s="66"/>
      <c r="C205" s="65">
        <f t="shared" si="26"/>
        <v>0</v>
      </c>
      <c r="D205" s="49"/>
      <c r="E205" s="65">
        <f t="shared" si="25"/>
        <v>0</v>
      </c>
      <c r="Q205" s="144"/>
      <c r="Z205" s="144"/>
      <c r="AA205" s="144"/>
      <c r="AB205" s="144"/>
      <c r="AC205" s="139"/>
      <c r="AD205" s="139"/>
      <c r="AE205" s="139"/>
      <c r="AF205" s="139"/>
      <c r="AH205" s="139"/>
      <c r="AJ205" s="144"/>
    </row>
    <row r="206" spans="1:36" s="58" customFormat="1" x14ac:dyDescent="0.2">
      <c r="A206" s="63"/>
      <c r="B206" s="62"/>
      <c r="C206" s="61"/>
      <c r="D206" s="60"/>
      <c r="E206" s="59"/>
      <c r="Q206" s="144"/>
      <c r="Z206" s="146"/>
      <c r="AA206" s="144"/>
      <c r="AB206" s="144"/>
      <c r="AC206" s="139"/>
      <c r="AD206" s="139"/>
      <c r="AE206" s="139"/>
      <c r="AF206" s="139"/>
      <c r="AH206" s="139"/>
      <c r="AJ206" s="146"/>
    </row>
    <row r="207" spans="1:36" s="55" customFormat="1" x14ac:dyDescent="0.2">
      <c r="A207" s="54"/>
      <c r="B207" s="53"/>
      <c r="C207" s="52"/>
      <c r="D207" s="51"/>
      <c r="E207" s="50"/>
      <c r="Q207" s="144"/>
      <c r="Z207" s="139"/>
      <c r="AA207" s="144"/>
      <c r="AB207" s="146"/>
      <c r="AC207" s="139"/>
      <c r="AD207" s="139"/>
      <c r="AE207" s="139"/>
      <c r="AF207" s="139"/>
      <c r="AH207" s="139"/>
      <c r="AJ207" s="139"/>
    </row>
    <row r="208" spans="1:36" x14ac:dyDescent="0.2">
      <c r="A208" s="54"/>
      <c r="B208" s="53"/>
      <c r="C208" s="52"/>
      <c r="D208" s="51"/>
      <c r="E208" s="50"/>
      <c r="Q208" s="144"/>
      <c r="AA208" s="144"/>
    </row>
    <row r="209" spans="17:27" x14ac:dyDescent="0.2">
      <c r="Q209" s="144"/>
      <c r="AA209" s="144"/>
    </row>
    <row r="210" spans="17:27" x14ac:dyDescent="0.2">
      <c r="Q210" s="146"/>
      <c r="AA210" s="146"/>
    </row>
  </sheetData>
  <mergeCells count="193">
    <mergeCell ref="E2:F2"/>
    <mergeCell ref="K7:K8"/>
    <mergeCell ref="CY7:CY8"/>
    <mergeCell ref="CX7:CX8"/>
    <mergeCell ref="CH7:CH8"/>
    <mergeCell ref="AK7:AK8"/>
    <mergeCell ref="AC7:AC8"/>
    <mergeCell ref="EL7:EL8"/>
    <mergeCell ref="AE7:AE8"/>
    <mergeCell ref="CV7:CV8"/>
    <mergeCell ref="AW7:AW8"/>
    <mergeCell ref="BE7:BE8"/>
    <mergeCell ref="DF7:DF8"/>
    <mergeCell ref="O7:O8"/>
    <mergeCell ref="BG7:BG8"/>
    <mergeCell ref="DX7:DX8"/>
    <mergeCell ref="Q7:Q8"/>
    <mergeCell ref="DZ7:DZ8"/>
    <mergeCell ref="M7:M8"/>
    <mergeCell ref="R7:R8"/>
    <mergeCell ref="AL7:AL8"/>
    <mergeCell ref="DC7:DC8"/>
    <mergeCell ref="EK7:EK8"/>
    <mergeCell ref="B4:C4"/>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BL7:BL8"/>
    <mergeCell ref="CD7:CD8"/>
    <mergeCell ref="DN7:DN8"/>
    <mergeCell ref="EC7:EC8"/>
    <mergeCell ref="EE7:EE8"/>
    <mergeCell ref="BX7:BX8"/>
    <mergeCell ref="FZ7:FZ8"/>
    <mergeCell ref="BS7:BS8"/>
    <mergeCell ref="EJ7:EJ8"/>
    <mergeCell ref="BU7:BU8"/>
    <mergeCell ref="DW7:DW8"/>
    <mergeCell ref="B5:C5"/>
    <mergeCell ref="AR7:AR8"/>
    <mergeCell ref="EI7:EI8"/>
    <mergeCell ref="ED7:ED8"/>
    <mergeCell ref="AO7:AO8"/>
    <mergeCell ref="D6:D7"/>
    <mergeCell ref="BY7:BY8"/>
    <mergeCell ref="AQ7:AQ8"/>
    <mergeCell ref="B6:B8"/>
    <mergeCell ref="FS7:FS8"/>
    <mergeCell ref="FU7:FU8"/>
    <mergeCell ref="FK7:FK8"/>
    <mergeCell ref="FM7:FM8"/>
    <mergeCell ref="FW7:FW8"/>
    <mergeCell ref="FB7:FB8"/>
    <mergeCell ref="FY7:FY8"/>
    <mergeCell ref="DL7:DL8"/>
    <mergeCell ref="DD7:DD8"/>
    <mergeCell ref="BV7:BV8"/>
    <mergeCell ref="AG7:AG8"/>
    <mergeCell ref="EP7:EP8"/>
    <mergeCell ref="FD7:FD8"/>
    <mergeCell ref="EX7:EX8"/>
    <mergeCell ref="EZ7:EZ8"/>
    <mergeCell ref="DH7:DH8"/>
    <mergeCell ref="BR7:BR8"/>
    <mergeCell ref="BA7:BA8"/>
    <mergeCell ref="BC7:BC8"/>
    <mergeCell ref="DT7:DT8"/>
    <mergeCell ref="DV7:DV8"/>
    <mergeCell ref="BZ7:BZ8"/>
    <mergeCell ref="CB7:CB8"/>
    <mergeCell ref="CE7:CE8"/>
    <mergeCell ref="AJ7:AJ8"/>
    <mergeCell ref="CK7:CK8"/>
    <mergeCell ref="CZ7:CZ8"/>
    <mergeCell ref="EH7:EH8"/>
    <mergeCell ref="FH7:FH8"/>
    <mergeCell ref="FE7:FE8"/>
    <mergeCell ref="AX7:AX8"/>
    <mergeCell ref="EW7:EW8"/>
    <mergeCell ref="FG7:FG8"/>
    <mergeCell ref="EY7:EY8"/>
    <mergeCell ref="DB7:DB8"/>
    <mergeCell ref="CL7:CL8"/>
    <mergeCell ref="AY7:AY8"/>
    <mergeCell ref="AD7:AD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DU7:DU8"/>
    <mergeCell ref="N7:N8"/>
    <mergeCell ref="C6:C7"/>
    <mergeCell ref="BF7:BF8"/>
    <mergeCell ref="FO7:FO8"/>
    <mergeCell ref="BH7:BH8"/>
    <mergeCell ref="E3:F3"/>
    <mergeCell ref="FQ7:FQ8"/>
    <mergeCell ref="DY7:DY8"/>
    <mergeCell ref="EA7:EA8"/>
    <mergeCell ref="DJ7:DJ8"/>
    <mergeCell ref="AA7:AA8"/>
    <mergeCell ref="CR7:CR8"/>
    <mergeCell ref="AS7:AS8"/>
    <mergeCell ref="CC7:CC8"/>
    <mergeCell ref="AU7:AU8"/>
    <mergeCell ref="ET7:ET8"/>
    <mergeCell ref="F6:F8"/>
    <mergeCell ref="EV7:EV8"/>
    <mergeCell ref="CW7:CW8"/>
    <mergeCell ref="FN7:FN8"/>
    <mergeCell ref="CO7:CO8"/>
    <mergeCell ref="FP7:FP8"/>
    <mergeCell ref="DI7:DI8"/>
    <mergeCell ref="EG7:EG8"/>
    <mergeCell ref="CG7:CG8"/>
    <mergeCell ref="D2:D4"/>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U7:CU8"/>
    <mergeCell ref="DR7:DR8"/>
    <mergeCell ref="BK7:BK8"/>
    <mergeCell ref="DO7:DO8"/>
    <mergeCell ref="BQ7:BQ8"/>
    <mergeCell ref="DA7:DA8"/>
    <mergeCell ref="L7:L8"/>
    <mergeCell ref="EM7:EM8"/>
    <mergeCell ref="CN7:CN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FR7:FR8"/>
    <mergeCell ref="FT7:FT8"/>
    <mergeCell ref="BN7:BN8"/>
    <mergeCell ref="BP7:BP8"/>
  </mergeCells>
  <pageMargins left="0.7" right="0.7" top="0.75" bottom="0.75" header="0.3" footer="0.3"/>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X212"/>
  <sheetViews>
    <sheetView zoomScaleNormal="120" workbookViewId="0">
      <pane xSplit="6" topLeftCell="AI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2.5703125" style="139" bestFit="1" customWidth="1"/>
    <col min="12" max="17" width="11.5703125" style="42" bestFit="1" customWidth="1"/>
    <col min="18" max="18" width="12.5703125" style="42" bestFit="1" customWidth="1"/>
    <col min="19" max="22" width="11.5703125" style="42" bestFit="1" customWidth="1"/>
    <col min="23" max="23" width="11.5703125" style="139" bestFit="1" customWidth="1"/>
    <col min="24" max="24" width="14.140625" style="139" bestFit="1" customWidth="1"/>
    <col min="25" max="25" width="24.140625" style="139" bestFit="1" customWidth="1"/>
    <col min="26" max="28" width="19.140625" style="139" bestFit="1" customWidth="1"/>
    <col min="29" max="29" width="11.5703125" style="139" bestFit="1" customWidth="1"/>
    <col min="30" max="30" width="11.5703125" style="42" bestFit="1" customWidth="1"/>
    <col min="31" max="31" width="11.5703125" style="139" bestFit="1" customWidth="1"/>
    <col min="32" max="32" width="11.5703125" style="42" bestFit="1" customWidth="1"/>
    <col min="33" max="33" width="11.5703125" style="139" bestFit="1" customWidth="1"/>
    <col min="34" max="34" width="11.85546875" style="42" bestFit="1" customWidth="1"/>
    <col min="35" max="35" width="21.5703125" style="42" bestFit="1" customWidth="1"/>
    <col min="36" max="36" width="11.85546875" style="42" bestFit="1" customWidth="1"/>
    <col min="37" max="175" width="14.42578125" style="42" customWidth="1"/>
    <col min="176" max="176" width="3" style="43" customWidth="1"/>
    <col min="177" max="179" width="14.42578125" style="42" customWidth="1"/>
    <col min="180" max="16384" width="14.42578125" style="42"/>
  </cols>
  <sheetData>
    <row r="1" spans="1:175" ht="13.5" customHeight="1" thickBot="1" x14ac:dyDescent="0.3">
      <c r="E1" s="530" t="s">
        <v>221</v>
      </c>
      <c r="F1" s="495"/>
      <c r="G1" s="90"/>
      <c r="H1" s="305" t="s">
        <v>981</v>
      </c>
      <c r="I1" s="305" t="s">
        <v>1623</v>
      </c>
      <c r="J1" s="305" t="s">
        <v>1623</v>
      </c>
      <c r="K1" s="170" t="s">
        <v>2430</v>
      </c>
      <c r="L1" s="170" t="s">
        <v>1623</v>
      </c>
      <c r="M1" s="170" t="s">
        <v>1623</v>
      </c>
      <c r="N1" s="170" t="s">
        <v>1623</v>
      </c>
      <c r="O1" s="170" t="s">
        <v>1623</v>
      </c>
      <c r="P1" s="170" t="s">
        <v>2619</v>
      </c>
      <c r="Q1" s="170" t="s">
        <v>1623</v>
      </c>
      <c r="R1" s="170" t="s">
        <v>2430</v>
      </c>
      <c r="S1" s="170" t="s">
        <v>1274</v>
      </c>
      <c r="T1" s="170" t="s">
        <v>1274</v>
      </c>
      <c r="U1" s="170" t="s">
        <v>1623</v>
      </c>
      <c r="V1" s="170" t="s">
        <v>1623</v>
      </c>
      <c r="W1" s="170" t="s">
        <v>1623</v>
      </c>
      <c r="X1" s="170" t="s">
        <v>2506</v>
      </c>
      <c r="Y1" s="170" t="s">
        <v>2827</v>
      </c>
      <c r="Z1" s="170" t="s">
        <v>3456</v>
      </c>
      <c r="AA1" s="170" t="s">
        <v>3456</v>
      </c>
      <c r="AB1" s="170" t="s">
        <v>3456</v>
      </c>
      <c r="AC1" s="170" t="s">
        <v>1623</v>
      </c>
      <c r="AD1" s="170" t="s">
        <v>1623</v>
      </c>
      <c r="AE1" s="170" t="s">
        <v>1274</v>
      </c>
      <c r="AF1" s="170" t="s">
        <v>1623</v>
      </c>
      <c r="AG1" s="170" t="s">
        <v>1623</v>
      </c>
      <c r="AH1" s="139" t="s">
        <v>1623</v>
      </c>
      <c r="AI1" s="139" t="s">
        <v>82</v>
      </c>
      <c r="AJ1" s="139" t="s">
        <v>1623</v>
      </c>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row>
    <row r="2" spans="1:175" s="89" customFormat="1" ht="12.75" customHeight="1" thickTop="1" thickBot="1" x14ac:dyDescent="0.3">
      <c r="A2" s="543" t="s">
        <v>4324</v>
      </c>
      <c r="B2" s="551" t="s">
        <v>4144</v>
      </c>
      <c r="C2" s="542"/>
      <c r="D2" s="531" t="s">
        <v>4325</v>
      </c>
      <c r="E2" s="558" t="s">
        <v>4146</v>
      </c>
      <c r="F2" s="540"/>
      <c r="G2" s="90"/>
      <c r="H2" s="303" t="s">
        <v>1018</v>
      </c>
      <c r="I2" s="303" t="s">
        <v>2512</v>
      </c>
      <c r="J2" s="303" t="s">
        <v>2516</v>
      </c>
      <c r="K2" s="435" t="s">
        <v>2550</v>
      </c>
      <c r="L2" s="171" t="s">
        <v>2719</v>
      </c>
      <c r="M2" s="171" t="s">
        <v>2761</v>
      </c>
      <c r="N2" s="171" t="s">
        <v>2790</v>
      </c>
      <c r="O2" s="171" t="s">
        <v>2793</v>
      </c>
      <c r="P2" s="171" t="s">
        <v>2819</v>
      </c>
      <c r="Q2" s="435" t="s">
        <v>2898</v>
      </c>
      <c r="R2" s="171" t="s">
        <v>2924</v>
      </c>
      <c r="S2" s="171" t="s">
        <v>2927</v>
      </c>
      <c r="T2" s="171" t="s">
        <v>2939</v>
      </c>
      <c r="U2" s="171" t="s">
        <v>3026</v>
      </c>
      <c r="V2" s="435" t="s">
        <v>3034</v>
      </c>
      <c r="W2" s="171" t="s">
        <v>3154</v>
      </c>
      <c r="X2" s="435" t="s">
        <v>3317</v>
      </c>
      <c r="Y2" s="435" t="s">
        <v>3344</v>
      </c>
      <c r="Z2" s="435" t="s">
        <v>3455</v>
      </c>
      <c r="AA2" s="435" t="s">
        <v>3460</v>
      </c>
      <c r="AB2" s="435" t="s">
        <v>3464</v>
      </c>
      <c r="AC2" s="171" t="s">
        <v>3495</v>
      </c>
      <c r="AD2" s="435" t="s">
        <v>3522</v>
      </c>
      <c r="AE2" s="435" t="s">
        <v>3550</v>
      </c>
      <c r="AF2" s="435" t="s">
        <v>3614</v>
      </c>
      <c r="AG2" s="435" t="s">
        <v>3635</v>
      </c>
      <c r="AH2" s="140"/>
      <c r="AI2" s="443" t="s">
        <v>3757</v>
      </c>
      <c r="AJ2" s="443" t="s">
        <v>3816</v>
      </c>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87"/>
      <c r="FR2" s="87"/>
      <c r="FS2" s="87"/>
    </row>
    <row r="3" spans="1:175" s="89" customFormat="1" ht="23.1"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4327</v>
      </c>
      <c r="T3" s="171" t="s">
        <v>4162</v>
      </c>
      <c r="U3" s="171" t="s">
        <v>4163</v>
      </c>
      <c r="V3" s="40" t="s">
        <v>4164</v>
      </c>
      <c r="W3" s="40" t="s">
        <v>4165</v>
      </c>
      <c r="X3" s="40" t="s">
        <v>4167</v>
      </c>
      <c r="Y3" s="40" t="s">
        <v>4168</v>
      </c>
      <c r="Z3" s="40" t="s">
        <v>4169</v>
      </c>
      <c r="AA3" s="40" t="s">
        <v>4170</v>
      </c>
      <c r="AB3" s="40" t="s">
        <v>4171</v>
      </c>
      <c r="AC3" s="40" t="s">
        <v>4328</v>
      </c>
      <c r="AD3" s="171" t="s">
        <v>4329</v>
      </c>
      <c r="AE3" s="39" t="s">
        <v>4172</v>
      </c>
      <c r="AF3" s="171" t="s">
        <v>4173</v>
      </c>
      <c r="AG3" s="171" t="s">
        <v>4174</v>
      </c>
      <c r="AH3" s="151" t="s">
        <v>4176</v>
      </c>
      <c r="AI3" s="151" t="s">
        <v>81</v>
      </c>
      <c r="AJ3" s="152" t="s">
        <v>4177</v>
      </c>
      <c r="AK3" s="151"/>
      <c r="AL3" s="151"/>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87"/>
      <c r="FR3" s="87"/>
      <c r="FS3" s="87"/>
    </row>
    <row r="4" spans="1:175" s="89" customFormat="1" ht="12.7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37937</v>
      </c>
      <c r="T4" s="332">
        <v>37994</v>
      </c>
      <c r="U4" s="332">
        <v>38281</v>
      </c>
      <c r="V4" s="331">
        <v>38365</v>
      </c>
      <c r="W4" s="331">
        <v>38658</v>
      </c>
      <c r="X4" s="331">
        <v>39197</v>
      </c>
      <c r="Y4" s="331">
        <v>39612</v>
      </c>
      <c r="Z4" s="331">
        <v>40592</v>
      </c>
      <c r="AA4" s="331">
        <v>40592</v>
      </c>
      <c r="AB4" s="331">
        <v>40592</v>
      </c>
      <c r="AC4" s="331">
        <v>40886</v>
      </c>
      <c r="AD4" s="332">
        <v>41061</v>
      </c>
      <c r="AE4" s="331">
        <v>41304</v>
      </c>
      <c r="AF4" s="332">
        <v>41774</v>
      </c>
      <c r="AG4" s="332">
        <v>41927</v>
      </c>
      <c r="AH4" s="333">
        <v>42996</v>
      </c>
      <c r="AI4" s="333">
        <v>43382</v>
      </c>
      <c r="AJ4" s="333">
        <v>44377</v>
      </c>
      <c r="AK4" s="152"/>
      <c r="AL4" s="152"/>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86"/>
      <c r="FR4" s="86"/>
      <c r="FS4" s="86"/>
    </row>
    <row r="5" spans="1:175" s="85" customFormat="1" ht="27.75" customHeight="1" x14ac:dyDescent="0.25">
      <c r="A5" s="544"/>
      <c r="B5" s="552" t="s">
        <v>4179</v>
      </c>
      <c r="C5" s="553"/>
      <c r="D5" s="92">
        <v>40</v>
      </c>
      <c r="E5" s="546" t="s">
        <v>4180</v>
      </c>
      <c r="F5" s="547"/>
      <c r="G5" s="88"/>
      <c r="H5" s="305" t="s">
        <v>973</v>
      </c>
      <c r="I5" s="305" t="s">
        <v>973</v>
      </c>
      <c r="J5" s="305"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40" t="s">
        <v>973</v>
      </c>
      <c r="AI5" s="140" t="s">
        <v>973</v>
      </c>
      <c r="AJ5" s="140" t="s">
        <v>973</v>
      </c>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87"/>
      <c r="FR5" s="87"/>
      <c r="FS5" s="87"/>
    </row>
    <row r="6" spans="1:175" s="84" customFormat="1" ht="14.25" customHeight="1" thickBot="1" x14ac:dyDescent="0.25">
      <c r="A6" s="545"/>
      <c r="B6" s="555" t="s">
        <v>4181</v>
      </c>
      <c r="C6" s="537">
        <v>40</v>
      </c>
      <c r="D6" s="554" t="s">
        <v>164</v>
      </c>
      <c r="E6" s="537">
        <f>SUBTOTAL(9,E9:E203)</f>
        <v>0</v>
      </c>
      <c r="F6" s="534" t="s">
        <v>4182</v>
      </c>
      <c r="G6" s="91"/>
      <c r="H6" s="91" t="str">
        <f>IF(H7=0,"","RECHECK")</f>
        <v/>
      </c>
      <c r="I6" s="91" t="str">
        <f>IF(I7=0,"","RECHECK")</f>
        <v/>
      </c>
      <c r="J6" s="91" t="str">
        <f>IF(J7=0,"","RECHECK")</f>
        <v/>
      </c>
      <c r="K6" s="142"/>
      <c r="L6" s="91" t="str">
        <f t="shared" ref="L6:X6" si="0">IF(L7=0,"","RECHECK")</f>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142" t="str">
        <f t="shared" si="0"/>
        <v/>
      </c>
      <c r="X6" s="142" t="str">
        <f t="shared" si="0"/>
        <v/>
      </c>
      <c r="Y6" s="142"/>
      <c r="Z6" s="142"/>
      <c r="AA6" s="142" t="str">
        <f t="shared" ref="AA6:BF6" si="1">IF(AA7=0,"","RECHECK")</f>
        <v/>
      </c>
      <c r="AB6" s="142" t="str">
        <f t="shared" si="1"/>
        <v/>
      </c>
      <c r="AC6" s="142" t="str">
        <f t="shared" si="1"/>
        <v/>
      </c>
      <c r="AD6" s="91" t="str">
        <f t="shared" si="1"/>
        <v/>
      </c>
      <c r="AE6" s="142" t="str">
        <f t="shared" si="1"/>
        <v/>
      </c>
      <c r="AF6" s="91" t="str">
        <f t="shared" si="1"/>
        <v/>
      </c>
      <c r="AG6" s="142" t="str">
        <f t="shared" si="1"/>
        <v/>
      </c>
      <c r="AH6" s="91" t="str">
        <f t="shared" si="1"/>
        <v/>
      </c>
      <c r="AI6" s="91" t="str">
        <f t="shared" si="1"/>
        <v/>
      </c>
      <c r="AJ6" s="91" t="str">
        <f t="shared" si="1"/>
        <v/>
      </c>
      <c r="AK6" s="91"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ref="BG6:CL6" si="2">IF(BG7=0,"","RECHECK")</f>
        <v/>
      </c>
      <c r="BH6" s="91" t="str">
        <f t="shared" si="2"/>
        <v/>
      </c>
      <c r="BI6" s="91" t="str">
        <f t="shared" si="2"/>
        <v/>
      </c>
      <c r="BJ6" s="91" t="str">
        <f t="shared" si="2"/>
        <v/>
      </c>
      <c r="BK6" s="91" t="str">
        <f t="shared" si="2"/>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ref="CM6:DR6" si="3">IF(CM7=0,"","RECHECK")</f>
        <v/>
      </c>
      <c r="CN6" s="91" t="str">
        <f t="shared" si="3"/>
        <v/>
      </c>
      <c r="CO6" s="91" t="str">
        <f t="shared" si="3"/>
        <v/>
      </c>
      <c r="CP6" s="91" t="str">
        <f t="shared" si="3"/>
        <v/>
      </c>
      <c r="CQ6" s="91" t="str">
        <f t="shared" si="3"/>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ref="DS6:EX6" si="4">IF(DS7=0,"","RECHECK")</f>
        <v/>
      </c>
      <c r="DT6" s="91" t="str">
        <f t="shared" si="4"/>
        <v/>
      </c>
      <c r="DU6" s="91" t="str">
        <f t="shared" si="4"/>
        <v/>
      </c>
      <c r="DV6" s="91" t="str">
        <f t="shared" si="4"/>
        <v/>
      </c>
      <c r="DW6" s="91" t="str">
        <f t="shared" si="4"/>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ref="EY6:FS6" si="5">IF(EY7=0,"","RECHECK")</f>
        <v/>
      </c>
      <c r="EZ6" s="91" t="str">
        <f t="shared" si="5"/>
        <v/>
      </c>
      <c r="FA6" s="91" t="str">
        <f t="shared" si="5"/>
        <v/>
      </c>
      <c r="FB6" s="91" t="str">
        <f t="shared" si="5"/>
        <v/>
      </c>
      <c r="FC6" s="91" t="str">
        <f t="shared" si="5"/>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row>
    <row r="7" spans="1:175" s="82" customFormat="1" ht="14.25" customHeight="1" thickTop="1" thickBot="1" x14ac:dyDescent="0.25">
      <c r="A7" s="83"/>
      <c r="B7" s="542"/>
      <c r="C7" s="538"/>
      <c r="D7" s="538"/>
      <c r="E7" s="538"/>
      <c r="F7" s="535"/>
      <c r="G7" s="548">
        <f>SUBTOTAL(9,G10:G204)</f>
        <v>0</v>
      </c>
      <c r="H7" s="559">
        <f>SUBTOTAL(9,H10:H212)</f>
        <v>0</v>
      </c>
      <c r="I7" s="559">
        <f>SUBTOTAL(9,I10:I212)</f>
        <v>0</v>
      </c>
      <c r="J7" s="559">
        <f>SUBTOTAL(9,J10:J212)</f>
        <v>0</v>
      </c>
      <c r="K7" s="528">
        <f>SUBTOTAL(9,K10:K208)</f>
        <v>0</v>
      </c>
      <c r="L7" s="559">
        <f t="shared" ref="L7:V7" si="6">SUBTOTAL(9,L10:L204)</f>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28">
        <v>0</v>
      </c>
      <c r="X7" s="528">
        <f>SUBTOTAL(9,X10:X208)</f>
        <v>0</v>
      </c>
      <c r="Y7" s="528">
        <f>SUBTOTAL(9,Y10:Y212)</f>
        <v>0</v>
      </c>
      <c r="Z7" s="528">
        <f>SUBTOTAL(9,Z10:Z206)</f>
        <v>0</v>
      </c>
      <c r="AA7" s="528">
        <f>SUBTOTAL(9,AA10:AA206)</f>
        <v>0</v>
      </c>
      <c r="AB7" s="528">
        <f>SUBTOTAL(9,AB10:AB206)</f>
        <v>0</v>
      </c>
      <c r="AC7" s="528">
        <f>SUBTOTAL(9,AC10:AC206)</f>
        <v>0</v>
      </c>
      <c r="AD7" s="559">
        <f>SUBTOTAL(9,AD10:AD204)</f>
        <v>0</v>
      </c>
      <c r="AE7" s="528">
        <f>SUBTOTAL(9,AE10:AE203)</f>
        <v>0</v>
      </c>
      <c r="AF7" s="559">
        <f>SUBTOTAL(9,AF10:AF204)</f>
        <v>0</v>
      </c>
      <c r="AG7" s="528">
        <f>SUBTOTAL(9,AG10:AG206)</f>
        <v>0</v>
      </c>
      <c r="AH7" s="559">
        <f t="shared" ref="AH7:BM7" si="7">SUBTOTAL(9,AH10:AH204)</f>
        <v>0</v>
      </c>
      <c r="AI7" s="559">
        <f t="shared" si="7"/>
        <v>0</v>
      </c>
      <c r="AJ7" s="559">
        <f t="shared" si="7"/>
        <v>0</v>
      </c>
      <c r="AK7" s="559">
        <f t="shared" si="7"/>
        <v>0</v>
      </c>
      <c r="AL7" s="559">
        <f t="shared" si="7"/>
        <v>0</v>
      </c>
      <c r="AM7" s="559">
        <f t="shared" si="7"/>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ref="BN7:CS7" si="8">SUBTOTAL(9,BN10:BN204)</f>
        <v>0</v>
      </c>
      <c r="BO7" s="559">
        <f t="shared" si="8"/>
        <v>0</v>
      </c>
      <c r="BP7" s="559">
        <f t="shared" si="8"/>
        <v>0</v>
      </c>
      <c r="BQ7" s="559">
        <f t="shared" si="8"/>
        <v>0</v>
      </c>
      <c r="BR7" s="559">
        <f t="shared" si="8"/>
        <v>0</v>
      </c>
      <c r="BS7" s="559">
        <f t="shared" si="8"/>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ref="CT7:DY7" si="9">SUBTOTAL(9,CT10:CT204)</f>
        <v>0</v>
      </c>
      <c r="CU7" s="559">
        <f t="shared" si="9"/>
        <v>0</v>
      </c>
      <c r="CV7" s="559">
        <f t="shared" si="9"/>
        <v>0</v>
      </c>
      <c r="CW7" s="559">
        <f t="shared" si="9"/>
        <v>0</v>
      </c>
      <c r="CX7" s="559">
        <f t="shared" si="9"/>
        <v>0</v>
      </c>
      <c r="CY7" s="559">
        <f t="shared" si="9"/>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ref="DZ7:FE7" si="10">SUBTOTAL(9,DZ10:DZ204)</f>
        <v>0</v>
      </c>
      <c r="EA7" s="559">
        <f t="shared" si="10"/>
        <v>0</v>
      </c>
      <c r="EB7" s="559">
        <f t="shared" si="10"/>
        <v>0</v>
      </c>
      <c r="EC7" s="559">
        <f t="shared" si="10"/>
        <v>0</v>
      </c>
      <c r="ED7" s="559">
        <f t="shared" si="10"/>
        <v>0</v>
      </c>
      <c r="EE7" s="559">
        <f t="shared" si="10"/>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ref="FF7:FS7" si="11">SUBTOTAL(9,FF10:FF204)</f>
        <v>0</v>
      </c>
      <c r="FG7" s="559">
        <f t="shared" si="11"/>
        <v>0</v>
      </c>
      <c r="FH7" s="559">
        <f t="shared" si="11"/>
        <v>0</v>
      </c>
      <c r="FI7" s="559">
        <f t="shared" si="11"/>
        <v>0</v>
      </c>
      <c r="FJ7" s="559">
        <f t="shared" si="11"/>
        <v>0</v>
      </c>
      <c r="FK7" s="559">
        <f t="shared" si="11"/>
        <v>0</v>
      </c>
      <c r="FL7" s="559">
        <f t="shared" si="11"/>
        <v>0</v>
      </c>
      <c r="FM7" s="559">
        <f t="shared" si="11"/>
        <v>0</v>
      </c>
      <c r="FN7" s="559">
        <f t="shared" si="11"/>
        <v>0</v>
      </c>
      <c r="FO7" s="559">
        <f t="shared" si="11"/>
        <v>0</v>
      </c>
      <c r="FP7" s="559">
        <f t="shared" si="11"/>
        <v>0</v>
      </c>
      <c r="FQ7" s="559">
        <f t="shared" si="11"/>
        <v>0</v>
      </c>
      <c r="FR7" s="559">
        <f t="shared" si="11"/>
        <v>0</v>
      </c>
      <c r="FS7" s="559">
        <f t="shared" si="11"/>
        <v>0</v>
      </c>
    </row>
    <row r="8" spans="1:175"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row>
    <row r="9" spans="1:175" s="69" customFormat="1" ht="12.75" customHeight="1" thickTop="1" x14ac:dyDescent="0.2">
      <c r="A9" s="77"/>
      <c r="B9" s="76"/>
      <c r="C9" s="74"/>
      <c r="D9" s="75"/>
      <c r="E9" s="74"/>
      <c r="F9" s="73"/>
      <c r="G9" s="72"/>
      <c r="H9" s="70"/>
      <c r="I9" s="70"/>
      <c r="J9" s="70"/>
      <c r="K9" s="143"/>
      <c r="L9" s="70"/>
      <c r="M9" s="70"/>
      <c r="N9" s="70"/>
      <c r="O9" s="70"/>
      <c r="P9" s="70"/>
      <c r="Q9" s="70"/>
      <c r="R9" s="70"/>
      <c r="S9" s="70"/>
      <c r="T9" s="70"/>
      <c r="U9" s="70"/>
      <c r="V9" s="70"/>
      <c r="W9" s="143"/>
      <c r="X9" s="143"/>
      <c r="Y9" s="143"/>
      <c r="Z9" s="143"/>
      <c r="AA9" s="143"/>
      <c r="AB9" s="143"/>
      <c r="AC9" s="143"/>
      <c r="AD9" s="70"/>
      <c r="AE9" s="143"/>
      <c r="AF9" s="70"/>
      <c r="AG9" s="143"/>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row>
    <row r="10" spans="1:175" s="56" customFormat="1" x14ac:dyDescent="0.2">
      <c r="A10" s="67"/>
      <c r="B10" s="66"/>
      <c r="C10" s="419" t="str">
        <f t="shared" ref="C10:C41" si="12">IFERROR(IF($E10&gt;0,$E10/SUMIF($E$10:$E$74,"&gt;0")*$D$5,""),"")</f>
        <v/>
      </c>
      <c r="D10" s="147" t="s">
        <v>983</v>
      </c>
      <c r="E10" s="65">
        <f t="shared" ref="E10:E36" si="13">SUM(G10:HL10)</f>
        <v>-1</v>
      </c>
      <c r="F10" s="64"/>
      <c r="G10" s="173"/>
      <c r="H10" s="431">
        <v>-1</v>
      </c>
      <c r="I10" s="174"/>
      <c r="J10" s="174"/>
      <c r="K10" s="175"/>
      <c r="L10" s="173"/>
      <c r="M10" s="173"/>
      <c r="N10" s="173"/>
      <c r="O10" s="173"/>
      <c r="P10" s="173"/>
      <c r="Q10" s="173"/>
      <c r="R10" s="173"/>
      <c r="S10" s="173"/>
      <c r="T10" s="173"/>
      <c r="U10" s="173"/>
      <c r="V10" s="173"/>
      <c r="W10" s="175"/>
      <c r="X10" s="175"/>
      <c r="Y10" s="175"/>
      <c r="Z10" s="175"/>
      <c r="AA10" s="175"/>
      <c r="AB10" s="175"/>
      <c r="AC10" s="175"/>
      <c r="AD10" s="173"/>
      <c r="AE10" s="175"/>
      <c r="AF10" s="173"/>
      <c r="AG10" s="175"/>
      <c r="AH10" s="173"/>
      <c r="AI10" s="173"/>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row>
    <row r="11" spans="1:175" s="56" customFormat="1" x14ac:dyDescent="0.2">
      <c r="A11" s="49"/>
      <c r="B11" s="66"/>
      <c r="C11" s="420">
        <f t="shared" si="12"/>
        <v>2.6666666666666665</v>
      </c>
      <c r="D11" s="147" t="s">
        <v>989</v>
      </c>
      <c r="E11" s="101">
        <f t="shared" si="13"/>
        <v>1</v>
      </c>
      <c r="F11" s="64"/>
      <c r="G11" s="173"/>
      <c r="H11" s="437">
        <v>1</v>
      </c>
      <c r="I11" s="173"/>
      <c r="J11" s="173"/>
      <c r="K11" s="175"/>
      <c r="L11" s="173"/>
      <c r="M11" s="173"/>
      <c r="N11" s="173"/>
      <c r="O11" s="173"/>
      <c r="P11" s="173"/>
      <c r="Q11" s="173"/>
      <c r="R11" s="173"/>
      <c r="S11" s="173"/>
      <c r="T11" s="173"/>
      <c r="U11" s="173"/>
      <c r="V11" s="173"/>
      <c r="W11" s="176"/>
      <c r="X11" s="175"/>
      <c r="Y11" s="175"/>
      <c r="Z11" s="175"/>
      <c r="AA11" s="175"/>
      <c r="AB11" s="175"/>
      <c r="AC11" s="175"/>
      <c r="AD11" s="173"/>
      <c r="AE11" s="175"/>
      <c r="AF11" s="173"/>
      <c r="AG11" s="175"/>
      <c r="AH11" s="173"/>
      <c r="AI11" s="173"/>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row>
    <row r="12" spans="1:175" s="56" customFormat="1" x14ac:dyDescent="0.2">
      <c r="A12" s="49"/>
      <c r="B12" s="66"/>
      <c r="C12" s="420" t="str">
        <f t="shared" si="12"/>
        <v/>
      </c>
      <c r="D12" s="147" t="s">
        <v>610</v>
      </c>
      <c r="E12" s="101">
        <f t="shared" si="13"/>
        <v>-1</v>
      </c>
      <c r="F12" s="64"/>
      <c r="G12" s="173"/>
      <c r="H12" s="173"/>
      <c r="I12" s="437">
        <v>-1</v>
      </c>
      <c r="J12" s="173"/>
      <c r="K12" s="175"/>
      <c r="L12" s="173"/>
      <c r="M12" s="173"/>
      <c r="N12" s="173"/>
      <c r="O12" s="173"/>
      <c r="P12" s="173"/>
      <c r="Q12" s="173"/>
      <c r="R12" s="173"/>
      <c r="S12" s="173"/>
      <c r="T12" s="173"/>
      <c r="U12" s="173"/>
      <c r="V12" s="173"/>
      <c r="W12" s="176"/>
      <c r="X12" s="175"/>
      <c r="Y12" s="175"/>
      <c r="Z12" s="175"/>
      <c r="AA12" s="175"/>
      <c r="AB12" s="175"/>
      <c r="AC12" s="175"/>
      <c r="AD12" s="173"/>
      <c r="AE12" s="176"/>
      <c r="AF12" s="173"/>
      <c r="AG12" s="175"/>
      <c r="AH12" s="173"/>
      <c r="AI12" s="173"/>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row>
    <row r="13" spans="1:175" s="56" customFormat="1" x14ac:dyDescent="0.2">
      <c r="A13" s="49"/>
      <c r="B13" s="66"/>
      <c r="C13" s="420">
        <f t="shared" si="12"/>
        <v>2.6666666666666665</v>
      </c>
      <c r="D13" s="147" t="s">
        <v>2514</v>
      </c>
      <c r="E13" s="101">
        <f t="shared" si="13"/>
        <v>1</v>
      </c>
      <c r="F13" s="64"/>
      <c r="G13" s="173"/>
      <c r="H13" s="173"/>
      <c r="I13" s="437">
        <v>1</v>
      </c>
      <c r="J13" s="173"/>
      <c r="K13" s="175"/>
      <c r="L13" s="173"/>
      <c r="M13" s="173"/>
      <c r="N13" s="173"/>
      <c r="O13" s="173"/>
      <c r="P13" s="173"/>
      <c r="Q13" s="173"/>
      <c r="R13" s="173"/>
      <c r="S13" s="173"/>
      <c r="T13" s="173"/>
      <c r="U13" s="173"/>
      <c r="V13" s="173"/>
      <c r="W13" s="175"/>
      <c r="X13" s="175"/>
      <c r="Y13" s="176"/>
      <c r="Z13" s="175"/>
      <c r="AA13" s="175"/>
      <c r="AB13" s="175"/>
      <c r="AC13" s="175"/>
      <c r="AD13" s="173"/>
      <c r="AE13" s="175"/>
      <c r="AF13" s="173"/>
      <c r="AG13" s="175"/>
      <c r="AH13" s="173"/>
      <c r="AI13" s="173"/>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row>
    <row r="14" spans="1:175" s="56" customFormat="1" x14ac:dyDescent="0.2">
      <c r="B14" s="96"/>
      <c r="C14" s="419" t="str">
        <f t="shared" si="12"/>
        <v/>
      </c>
      <c r="D14" s="38" t="s">
        <v>2518</v>
      </c>
      <c r="E14" s="65">
        <f t="shared" si="13"/>
        <v>-2</v>
      </c>
      <c r="F14" s="64"/>
      <c r="G14" s="173"/>
      <c r="H14" s="173"/>
      <c r="I14" s="173"/>
      <c r="J14" s="437">
        <v>-1</v>
      </c>
      <c r="K14" s="175"/>
      <c r="L14" s="173"/>
      <c r="M14" s="173"/>
      <c r="N14" s="173"/>
      <c r="O14" s="173"/>
      <c r="P14" s="173"/>
      <c r="Q14" s="173"/>
      <c r="R14" s="173"/>
      <c r="S14" s="173"/>
      <c r="T14" s="173"/>
      <c r="U14" s="173"/>
      <c r="V14" s="173"/>
      <c r="W14" s="432">
        <v>-1</v>
      </c>
      <c r="X14" s="175"/>
      <c r="Y14" s="176"/>
      <c r="Z14" s="174"/>
      <c r="AA14" s="174"/>
      <c r="AB14" s="174"/>
      <c r="AC14" s="174"/>
      <c r="AD14" s="173"/>
      <c r="AE14" s="175"/>
      <c r="AF14" s="173"/>
      <c r="AG14" s="175"/>
      <c r="AH14" s="173"/>
      <c r="AI14" s="173"/>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row>
    <row r="15" spans="1:175" s="56" customFormat="1" x14ac:dyDescent="0.2">
      <c r="A15" s="95"/>
      <c r="B15" s="95"/>
      <c r="C15" s="419">
        <f t="shared" si="12"/>
        <v>2.6666666666666665</v>
      </c>
      <c r="D15" s="38" t="s">
        <v>2519</v>
      </c>
      <c r="E15" s="65">
        <f t="shared" si="13"/>
        <v>1</v>
      </c>
      <c r="F15" s="64"/>
      <c r="G15" s="173"/>
      <c r="H15" s="173"/>
      <c r="I15" s="173"/>
      <c r="J15" s="437">
        <v>1</v>
      </c>
      <c r="K15" s="175"/>
      <c r="L15" s="173"/>
      <c r="M15" s="173"/>
      <c r="N15" s="173"/>
      <c r="O15" s="173"/>
      <c r="P15" s="173"/>
      <c r="Q15" s="173"/>
      <c r="R15" s="173"/>
      <c r="S15" s="173"/>
      <c r="T15" s="173"/>
      <c r="U15" s="173"/>
      <c r="V15" s="173"/>
      <c r="W15" s="175"/>
      <c r="X15" s="175"/>
      <c r="Y15" s="175"/>
      <c r="Z15" s="174"/>
      <c r="AA15" s="174"/>
      <c r="AB15" s="174"/>
      <c r="AC15" s="174"/>
      <c r="AD15" s="173"/>
      <c r="AE15" s="175"/>
      <c r="AF15" s="173"/>
      <c r="AG15" s="175"/>
      <c r="AH15" s="173"/>
      <c r="AI15" s="173"/>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row>
    <row r="16" spans="1:175" s="56" customFormat="1" x14ac:dyDescent="0.2">
      <c r="A16" s="67"/>
      <c r="B16" s="66"/>
      <c r="C16" s="419" t="str">
        <f t="shared" si="12"/>
        <v/>
      </c>
      <c r="D16" s="38" t="s">
        <v>436</v>
      </c>
      <c r="E16" s="65">
        <f t="shared" si="13"/>
        <v>0</v>
      </c>
      <c r="F16" s="64"/>
      <c r="G16" s="173"/>
      <c r="H16" s="173"/>
      <c r="I16" s="173"/>
      <c r="J16" s="173"/>
      <c r="K16" s="175"/>
      <c r="L16" s="173"/>
      <c r="M16" s="173"/>
      <c r="N16" s="173"/>
      <c r="O16" s="173"/>
      <c r="P16" s="173"/>
      <c r="Q16" s="173"/>
      <c r="R16" s="173"/>
      <c r="S16" s="173"/>
      <c r="T16" s="174"/>
      <c r="U16" s="173"/>
      <c r="V16" s="173"/>
      <c r="W16" s="175"/>
      <c r="X16" s="175"/>
      <c r="Y16" s="175"/>
      <c r="Z16" s="174"/>
      <c r="AA16" s="174"/>
      <c r="AB16" s="174"/>
      <c r="AC16" s="174"/>
      <c r="AD16" s="173"/>
      <c r="AE16" s="175"/>
      <c r="AF16" s="173"/>
      <c r="AG16" s="175"/>
      <c r="AH16" s="173"/>
      <c r="AI16" s="173"/>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row>
    <row r="17" spans="1:175" s="56" customFormat="1" x14ac:dyDescent="0.2">
      <c r="A17" s="67"/>
      <c r="B17" s="66"/>
      <c r="C17" s="419" t="str">
        <f t="shared" si="12"/>
        <v/>
      </c>
      <c r="D17" s="38" t="s">
        <v>4188</v>
      </c>
      <c r="E17" s="65">
        <f t="shared" si="13"/>
        <v>0</v>
      </c>
      <c r="F17" s="64"/>
      <c r="G17" s="173"/>
      <c r="H17" s="173"/>
      <c r="I17" s="173"/>
      <c r="J17" s="173"/>
      <c r="K17" s="175"/>
      <c r="L17" s="173"/>
      <c r="M17" s="173"/>
      <c r="N17" s="173"/>
      <c r="O17" s="173"/>
      <c r="P17" s="173"/>
      <c r="Q17" s="173"/>
      <c r="R17" s="173"/>
      <c r="S17" s="173"/>
      <c r="T17" s="173"/>
      <c r="U17" s="173"/>
      <c r="V17" s="173"/>
      <c r="W17" s="175"/>
      <c r="X17" s="175"/>
      <c r="Y17" s="175"/>
      <c r="Z17" s="174"/>
      <c r="AA17" s="174"/>
      <c r="AB17" s="174"/>
      <c r="AC17" s="174"/>
      <c r="AD17" s="173"/>
      <c r="AE17" s="175"/>
      <c r="AF17" s="173"/>
      <c r="AG17" s="175"/>
      <c r="AH17" s="173"/>
      <c r="AI17" s="173"/>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row>
    <row r="18" spans="1:175" s="56" customFormat="1" x14ac:dyDescent="0.2">
      <c r="A18" s="67"/>
      <c r="B18" s="68"/>
      <c r="C18" s="419" t="str">
        <f t="shared" si="12"/>
        <v/>
      </c>
      <c r="D18" s="38" t="s">
        <v>4189</v>
      </c>
      <c r="E18" s="65">
        <f t="shared" si="13"/>
        <v>0</v>
      </c>
      <c r="F18" s="64"/>
      <c r="G18" s="173"/>
      <c r="H18" s="173"/>
      <c r="I18" s="173"/>
      <c r="J18" s="173"/>
      <c r="K18" s="175"/>
      <c r="L18" s="181"/>
      <c r="M18" s="173"/>
      <c r="N18" s="173"/>
      <c r="O18" s="173"/>
      <c r="P18" s="173"/>
      <c r="Q18" s="173"/>
      <c r="R18" s="173"/>
      <c r="S18" s="173"/>
      <c r="T18" s="173"/>
      <c r="U18" s="173"/>
      <c r="V18" s="173"/>
      <c r="W18" s="175"/>
      <c r="X18" s="175"/>
      <c r="Y18" s="175"/>
      <c r="Z18" s="174"/>
      <c r="AA18" s="174"/>
      <c r="AB18" s="174"/>
      <c r="AC18" s="174"/>
      <c r="AD18" s="173"/>
      <c r="AE18" s="176"/>
      <c r="AF18" s="173"/>
      <c r="AG18" s="175"/>
      <c r="AH18" s="173"/>
      <c r="AI18" s="173"/>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row>
    <row r="19" spans="1:175" s="56" customFormat="1" x14ac:dyDescent="0.2">
      <c r="A19" s="67"/>
      <c r="B19" s="68"/>
      <c r="C19" s="419" t="str">
        <f t="shared" si="12"/>
        <v/>
      </c>
      <c r="D19" s="37" t="s">
        <v>2580</v>
      </c>
      <c r="E19" s="65">
        <f t="shared" si="13"/>
        <v>-1</v>
      </c>
      <c r="F19" s="64"/>
      <c r="G19" s="173"/>
      <c r="H19" s="173"/>
      <c r="I19" s="173"/>
      <c r="J19" s="173"/>
      <c r="K19" s="175"/>
      <c r="L19" s="445">
        <v>-1</v>
      </c>
      <c r="M19" s="173"/>
      <c r="N19" s="173"/>
      <c r="O19" s="173"/>
      <c r="P19" s="173"/>
      <c r="Q19" s="173"/>
      <c r="R19" s="173"/>
      <c r="S19" s="173"/>
      <c r="T19" s="173"/>
      <c r="U19" s="173"/>
      <c r="V19" s="173"/>
      <c r="W19" s="175"/>
      <c r="X19" s="175"/>
      <c r="Y19" s="175"/>
      <c r="Z19" s="174"/>
      <c r="AA19" s="174"/>
      <c r="AB19" s="174"/>
      <c r="AC19" s="174"/>
      <c r="AD19" s="173"/>
      <c r="AE19" s="175"/>
      <c r="AF19" s="173"/>
      <c r="AG19" s="175"/>
      <c r="AH19" s="173"/>
      <c r="AI19" s="173"/>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row>
    <row r="20" spans="1:175" s="56" customFormat="1" x14ac:dyDescent="0.2">
      <c r="A20" s="67"/>
      <c r="B20" s="68"/>
      <c r="C20" s="420">
        <f t="shared" si="12"/>
        <v>2.6666666666666665</v>
      </c>
      <c r="D20" s="38" t="s">
        <v>2721</v>
      </c>
      <c r="E20" s="101">
        <f t="shared" si="13"/>
        <v>1</v>
      </c>
      <c r="F20" s="64"/>
      <c r="G20" s="173"/>
      <c r="H20" s="173"/>
      <c r="I20" s="173"/>
      <c r="J20" s="173"/>
      <c r="K20" s="175"/>
      <c r="L20" s="445">
        <v>1</v>
      </c>
      <c r="M20" s="173"/>
      <c r="N20" s="173"/>
      <c r="O20" s="173"/>
      <c r="P20" s="173"/>
      <c r="Q20" s="173"/>
      <c r="R20" s="173"/>
      <c r="S20" s="173"/>
      <c r="T20" s="173"/>
      <c r="U20" s="173"/>
      <c r="V20" s="173"/>
      <c r="W20" s="175"/>
      <c r="X20" s="175"/>
      <c r="Y20" s="175"/>
      <c r="Z20" s="175"/>
      <c r="AA20" s="175"/>
      <c r="AB20" s="175"/>
      <c r="AC20" s="175"/>
      <c r="AD20" s="173"/>
      <c r="AE20" s="175"/>
      <c r="AF20" s="173"/>
      <c r="AG20" s="175"/>
      <c r="AH20" s="173"/>
      <c r="AI20" s="173"/>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row>
    <row r="21" spans="1:175" s="56" customFormat="1" x14ac:dyDescent="0.2">
      <c r="A21" s="67"/>
      <c r="B21" s="66"/>
      <c r="C21" s="419" t="str">
        <f t="shared" si="12"/>
        <v/>
      </c>
      <c r="D21" s="147" t="s">
        <v>533</v>
      </c>
      <c r="E21" s="65">
        <f t="shared" si="13"/>
        <v>-1</v>
      </c>
      <c r="F21" s="64"/>
      <c r="G21" s="173"/>
      <c r="H21" s="173"/>
      <c r="I21" s="173"/>
      <c r="J21" s="173"/>
      <c r="K21" s="175"/>
      <c r="L21" s="181"/>
      <c r="M21" s="437">
        <v>-1</v>
      </c>
      <c r="N21" s="173"/>
      <c r="O21" s="173"/>
      <c r="P21" s="173"/>
      <c r="Q21" s="173"/>
      <c r="R21" s="173"/>
      <c r="S21" s="173"/>
      <c r="T21" s="173"/>
      <c r="U21" s="173"/>
      <c r="V21" s="173"/>
      <c r="W21" s="175"/>
      <c r="X21" s="175"/>
      <c r="Y21" s="175"/>
      <c r="Z21" s="175"/>
      <c r="AA21" s="175"/>
      <c r="AB21" s="175"/>
      <c r="AC21" s="175"/>
      <c r="AD21" s="173"/>
      <c r="AE21" s="175"/>
      <c r="AF21" s="174"/>
      <c r="AG21" s="175"/>
      <c r="AH21" s="173"/>
      <c r="AI21" s="173"/>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row>
    <row r="22" spans="1:175" s="56" customFormat="1" x14ac:dyDescent="0.2">
      <c r="A22" s="67"/>
      <c r="B22" s="66"/>
      <c r="C22" s="420">
        <f t="shared" si="12"/>
        <v>8</v>
      </c>
      <c r="D22" s="147" t="s">
        <v>944</v>
      </c>
      <c r="E22" s="101">
        <f t="shared" si="13"/>
        <v>3</v>
      </c>
      <c r="F22" s="64"/>
      <c r="G22" s="173"/>
      <c r="H22" s="173"/>
      <c r="I22" s="173"/>
      <c r="J22" s="173"/>
      <c r="K22" s="175"/>
      <c r="L22" s="181"/>
      <c r="M22" s="437">
        <v>1</v>
      </c>
      <c r="N22" s="437">
        <v>1</v>
      </c>
      <c r="O22" s="437">
        <v>1</v>
      </c>
      <c r="P22" s="173"/>
      <c r="Q22" s="173"/>
      <c r="R22" s="173"/>
      <c r="S22" s="173"/>
      <c r="T22" s="173"/>
      <c r="U22" s="173"/>
      <c r="V22" s="173"/>
      <c r="W22" s="175"/>
      <c r="X22" s="175"/>
      <c r="Y22" s="175"/>
      <c r="Z22" s="175"/>
      <c r="AA22" s="175"/>
      <c r="AB22" s="175"/>
      <c r="AC22" s="175"/>
      <c r="AD22" s="173"/>
      <c r="AE22" s="175"/>
      <c r="AF22" s="174"/>
      <c r="AG22" s="175"/>
      <c r="AH22" s="173"/>
      <c r="AI22" s="173"/>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row>
    <row r="23" spans="1:175" s="56" customFormat="1" x14ac:dyDescent="0.2">
      <c r="A23" s="177"/>
      <c r="B23" s="68"/>
      <c r="C23" s="420" t="str">
        <f t="shared" si="12"/>
        <v/>
      </c>
      <c r="D23" s="38" t="s">
        <v>2792</v>
      </c>
      <c r="E23" s="101">
        <f t="shared" si="13"/>
        <v>-1</v>
      </c>
      <c r="F23" s="64"/>
      <c r="G23" s="173"/>
      <c r="H23" s="173"/>
      <c r="I23" s="173"/>
      <c r="J23" s="173"/>
      <c r="K23" s="175"/>
      <c r="L23" s="173"/>
      <c r="M23" s="181"/>
      <c r="N23" s="437">
        <v>-1</v>
      </c>
      <c r="O23" s="173"/>
      <c r="P23" s="173"/>
      <c r="Q23" s="173"/>
      <c r="R23" s="173"/>
      <c r="S23" s="173"/>
      <c r="T23" s="173"/>
      <c r="U23" s="173"/>
      <c r="V23" s="173"/>
      <c r="W23" s="175"/>
      <c r="X23" s="175"/>
      <c r="Y23" s="175"/>
      <c r="Z23" s="175"/>
      <c r="AA23" s="175"/>
      <c r="AB23" s="175"/>
      <c r="AC23" s="175"/>
      <c r="AD23" s="173"/>
      <c r="AE23" s="175"/>
      <c r="AF23" s="174"/>
      <c r="AG23" s="175"/>
      <c r="AH23" s="173"/>
      <c r="AI23" s="173"/>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row>
    <row r="24" spans="1:175" s="56" customFormat="1" x14ac:dyDescent="0.2">
      <c r="A24" s="177"/>
      <c r="B24" s="68"/>
      <c r="C24" s="420" t="str">
        <f t="shared" si="12"/>
        <v/>
      </c>
      <c r="D24" s="147" t="s">
        <v>2795</v>
      </c>
      <c r="E24" s="101">
        <f t="shared" si="13"/>
        <v>-1</v>
      </c>
      <c r="F24" s="64"/>
      <c r="G24" s="173"/>
      <c r="H24" s="173"/>
      <c r="I24" s="173"/>
      <c r="J24" s="173"/>
      <c r="K24" s="175"/>
      <c r="L24" s="173"/>
      <c r="M24" s="181"/>
      <c r="N24" s="173"/>
      <c r="O24" s="437">
        <v>-1</v>
      </c>
      <c r="P24" s="173"/>
      <c r="Q24" s="173"/>
      <c r="R24" s="173"/>
      <c r="S24" s="173"/>
      <c r="T24" s="173"/>
      <c r="U24" s="173"/>
      <c r="V24" s="173"/>
      <c r="W24" s="175"/>
      <c r="X24" s="175"/>
      <c r="Y24" s="175"/>
      <c r="Z24" s="175"/>
      <c r="AA24" s="175"/>
      <c r="AB24" s="175"/>
      <c r="AC24" s="175"/>
      <c r="AD24" s="173"/>
      <c r="AE24" s="175"/>
      <c r="AF24" s="174"/>
      <c r="AG24" s="175"/>
      <c r="AH24" s="173"/>
      <c r="AI24" s="173"/>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row>
    <row r="25" spans="1:175" s="56" customFormat="1" x14ac:dyDescent="0.2">
      <c r="A25" s="177"/>
      <c r="B25" s="68"/>
      <c r="C25" s="420" t="str">
        <f t="shared" si="12"/>
        <v/>
      </c>
      <c r="D25" s="148" t="s">
        <v>4190</v>
      </c>
      <c r="E25" s="101">
        <f t="shared" si="13"/>
        <v>-1</v>
      </c>
      <c r="F25" s="64"/>
      <c r="G25" s="173"/>
      <c r="H25" s="173"/>
      <c r="I25" s="173"/>
      <c r="J25" s="173"/>
      <c r="K25" s="175"/>
      <c r="L25" s="173"/>
      <c r="M25" s="173"/>
      <c r="N25" s="181"/>
      <c r="O25" s="173"/>
      <c r="P25" s="437">
        <v>-1</v>
      </c>
      <c r="Q25" s="173"/>
      <c r="R25" s="173"/>
      <c r="S25" s="173"/>
      <c r="T25" s="173"/>
      <c r="U25" s="173"/>
      <c r="V25" s="173"/>
      <c r="W25" s="175"/>
      <c r="X25" s="175"/>
      <c r="Y25" s="175"/>
      <c r="Z25" s="175"/>
      <c r="AA25" s="175"/>
      <c r="AB25" s="40"/>
      <c r="AC25" s="175"/>
      <c r="AD25" s="173"/>
      <c r="AE25" s="175"/>
      <c r="AF25" s="173"/>
      <c r="AG25" s="175"/>
      <c r="AH25" s="173"/>
      <c r="AI25" s="173"/>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row>
    <row r="26" spans="1:175" s="56" customFormat="1" x14ac:dyDescent="0.2">
      <c r="A26" s="177"/>
      <c r="B26" s="68"/>
      <c r="C26" s="420">
        <f t="shared" si="12"/>
        <v>8</v>
      </c>
      <c r="D26" s="148" t="s">
        <v>1110</v>
      </c>
      <c r="E26" s="101">
        <f t="shared" si="13"/>
        <v>3</v>
      </c>
      <c r="F26" s="64"/>
      <c r="G26" s="173"/>
      <c r="H26" s="173"/>
      <c r="I26" s="173"/>
      <c r="J26" s="173"/>
      <c r="K26" s="175"/>
      <c r="L26" s="173"/>
      <c r="M26" s="173"/>
      <c r="N26" s="181"/>
      <c r="O26" s="173"/>
      <c r="P26" s="437">
        <v>1</v>
      </c>
      <c r="Q26" s="173"/>
      <c r="R26" s="173"/>
      <c r="S26" s="437">
        <v>1</v>
      </c>
      <c r="T26" s="437">
        <v>1</v>
      </c>
      <c r="U26" s="173"/>
      <c r="V26" s="173"/>
      <c r="W26" s="175"/>
      <c r="X26" s="175"/>
      <c r="Y26" s="175"/>
      <c r="Z26" s="175"/>
      <c r="AA26" s="175"/>
      <c r="AB26" s="39"/>
      <c r="AC26" s="175"/>
      <c r="AD26" s="173"/>
      <c r="AE26" s="175"/>
      <c r="AF26" s="174"/>
      <c r="AG26" s="175"/>
      <c r="AH26" s="173"/>
      <c r="AI26" s="173"/>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row>
    <row r="27" spans="1:175" s="56" customFormat="1" x14ac:dyDescent="0.2">
      <c r="A27" s="177"/>
      <c r="B27" s="68"/>
      <c r="C27" s="419" t="str">
        <f t="shared" si="12"/>
        <v/>
      </c>
      <c r="D27" s="37" t="s">
        <v>4191</v>
      </c>
      <c r="E27" s="65">
        <f t="shared" si="13"/>
        <v>0</v>
      </c>
      <c r="F27" s="64"/>
      <c r="G27" s="173"/>
      <c r="H27" s="173"/>
      <c r="I27" s="173"/>
      <c r="J27" s="173"/>
      <c r="K27" s="175"/>
      <c r="L27" s="173"/>
      <c r="M27" s="173"/>
      <c r="N27" s="173"/>
      <c r="O27" s="181"/>
      <c r="P27" s="173"/>
      <c r="Q27" s="173"/>
      <c r="R27" s="173"/>
      <c r="S27" s="173"/>
      <c r="T27" s="173"/>
      <c r="U27" s="173"/>
      <c r="V27" s="173"/>
      <c r="W27" s="175"/>
      <c r="X27" s="175"/>
      <c r="Y27" s="175"/>
      <c r="Z27" s="175"/>
      <c r="AA27" s="175"/>
      <c r="AB27" s="39"/>
      <c r="AC27" s="175"/>
      <c r="AD27" s="173"/>
      <c r="AE27" s="175"/>
      <c r="AF27" s="173"/>
      <c r="AG27" s="175"/>
      <c r="AH27" s="173"/>
      <c r="AI27" s="173"/>
      <c r="AJ27" s="57"/>
      <c r="AK27" s="57"/>
      <c r="AL27" s="57"/>
    </row>
    <row r="28" spans="1:175" s="56" customFormat="1" x14ac:dyDescent="0.2">
      <c r="A28" s="177"/>
      <c r="B28" s="68"/>
      <c r="C28" s="419" t="str">
        <f t="shared" si="12"/>
        <v/>
      </c>
      <c r="D28" s="38" t="s">
        <v>4192</v>
      </c>
      <c r="E28" s="65">
        <f t="shared" si="13"/>
        <v>0</v>
      </c>
      <c r="F28" s="64"/>
      <c r="G28" s="173"/>
      <c r="H28" s="173"/>
      <c r="I28" s="173"/>
      <c r="J28" s="173"/>
      <c r="K28" s="175"/>
      <c r="L28" s="173"/>
      <c r="M28" s="173"/>
      <c r="N28" s="173"/>
      <c r="O28" s="181"/>
      <c r="P28" s="173"/>
      <c r="Q28" s="173"/>
      <c r="R28" s="173"/>
      <c r="S28" s="173"/>
      <c r="T28" s="173"/>
      <c r="U28" s="173"/>
      <c r="V28" s="173"/>
      <c r="W28" s="175"/>
      <c r="X28" s="175"/>
      <c r="Y28" s="175"/>
      <c r="Z28" s="175"/>
      <c r="AA28" s="175"/>
      <c r="AB28" s="39"/>
      <c r="AC28" s="175"/>
      <c r="AD28" s="173"/>
      <c r="AE28" s="175"/>
      <c r="AF28" s="173"/>
      <c r="AG28" s="175"/>
      <c r="AH28" s="173"/>
      <c r="AI28" s="173"/>
      <c r="AJ28" s="57"/>
      <c r="AK28" s="57"/>
      <c r="AL28" s="57"/>
    </row>
    <row r="29" spans="1:175" s="56" customFormat="1" x14ac:dyDescent="0.2">
      <c r="A29" s="177"/>
      <c r="B29" s="68"/>
      <c r="C29" s="420" t="str">
        <f t="shared" si="12"/>
        <v/>
      </c>
      <c r="D29" s="38" t="s">
        <v>2272</v>
      </c>
      <c r="E29" s="101">
        <f t="shared" si="13"/>
        <v>-1</v>
      </c>
      <c r="F29" s="64"/>
      <c r="G29" s="173"/>
      <c r="H29" s="173"/>
      <c r="I29" s="173"/>
      <c r="J29" s="173"/>
      <c r="K29" s="175"/>
      <c r="L29" s="173"/>
      <c r="M29" s="173"/>
      <c r="N29" s="173"/>
      <c r="O29" s="181"/>
      <c r="P29" s="173"/>
      <c r="Q29" s="173"/>
      <c r="R29" s="437">
        <v>-1</v>
      </c>
      <c r="S29" s="173"/>
      <c r="T29" s="173"/>
      <c r="U29" s="173"/>
      <c r="V29" s="173"/>
      <c r="W29" s="175"/>
      <c r="X29" s="175"/>
      <c r="Y29" s="175"/>
      <c r="Z29" s="175"/>
      <c r="AA29" s="175"/>
      <c r="AB29" s="39"/>
      <c r="AC29" s="175"/>
      <c r="AD29" s="173"/>
      <c r="AE29" s="175"/>
      <c r="AF29" s="173"/>
      <c r="AG29" s="175"/>
      <c r="AH29" s="173"/>
      <c r="AI29" s="173"/>
      <c r="AJ29" s="57"/>
      <c r="AK29" s="57"/>
      <c r="AL29" s="57"/>
    </row>
    <row r="30" spans="1:175" s="56" customFormat="1" x14ac:dyDescent="0.2">
      <c r="A30" s="177"/>
      <c r="B30" s="68"/>
      <c r="C30" s="419">
        <f t="shared" si="12"/>
        <v>2.6666666666666665</v>
      </c>
      <c r="D30" s="147" t="s">
        <v>2926</v>
      </c>
      <c r="E30" s="65">
        <f t="shared" si="13"/>
        <v>1</v>
      </c>
      <c r="F30" s="64"/>
      <c r="G30" s="173"/>
      <c r="H30" s="173"/>
      <c r="I30" s="173"/>
      <c r="J30" s="173"/>
      <c r="K30" s="175"/>
      <c r="L30" s="173"/>
      <c r="M30" s="173"/>
      <c r="N30" s="173"/>
      <c r="O30" s="173"/>
      <c r="P30" s="181"/>
      <c r="Q30" s="181"/>
      <c r="R30" s="445">
        <v>1</v>
      </c>
      <c r="S30" s="181"/>
      <c r="T30" s="181"/>
      <c r="U30" s="173"/>
      <c r="V30" s="173"/>
      <c r="W30" s="175"/>
      <c r="X30" s="175"/>
      <c r="Y30" s="175"/>
      <c r="Z30" s="175"/>
      <c r="AA30" s="175"/>
      <c r="AB30" s="171"/>
      <c r="AC30" s="175"/>
      <c r="AD30" s="173"/>
      <c r="AE30" s="175"/>
      <c r="AF30" s="173"/>
      <c r="AG30" s="175"/>
      <c r="AH30" s="173"/>
      <c r="AI30" s="173"/>
      <c r="AJ30" s="57"/>
      <c r="AK30" s="57"/>
      <c r="AL30" s="57"/>
    </row>
    <row r="31" spans="1:175" s="56" customFormat="1" x14ac:dyDescent="0.2">
      <c r="A31" s="177"/>
      <c r="B31" s="68"/>
      <c r="C31" s="420" t="str">
        <f t="shared" si="12"/>
        <v/>
      </c>
      <c r="D31" s="147" t="s">
        <v>4330</v>
      </c>
      <c r="E31" s="101">
        <f t="shared" si="13"/>
        <v>-1</v>
      </c>
      <c r="F31" s="64"/>
      <c r="G31" s="173"/>
      <c r="H31" s="173"/>
      <c r="I31" s="173"/>
      <c r="J31" s="173"/>
      <c r="K31" s="175"/>
      <c r="L31" s="173"/>
      <c r="M31" s="173"/>
      <c r="N31" s="173"/>
      <c r="O31" s="173"/>
      <c r="P31" s="181"/>
      <c r="Q31" s="181"/>
      <c r="R31" s="173"/>
      <c r="S31" s="437">
        <v>-1</v>
      </c>
      <c r="T31" s="173"/>
      <c r="U31" s="173"/>
      <c r="V31" s="173"/>
      <c r="W31" s="175"/>
      <c r="X31" s="175"/>
      <c r="Y31" s="175"/>
      <c r="Z31" s="175"/>
      <c r="AA31" s="175"/>
      <c r="AB31" s="171"/>
      <c r="AC31" s="175"/>
      <c r="AD31" s="173"/>
      <c r="AE31" s="175"/>
      <c r="AF31" s="173"/>
      <c r="AG31" s="175"/>
      <c r="AH31" s="173"/>
      <c r="AI31" s="173"/>
      <c r="AJ31" s="57"/>
      <c r="AK31" s="57"/>
      <c r="AL31" s="57"/>
    </row>
    <row r="32" spans="1:175" s="56" customFormat="1" x14ac:dyDescent="0.2">
      <c r="A32" s="177"/>
      <c r="B32" s="68"/>
      <c r="C32" s="420" t="str">
        <f t="shared" si="12"/>
        <v/>
      </c>
      <c r="D32" s="147" t="s">
        <v>4193</v>
      </c>
      <c r="E32" s="101">
        <f t="shared" si="13"/>
        <v>-1</v>
      </c>
      <c r="F32" s="64"/>
      <c r="G32" s="173"/>
      <c r="H32" s="173"/>
      <c r="I32" s="173"/>
      <c r="J32" s="173"/>
      <c r="K32" s="175"/>
      <c r="L32" s="173"/>
      <c r="M32" s="173"/>
      <c r="N32" s="173"/>
      <c r="O32" s="173"/>
      <c r="P32" s="181"/>
      <c r="Q32" s="173"/>
      <c r="R32" s="181"/>
      <c r="S32" s="173"/>
      <c r="T32" s="437">
        <v>-1</v>
      </c>
      <c r="U32" s="173"/>
      <c r="V32" s="173"/>
      <c r="W32" s="175"/>
      <c r="X32" s="175"/>
      <c r="Y32" s="175"/>
      <c r="Z32" s="175"/>
      <c r="AA32" s="175"/>
      <c r="AB32" s="171"/>
      <c r="AC32" s="175"/>
      <c r="AD32" s="173"/>
      <c r="AE32" s="175"/>
      <c r="AF32" s="173"/>
      <c r="AG32" s="175"/>
      <c r="AH32" s="173"/>
      <c r="AI32" s="173"/>
      <c r="AJ32" s="57"/>
      <c r="AK32" s="57"/>
      <c r="AL32" s="57"/>
    </row>
    <row r="33" spans="1:180" s="56" customFormat="1" x14ac:dyDescent="0.2">
      <c r="A33" s="177"/>
      <c r="B33" s="68"/>
      <c r="C33" s="419" t="str">
        <f t="shared" si="12"/>
        <v/>
      </c>
      <c r="D33" s="147" t="s">
        <v>3028</v>
      </c>
      <c r="E33" s="65">
        <f t="shared" si="13"/>
        <v>-1</v>
      </c>
      <c r="F33" s="64"/>
      <c r="G33" s="173"/>
      <c r="H33" s="173"/>
      <c r="I33" s="173"/>
      <c r="J33" s="173"/>
      <c r="K33" s="175"/>
      <c r="L33" s="173"/>
      <c r="M33" s="173"/>
      <c r="N33" s="173"/>
      <c r="O33" s="173"/>
      <c r="P33" s="181"/>
      <c r="Q33" s="173"/>
      <c r="R33" s="173"/>
      <c r="S33" s="181"/>
      <c r="T33" s="173"/>
      <c r="U33" s="437">
        <v>-1</v>
      </c>
      <c r="V33" s="173"/>
      <c r="W33" s="175"/>
      <c r="X33" s="175"/>
      <c r="Y33" s="175"/>
      <c r="Z33" s="175"/>
      <c r="AA33" s="175"/>
      <c r="AB33" s="175"/>
      <c r="AC33" s="175"/>
      <c r="AD33" s="173"/>
      <c r="AE33" s="175"/>
      <c r="AF33" s="173"/>
      <c r="AG33" s="175"/>
      <c r="AH33" s="173"/>
      <c r="AI33" s="173"/>
      <c r="AJ33" s="57"/>
      <c r="AK33" s="57"/>
      <c r="AL33" s="57"/>
    </row>
    <row r="34" spans="1:180" s="56" customFormat="1" x14ac:dyDescent="0.2">
      <c r="A34" s="177"/>
      <c r="B34" s="68"/>
      <c r="C34" s="419">
        <f t="shared" si="12"/>
        <v>2.6666666666666665</v>
      </c>
      <c r="D34" s="147" t="s">
        <v>3029</v>
      </c>
      <c r="E34" s="65">
        <f t="shared" si="13"/>
        <v>1</v>
      </c>
      <c r="F34" s="64"/>
      <c r="G34" s="173"/>
      <c r="H34" s="173"/>
      <c r="I34" s="173"/>
      <c r="J34" s="173"/>
      <c r="K34" s="175"/>
      <c r="L34" s="173"/>
      <c r="M34" s="173"/>
      <c r="N34" s="173"/>
      <c r="O34" s="173"/>
      <c r="P34" s="181"/>
      <c r="Q34" s="173"/>
      <c r="R34" s="173"/>
      <c r="S34" s="173"/>
      <c r="T34" s="181"/>
      <c r="U34" s="437">
        <v>1</v>
      </c>
      <c r="V34" s="173"/>
      <c r="W34" s="173"/>
      <c r="X34" s="175"/>
      <c r="Y34" s="175"/>
      <c r="Z34" s="175"/>
      <c r="AA34" s="175"/>
      <c r="AB34" s="175"/>
      <c r="AC34" s="175"/>
      <c r="AD34" s="173"/>
      <c r="AE34" s="175"/>
      <c r="AF34" s="173"/>
      <c r="AG34" s="175"/>
      <c r="AH34" s="173"/>
      <c r="AI34" s="173"/>
      <c r="AJ34" s="57"/>
      <c r="AK34" s="57"/>
      <c r="AL34" s="57"/>
    </row>
    <row r="35" spans="1:180" s="56" customFormat="1" x14ac:dyDescent="0.2">
      <c r="A35" s="177"/>
      <c r="B35" s="68"/>
      <c r="C35" s="419" t="str">
        <f t="shared" si="12"/>
        <v/>
      </c>
      <c r="D35" s="147" t="s">
        <v>4194</v>
      </c>
      <c r="E35" s="65">
        <f t="shared" si="13"/>
        <v>0</v>
      </c>
      <c r="F35" s="64"/>
      <c r="G35" s="173"/>
      <c r="H35" s="173"/>
      <c r="I35" s="173"/>
      <c r="J35" s="173"/>
      <c r="K35" s="175"/>
      <c r="L35" s="173"/>
      <c r="M35" s="173"/>
      <c r="N35" s="173"/>
      <c r="O35" s="173"/>
      <c r="P35" s="181"/>
      <c r="Q35" s="173"/>
      <c r="R35" s="173"/>
      <c r="S35" s="173"/>
      <c r="T35" s="173"/>
      <c r="U35" s="173"/>
      <c r="V35" s="173"/>
      <c r="W35" s="173"/>
      <c r="X35" s="175"/>
      <c r="Y35" s="175"/>
      <c r="Z35" s="175"/>
      <c r="AA35" s="175"/>
      <c r="AB35" s="175"/>
      <c r="AC35" s="175"/>
      <c r="AD35" s="173"/>
      <c r="AE35" s="173"/>
      <c r="AF35" s="173"/>
      <c r="AG35" s="175"/>
      <c r="AH35" s="173"/>
      <c r="AI35" s="173"/>
      <c r="AJ35" s="57"/>
      <c r="AK35" s="57"/>
      <c r="AL35" s="57"/>
    </row>
    <row r="36" spans="1:180" s="56" customFormat="1" x14ac:dyDescent="0.2">
      <c r="A36" s="177"/>
      <c r="B36" s="68"/>
      <c r="C36" s="419" t="str">
        <f t="shared" si="12"/>
        <v/>
      </c>
      <c r="D36" s="147" t="s">
        <v>4195</v>
      </c>
      <c r="E36" s="65">
        <f t="shared" si="13"/>
        <v>0</v>
      </c>
      <c r="F36" s="64"/>
      <c r="G36" s="173"/>
      <c r="H36" s="173"/>
      <c r="I36" s="173"/>
      <c r="J36" s="173"/>
      <c r="K36" s="175"/>
      <c r="L36" s="173"/>
      <c r="M36" s="173"/>
      <c r="N36" s="173"/>
      <c r="O36" s="173"/>
      <c r="P36" s="173"/>
      <c r="Q36" s="173"/>
      <c r="R36" s="173"/>
      <c r="S36" s="173"/>
      <c r="T36" s="173"/>
      <c r="U36" s="173"/>
      <c r="V36" s="173"/>
      <c r="W36" s="173"/>
      <c r="X36" s="175"/>
      <c r="Y36" s="176"/>
      <c r="Z36" s="175"/>
      <c r="AA36" s="175"/>
      <c r="AB36" s="175"/>
      <c r="AC36" s="175"/>
      <c r="AD36" s="173"/>
      <c r="AE36" s="175"/>
      <c r="AF36" s="173"/>
      <c r="AG36" s="176"/>
      <c r="AH36" s="173"/>
      <c r="AI36" s="173"/>
      <c r="AJ36" s="57"/>
      <c r="AK36" s="57"/>
      <c r="AL36" s="57"/>
    </row>
    <row r="37" spans="1:180" s="56" customFormat="1" x14ac:dyDescent="0.2">
      <c r="A37" s="177"/>
      <c r="B37" s="68"/>
      <c r="C37" s="420">
        <f t="shared" si="12"/>
        <v>2.6666666666666665</v>
      </c>
      <c r="D37" s="147" t="s">
        <v>3037</v>
      </c>
      <c r="E37" s="101">
        <f>SUM(G37:HQ37)</f>
        <v>1</v>
      </c>
      <c r="F37" s="64"/>
      <c r="G37" s="173"/>
      <c r="H37" s="173"/>
      <c r="I37" s="173"/>
      <c r="J37" s="173"/>
      <c r="K37" s="175"/>
      <c r="L37" s="175"/>
      <c r="M37" s="175"/>
      <c r="N37" s="175"/>
      <c r="O37" s="175"/>
      <c r="P37" s="175"/>
      <c r="Q37" s="175"/>
      <c r="R37" s="173"/>
      <c r="S37" s="175"/>
      <c r="T37" s="175"/>
      <c r="U37" s="175"/>
      <c r="V37" s="175"/>
      <c r="W37" s="437">
        <v>1</v>
      </c>
      <c r="X37" s="175"/>
      <c r="Y37" s="176"/>
      <c r="Z37" s="176"/>
      <c r="AA37" s="176"/>
      <c r="AB37" s="175"/>
      <c r="AC37" s="175"/>
      <c r="AD37" s="175"/>
      <c r="AE37" s="173"/>
      <c r="AF37" s="175"/>
      <c r="AG37" s="175"/>
      <c r="AH37" s="175"/>
      <c r="AI37" s="175"/>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19" t="str">
        <f t="shared" si="12"/>
        <v/>
      </c>
      <c r="D38" s="38" t="s">
        <v>4197</v>
      </c>
      <c r="E38" s="65">
        <f>SUM(G38:HL38)</f>
        <v>0</v>
      </c>
      <c r="F38" s="64"/>
      <c r="G38" s="173"/>
      <c r="H38" s="173"/>
      <c r="I38" s="173"/>
      <c r="J38" s="173"/>
      <c r="K38" s="175"/>
      <c r="L38" s="173"/>
      <c r="M38" s="173"/>
      <c r="N38" s="173"/>
      <c r="O38" s="173"/>
      <c r="P38" s="173"/>
      <c r="Q38" s="173"/>
      <c r="R38" s="173"/>
      <c r="S38" s="173"/>
      <c r="T38" s="173"/>
      <c r="U38" s="173"/>
      <c r="V38" s="173"/>
      <c r="W38" s="173"/>
      <c r="X38" s="175"/>
      <c r="Y38" s="176"/>
      <c r="Z38" s="176"/>
      <c r="AA38" s="175"/>
      <c r="AB38" s="175"/>
      <c r="AC38" s="176"/>
      <c r="AD38" s="173"/>
      <c r="AE38" s="173"/>
      <c r="AF38" s="173"/>
      <c r="AG38" s="176"/>
      <c r="AH38" s="173"/>
      <c r="AI38" s="173"/>
      <c r="AJ38" s="57"/>
      <c r="AK38" s="57"/>
      <c r="AL38" s="57"/>
    </row>
    <row r="39" spans="1:180" s="56" customFormat="1" x14ac:dyDescent="0.2">
      <c r="A39" s="177"/>
      <c r="B39" s="68"/>
      <c r="C39" s="419" t="str">
        <f t="shared" si="12"/>
        <v/>
      </c>
      <c r="D39" s="147" t="s">
        <v>4198</v>
      </c>
      <c r="E39" s="65">
        <f>SUM(G39:GZ39)</f>
        <v>0</v>
      </c>
      <c r="F39" s="64"/>
      <c r="G39" s="173"/>
      <c r="H39" s="174"/>
      <c r="I39" s="174"/>
      <c r="J39" s="174"/>
      <c r="K39" s="175"/>
      <c r="L39" s="175"/>
      <c r="M39" s="175"/>
      <c r="N39" s="175"/>
      <c r="O39" s="175"/>
      <c r="P39" s="175"/>
      <c r="Q39" s="175"/>
      <c r="R39" s="175"/>
      <c r="S39" s="175"/>
      <c r="T39" s="175"/>
      <c r="U39" s="175"/>
      <c r="V39" s="175"/>
      <c r="W39" s="175"/>
      <c r="X39" s="175"/>
      <c r="Y39" s="176"/>
      <c r="Z39" s="176"/>
      <c r="AA39" s="176"/>
      <c r="AB39" s="175"/>
      <c r="AC39" s="175"/>
      <c r="AD39" s="175"/>
      <c r="AE39" s="175"/>
      <c r="AF39" s="175"/>
      <c r="AG39" s="175"/>
      <c r="AH39" s="175"/>
      <c r="AI39" s="175"/>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row>
    <row r="40" spans="1:180" s="56" customFormat="1" x14ac:dyDescent="0.2">
      <c r="A40" s="177"/>
      <c r="B40" s="68"/>
      <c r="C40" s="420" t="str">
        <f t="shared" si="12"/>
        <v/>
      </c>
      <c r="D40" s="147" t="s">
        <v>8640</v>
      </c>
      <c r="E40" s="101">
        <f>SUM(G40:GZ40)</f>
        <v>0</v>
      </c>
      <c r="F40" s="64"/>
      <c r="G40" s="173"/>
      <c r="H40" s="174"/>
      <c r="I40" s="174"/>
      <c r="J40" s="174"/>
      <c r="K40" s="175"/>
      <c r="L40" s="175"/>
      <c r="M40" s="175"/>
      <c r="N40" s="175"/>
      <c r="O40" s="175"/>
      <c r="P40" s="175"/>
      <c r="Q40" s="175"/>
      <c r="R40" s="175"/>
      <c r="S40" s="175"/>
      <c r="T40" s="175"/>
      <c r="U40" s="175"/>
      <c r="V40" s="175"/>
      <c r="W40" s="175"/>
      <c r="X40" s="175"/>
      <c r="Y40" s="175"/>
      <c r="Z40" s="176"/>
      <c r="AA40" s="175"/>
      <c r="AB40" s="175"/>
      <c r="AC40" s="176"/>
      <c r="AD40" s="175"/>
      <c r="AE40" s="175"/>
      <c r="AF40" s="175"/>
      <c r="AG40" s="175"/>
      <c r="AH40" s="175"/>
      <c r="AI40" s="175"/>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row>
    <row r="41" spans="1:180" s="56" customFormat="1" x14ac:dyDescent="0.2">
      <c r="A41" s="177"/>
      <c r="B41" s="68"/>
      <c r="C41" s="419" t="str">
        <f t="shared" si="12"/>
        <v/>
      </c>
      <c r="D41" s="38" t="s">
        <v>4199</v>
      </c>
      <c r="E41" s="65">
        <f>SUM(G41:GZ41)</f>
        <v>0</v>
      </c>
      <c r="F41" s="64"/>
      <c r="G41" s="173"/>
      <c r="H41" s="174"/>
      <c r="I41" s="174"/>
      <c r="J41" s="174"/>
      <c r="K41" s="175"/>
      <c r="L41" s="175"/>
      <c r="M41" s="175"/>
      <c r="N41" s="175"/>
      <c r="O41" s="175"/>
      <c r="P41" s="175"/>
      <c r="Q41" s="175"/>
      <c r="R41" s="175"/>
      <c r="S41" s="175"/>
      <c r="T41" s="175"/>
      <c r="U41" s="175"/>
      <c r="V41" s="175"/>
      <c r="W41" s="175"/>
      <c r="X41" s="175"/>
      <c r="Y41" s="175"/>
      <c r="Z41" s="175"/>
      <c r="AA41" s="176"/>
      <c r="AB41" s="176"/>
      <c r="AC41" s="175"/>
      <c r="AD41" s="175"/>
      <c r="AE41" s="175"/>
      <c r="AF41" s="175"/>
      <c r="AG41" s="175"/>
      <c r="AH41" s="175"/>
      <c r="AI41" s="175"/>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row>
    <row r="42" spans="1:180" s="56" customFormat="1" x14ac:dyDescent="0.2">
      <c r="A42" s="177"/>
      <c r="B42" s="68"/>
      <c r="C42" s="420" t="str">
        <f t="shared" ref="C42:C74" si="14">IFERROR(IF($E42&gt;0,$E42/SUMIF($E$10:$E$74,"&gt;0")*$D$5,""),"")</f>
        <v/>
      </c>
      <c r="D42" s="37" t="s">
        <v>8641</v>
      </c>
      <c r="E42" s="101">
        <f>SUM(G42:GZ42)</f>
        <v>0</v>
      </c>
      <c r="F42" s="64"/>
      <c r="G42" s="173"/>
      <c r="H42" s="174"/>
      <c r="I42" s="174"/>
      <c r="J42" s="174"/>
      <c r="K42" s="175"/>
      <c r="L42" s="176"/>
      <c r="M42" s="176"/>
      <c r="N42" s="175"/>
      <c r="O42" s="175"/>
      <c r="P42" s="175"/>
      <c r="Q42" s="175"/>
      <c r="R42" s="175"/>
      <c r="S42" s="175"/>
      <c r="T42" s="175"/>
      <c r="U42" s="175"/>
      <c r="V42" s="175"/>
      <c r="W42" s="175"/>
      <c r="X42" s="175"/>
      <c r="Y42" s="175"/>
      <c r="Z42" s="175"/>
      <c r="AA42" s="175"/>
      <c r="AB42" s="175"/>
      <c r="AC42" s="176"/>
      <c r="AD42" s="175"/>
      <c r="AE42" s="175"/>
      <c r="AF42" s="175"/>
      <c r="AG42" s="175"/>
      <c r="AH42" s="175"/>
      <c r="AI42" s="175"/>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row>
    <row r="43" spans="1:180" s="56" customFormat="1" x14ac:dyDescent="0.2">
      <c r="A43" s="177"/>
      <c r="B43" s="68"/>
      <c r="C43" s="420" t="str">
        <f t="shared" si="14"/>
        <v/>
      </c>
      <c r="D43" s="37" t="s">
        <v>4200</v>
      </c>
      <c r="E43" s="101">
        <f>SUM(G43:GZ43)</f>
        <v>0</v>
      </c>
      <c r="F43" s="64"/>
      <c r="G43" s="173"/>
      <c r="H43" s="174"/>
      <c r="I43" s="174"/>
      <c r="J43" s="174"/>
      <c r="K43" s="175"/>
      <c r="L43" s="175"/>
      <c r="M43" s="175"/>
      <c r="N43" s="175"/>
      <c r="O43" s="175"/>
      <c r="P43" s="175"/>
      <c r="Q43" s="175"/>
      <c r="R43" s="175"/>
      <c r="S43" s="175"/>
      <c r="T43" s="175"/>
      <c r="U43" s="175"/>
      <c r="V43" s="175"/>
      <c r="W43" s="175"/>
      <c r="X43" s="175"/>
      <c r="Y43" s="175"/>
      <c r="Z43" s="175"/>
      <c r="AA43" s="175"/>
      <c r="AB43" s="175"/>
      <c r="AC43" s="176"/>
      <c r="AD43" s="175"/>
      <c r="AE43" s="175"/>
      <c r="AF43" s="175"/>
      <c r="AG43" s="175"/>
      <c r="AH43" s="175"/>
      <c r="AI43" s="175"/>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row>
    <row r="44" spans="1:180" s="56" customFormat="1" ht="12" customHeight="1" x14ac:dyDescent="0.2">
      <c r="A44" s="177"/>
      <c r="B44" s="68"/>
      <c r="C44" s="420" t="str">
        <f t="shared" si="14"/>
        <v/>
      </c>
      <c r="D44" s="38" t="s">
        <v>8642</v>
      </c>
      <c r="E44" s="101">
        <f>SUM(G44:HL44)</f>
        <v>0</v>
      </c>
      <c r="F44" s="64"/>
      <c r="G44" s="173"/>
      <c r="H44" s="173"/>
      <c r="I44" s="173"/>
      <c r="J44" s="173"/>
      <c r="K44" s="175"/>
      <c r="L44" s="173"/>
      <c r="M44" s="173"/>
      <c r="N44" s="173"/>
      <c r="O44" s="173"/>
      <c r="P44" s="173"/>
      <c r="Q44" s="173"/>
      <c r="R44" s="173"/>
      <c r="S44" s="173"/>
      <c r="T44" s="173"/>
      <c r="U44" s="173"/>
      <c r="V44" s="173"/>
      <c r="W44" s="175"/>
      <c r="X44" s="175"/>
      <c r="Y44" s="175"/>
      <c r="Z44" s="175"/>
      <c r="AA44" s="176"/>
      <c r="AB44" s="176"/>
      <c r="AC44" s="175"/>
      <c r="AD44" s="173"/>
      <c r="AE44" s="175"/>
      <c r="AF44" s="173"/>
      <c r="AG44" s="175"/>
      <c r="AH44" s="173"/>
      <c r="AI44" s="173"/>
      <c r="AJ44" s="57"/>
      <c r="AK44" s="57"/>
      <c r="AL44" s="57"/>
    </row>
    <row r="45" spans="1:180" s="56" customFormat="1" x14ac:dyDescent="0.2">
      <c r="A45" s="177"/>
      <c r="B45" s="68"/>
      <c r="C45" s="420" t="str">
        <f t="shared" si="14"/>
        <v/>
      </c>
      <c r="D45" s="37" t="s">
        <v>4201</v>
      </c>
      <c r="E45" s="101">
        <f>SUM(G45:HH45)</f>
        <v>0</v>
      </c>
      <c r="F45" s="64"/>
      <c r="G45" s="173"/>
      <c r="H45" s="175"/>
      <c r="I45" s="175"/>
      <c r="J45" s="175"/>
      <c r="K45" s="175"/>
      <c r="L45" s="175"/>
      <c r="M45" s="175"/>
      <c r="N45" s="175"/>
      <c r="O45" s="175"/>
      <c r="P45" s="175"/>
      <c r="Q45" s="175"/>
      <c r="R45" s="175"/>
      <c r="S45" s="175"/>
      <c r="T45" s="175"/>
      <c r="U45" s="173"/>
      <c r="V45" s="175"/>
      <c r="W45" s="175"/>
      <c r="X45" s="175"/>
      <c r="Y45" s="175"/>
      <c r="Z45" s="175"/>
      <c r="AA45" s="175"/>
      <c r="AB45" s="175"/>
      <c r="AC45" s="176"/>
      <c r="AD45" s="175"/>
      <c r="AE45" s="173"/>
      <c r="AF45" s="175"/>
      <c r="AG45" s="175"/>
      <c r="AH45" s="175"/>
      <c r="AI45" s="175"/>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row>
    <row r="46" spans="1:180" s="56" customFormat="1" x14ac:dyDescent="0.2">
      <c r="A46" s="177"/>
      <c r="B46" s="68"/>
      <c r="C46" s="420" t="str">
        <f t="shared" si="14"/>
        <v/>
      </c>
      <c r="D46" s="38" t="s">
        <v>4202</v>
      </c>
      <c r="E46" s="101">
        <f t="shared" ref="E46:E77" si="15">SUM(G46:HL46)</f>
        <v>0</v>
      </c>
      <c r="F46" s="64"/>
      <c r="G46" s="173"/>
      <c r="H46" s="173"/>
      <c r="I46" s="173"/>
      <c r="J46" s="173"/>
      <c r="K46" s="175"/>
      <c r="L46" s="173"/>
      <c r="M46" s="173"/>
      <c r="N46" s="173"/>
      <c r="O46" s="173"/>
      <c r="P46" s="173"/>
      <c r="Q46" s="173"/>
      <c r="R46" s="173"/>
      <c r="S46" s="173"/>
      <c r="T46" s="173"/>
      <c r="U46" s="173"/>
      <c r="V46" s="173"/>
      <c r="W46" s="175"/>
      <c r="X46" s="175"/>
      <c r="Y46" s="175"/>
      <c r="Z46" s="175"/>
      <c r="AA46" s="175"/>
      <c r="AB46" s="175"/>
      <c r="AC46" s="176"/>
      <c r="AD46" s="173"/>
      <c r="AE46" s="175"/>
      <c r="AF46" s="181"/>
      <c r="AG46" s="175"/>
      <c r="AH46" s="173"/>
      <c r="AI46" s="173"/>
      <c r="AJ46" s="57"/>
      <c r="AK46" s="57"/>
      <c r="AL46" s="57"/>
    </row>
    <row r="47" spans="1:180" s="56" customFormat="1" x14ac:dyDescent="0.2">
      <c r="A47" s="177"/>
      <c r="B47" s="68"/>
      <c r="C47" s="420" t="str">
        <f t="shared" si="14"/>
        <v/>
      </c>
      <c r="D47" s="37" t="s">
        <v>4203</v>
      </c>
      <c r="E47" s="101">
        <f t="shared" si="15"/>
        <v>0</v>
      </c>
      <c r="F47" s="64"/>
      <c r="G47" s="173"/>
      <c r="H47" s="173"/>
      <c r="I47" s="173"/>
      <c r="J47" s="173"/>
      <c r="K47" s="175"/>
      <c r="L47" s="173"/>
      <c r="M47" s="173"/>
      <c r="N47" s="173"/>
      <c r="O47" s="173"/>
      <c r="P47" s="173"/>
      <c r="Q47" s="173"/>
      <c r="R47" s="173"/>
      <c r="S47" s="173"/>
      <c r="T47" s="173"/>
      <c r="U47" s="173"/>
      <c r="V47" s="173"/>
      <c r="W47" s="175"/>
      <c r="X47" s="175"/>
      <c r="Y47" s="175"/>
      <c r="Z47" s="175"/>
      <c r="AA47" s="175"/>
      <c r="AB47" s="175"/>
      <c r="AC47" s="175"/>
      <c r="AD47" s="173"/>
      <c r="AE47" s="175"/>
      <c r="AF47" s="181"/>
      <c r="AG47" s="176"/>
      <c r="AH47" s="173"/>
      <c r="AI47" s="173"/>
      <c r="AJ47" s="57"/>
      <c r="AK47" s="57"/>
      <c r="AL47" s="57"/>
    </row>
    <row r="48" spans="1:180" s="56" customFormat="1" x14ac:dyDescent="0.2">
      <c r="A48" s="177"/>
      <c r="B48" s="68"/>
      <c r="C48" s="419" t="str">
        <f t="shared" si="14"/>
        <v/>
      </c>
      <c r="D48" s="38" t="s">
        <v>4204</v>
      </c>
      <c r="E48" s="65">
        <f t="shared" si="15"/>
        <v>0</v>
      </c>
      <c r="F48" s="64"/>
      <c r="G48" s="173"/>
      <c r="H48" s="173"/>
      <c r="I48" s="173"/>
      <c r="J48" s="173"/>
      <c r="K48" s="175"/>
      <c r="L48" s="173"/>
      <c r="M48" s="173"/>
      <c r="N48" s="173"/>
      <c r="O48" s="173"/>
      <c r="P48" s="173"/>
      <c r="Q48" s="173"/>
      <c r="R48" s="173"/>
      <c r="S48" s="173"/>
      <c r="T48" s="173"/>
      <c r="U48" s="173"/>
      <c r="V48" s="173"/>
      <c r="W48" s="175"/>
      <c r="X48" s="175"/>
      <c r="Y48" s="175"/>
      <c r="Z48" s="175"/>
      <c r="AA48" s="175"/>
      <c r="AB48" s="175"/>
      <c r="AC48" s="175"/>
      <c r="AD48" s="173"/>
      <c r="AE48" s="175"/>
      <c r="AF48" s="181"/>
      <c r="AG48" s="176"/>
      <c r="AH48" s="173"/>
      <c r="AI48" s="173"/>
      <c r="AJ48" s="57"/>
      <c r="AK48" s="57"/>
      <c r="AL48" s="57"/>
    </row>
    <row r="49" spans="1:38" s="56" customFormat="1" x14ac:dyDescent="0.2">
      <c r="A49" s="177"/>
      <c r="B49" s="68"/>
      <c r="C49" s="420" t="str">
        <f t="shared" si="14"/>
        <v/>
      </c>
      <c r="D49" s="37" t="s">
        <v>8643</v>
      </c>
      <c r="E49" s="65">
        <f t="shared" si="15"/>
        <v>0</v>
      </c>
      <c r="F49" s="64"/>
      <c r="G49" s="173"/>
      <c r="H49" s="173"/>
      <c r="I49" s="173"/>
      <c r="J49" s="173"/>
      <c r="K49" s="175"/>
      <c r="L49" s="173"/>
      <c r="M49" s="173"/>
      <c r="N49" s="173"/>
      <c r="O49" s="173"/>
      <c r="P49" s="173"/>
      <c r="Q49" s="173"/>
      <c r="R49" s="173"/>
      <c r="S49" s="173"/>
      <c r="T49" s="173"/>
      <c r="U49" s="173"/>
      <c r="V49" s="173"/>
      <c r="W49" s="175"/>
      <c r="X49" s="175"/>
      <c r="Y49" s="175"/>
      <c r="Z49" s="175"/>
      <c r="AA49" s="175"/>
      <c r="AB49" s="175"/>
      <c r="AC49" s="175"/>
      <c r="AD49" s="173"/>
      <c r="AE49" s="175"/>
      <c r="AF49" s="173"/>
      <c r="AG49" s="176"/>
      <c r="AH49" s="173"/>
      <c r="AI49" s="173"/>
      <c r="AJ49" s="57"/>
      <c r="AK49" s="57"/>
      <c r="AL49" s="57"/>
    </row>
    <row r="50" spans="1:38" s="56" customFormat="1" x14ac:dyDescent="0.2">
      <c r="A50" s="67"/>
      <c r="B50" s="66"/>
      <c r="C50" s="419" t="str">
        <f t="shared" si="14"/>
        <v/>
      </c>
      <c r="D50" s="38" t="s">
        <v>8644</v>
      </c>
      <c r="E50" s="65">
        <f t="shared" si="15"/>
        <v>0</v>
      </c>
      <c r="G50" s="174"/>
      <c r="H50" s="173"/>
      <c r="I50" s="173"/>
      <c r="J50" s="173"/>
      <c r="K50" s="175"/>
      <c r="L50" s="173"/>
      <c r="M50" s="173"/>
      <c r="N50" s="173"/>
      <c r="O50" s="173"/>
      <c r="P50" s="173"/>
      <c r="Q50" s="173"/>
      <c r="R50" s="173"/>
      <c r="S50" s="173"/>
      <c r="T50" s="173"/>
      <c r="U50" s="174"/>
      <c r="V50" s="173"/>
      <c r="W50" s="175"/>
      <c r="X50" s="175"/>
      <c r="Y50" s="175"/>
      <c r="Z50" s="175"/>
      <c r="AA50" s="175"/>
      <c r="AB50" s="175"/>
      <c r="AC50" s="175"/>
      <c r="AD50" s="173"/>
      <c r="AE50" s="175"/>
      <c r="AF50" s="173"/>
      <c r="AG50" s="175"/>
      <c r="AH50" s="173"/>
      <c r="AI50" s="173"/>
      <c r="AJ50" s="57"/>
      <c r="AK50" s="57"/>
      <c r="AL50" s="57"/>
    </row>
    <row r="51" spans="1:38" s="56" customFormat="1" x14ac:dyDescent="0.2">
      <c r="A51" s="67"/>
      <c r="B51" s="66"/>
      <c r="C51" s="419" t="str">
        <f t="shared" si="14"/>
        <v/>
      </c>
      <c r="D51" s="38" t="s">
        <v>4205</v>
      </c>
      <c r="E51" s="65">
        <f t="shared" si="15"/>
        <v>0</v>
      </c>
      <c r="G51" s="174"/>
      <c r="H51" s="173"/>
      <c r="I51" s="173"/>
      <c r="J51" s="173"/>
      <c r="K51" s="175"/>
      <c r="L51" s="173"/>
      <c r="M51" s="173"/>
      <c r="N51" s="173"/>
      <c r="O51" s="173"/>
      <c r="P51" s="173"/>
      <c r="Q51" s="173"/>
      <c r="R51" s="173"/>
      <c r="S51" s="173"/>
      <c r="T51" s="173"/>
      <c r="U51" s="173"/>
      <c r="V51" s="173"/>
      <c r="W51" s="175"/>
      <c r="X51" s="175"/>
      <c r="Y51" s="175"/>
      <c r="Z51" s="175"/>
      <c r="AA51" s="175"/>
      <c r="AB51" s="175"/>
      <c r="AC51" s="175"/>
      <c r="AD51" s="173"/>
      <c r="AE51" s="175"/>
      <c r="AF51" s="173"/>
      <c r="AG51" s="175"/>
      <c r="AH51" s="173"/>
      <c r="AI51" s="173"/>
      <c r="AJ51" s="57"/>
      <c r="AK51" s="57"/>
      <c r="AL51" s="57"/>
    </row>
    <row r="52" spans="1:38" s="56" customFormat="1" x14ac:dyDescent="0.2">
      <c r="A52" s="67"/>
      <c r="B52" s="66"/>
      <c r="C52" s="420" t="str">
        <f t="shared" si="14"/>
        <v/>
      </c>
      <c r="D52" s="38" t="s">
        <v>4206</v>
      </c>
      <c r="E52" s="101">
        <f t="shared" si="15"/>
        <v>0</v>
      </c>
      <c r="G52" s="174"/>
      <c r="H52" s="173"/>
      <c r="I52" s="173"/>
      <c r="J52" s="173"/>
      <c r="K52" s="175"/>
      <c r="L52" s="173"/>
      <c r="M52" s="173"/>
      <c r="N52" s="173"/>
      <c r="O52" s="173"/>
      <c r="P52" s="173"/>
      <c r="Q52" s="173"/>
      <c r="R52" s="173"/>
      <c r="S52" s="173"/>
      <c r="T52" s="173"/>
      <c r="U52" s="173"/>
      <c r="V52" s="173"/>
      <c r="W52" s="175"/>
      <c r="X52" s="175"/>
      <c r="Y52" s="175"/>
      <c r="Z52" s="175"/>
      <c r="AA52" s="175"/>
      <c r="AB52" s="175"/>
      <c r="AC52" s="175"/>
      <c r="AD52" s="173"/>
      <c r="AE52" s="175"/>
      <c r="AF52" s="173"/>
      <c r="AG52" s="175"/>
      <c r="AH52" s="173"/>
      <c r="AI52" s="173"/>
      <c r="AJ52" s="57"/>
      <c r="AK52" s="57"/>
      <c r="AL52" s="57"/>
    </row>
    <row r="53" spans="1:38" s="56" customFormat="1" x14ac:dyDescent="0.2">
      <c r="A53" s="67"/>
      <c r="B53" s="66"/>
      <c r="C53" s="420" t="str">
        <f t="shared" si="14"/>
        <v/>
      </c>
      <c r="D53" s="38" t="s">
        <v>4207</v>
      </c>
      <c r="E53" s="101">
        <f t="shared" si="15"/>
        <v>0</v>
      </c>
      <c r="G53" s="174"/>
      <c r="H53" s="173"/>
      <c r="I53" s="173"/>
      <c r="J53" s="173"/>
      <c r="K53" s="175"/>
      <c r="L53" s="173"/>
      <c r="M53" s="173"/>
      <c r="N53" s="173"/>
      <c r="O53" s="173"/>
      <c r="P53" s="173"/>
      <c r="Q53" s="173"/>
      <c r="R53" s="173"/>
      <c r="S53" s="173"/>
      <c r="T53" s="173"/>
      <c r="U53" s="173"/>
      <c r="V53" s="173"/>
      <c r="W53" s="175"/>
      <c r="X53" s="175"/>
      <c r="Y53" s="175"/>
      <c r="Z53" s="175"/>
      <c r="AA53" s="175"/>
      <c r="AB53" s="175"/>
      <c r="AC53" s="175"/>
      <c r="AD53" s="173"/>
      <c r="AE53" s="175"/>
      <c r="AF53" s="173"/>
      <c r="AG53" s="175"/>
      <c r="AH53" s="173"/>
      <c r="AI53" s="173"/>
      <c r="AJ53" s="57"/>
      <c r="AK53" s="57"/>
      <c r="AL53" s="57"/>
    </row>
    <row r="54" spans="1:38" s="56" customFormat="1" ht="12.95" customHeight="1" x14ac:dyDescent="0.2">
      <c r="A54" s="67"/>
      <c r="B54" s="66"/>
      <c r="C54" s="419" t="str">
        <f t="shared" si="14"/>
        <v/>
      </c>
      <c r="D54" s="38" t="s">
        <v>240</v>
      </c>
      <c r="E54" s="65">
        <f t="shared" si="15"/>
        <v>-1</v>
      </c>
      <c r="G54" s="174"/>
      <c r="H54" s="173"/>
      <c r="I54" s="173"/>
      <c r="J54" s="173"/>
      <c r="K54" s="175"/>
      <c r="L54" s="173"/>
      <c r="M54" s="173"/>
      <c r="N54" s="173"/>
      <c r="O54" s="173"/>
      <c r="P54" s="173"/>
      <c r="Q54" s="173"/>
      <c r="R54" s="173"/>
      <c r="S54" s="173"/>
      <c r="T54" s="173"/>
      <c r="U54" s="173"/>
      <c r="V54" s="173"/>
      <c r="W54" s="175"/>
      <c r="X54" s="175"/>
      <c r="Y54" s="175"/>
      <c r="Z54" s="175"/>
      <c r="AA54" s="175"/>
      <c r="AB54" s="175"/>
      <c r="AC54" s="432">
        <v>-1</v>
      </c>
      <c r="AD54" s="173"/>
      <c r="AE54" s="175"/>
      <c r="AF54" s="173"/>
      <c r="AG54" s="175"/>
      <c r="AH54" s="173"/>
      <c r="AI54" s="173"/>
      <c r="AJ54" s="57"/>
      <c r="AK54" s="57"/>
      <c r="AL54" s="57"/>
    </row>
    <row r="55" spans="1:38" s="56" customFormat="1" ht="14.1" customHeight="1" x14ac:dyDescent="0.2">
      <c r="A55" s="67"/>
      <c r="B55" s="66"/>
      <c r="C55" s="419">
        <f t="shared" si="14"/>
        <v>2.6666666666666665</v>
      </c>
      <c r="D55" s="38" t="s">
        <v>3497</v>
      </c>
      <c r="E55" s="65">
        <f t="shared" si="15"/>
        <v>1</v>
      </c>
      <c r="G55" s="174"/>
      <c r="H55" s="173"/>
      <c r="I55" s="173"/>
      <c r="J55" s="173"/>
      <c r="K55" s="175"/>
      <c r="L55" s="173"/>
      <c r="M55" s="173"/>
      <c r="N55" s="173"/>
      <c r="O55" s="173"/>
      <c r="P55" s="173"/>
      <c r="Q55" s="173"/>
      <c r="R55" s="173"/>
      <c r="S55" s="173"/>
      <c r="T55" s="173"/>
      <c r="U55" s="173"/>
      <c r="V55" s="173"/>
      <c r="W55" s="175"/>
      <c r="X55" s="175"/>
      <c r="Y55" s="175"/>
      <c r="Z55" s="175"/>
      <c r="AA55" s="175"/>
      <c r="AB55" s="175"/>
      <c r="AC55" s="432">
        <v>1</v>
      </c>
      <c r="AD55" s="173"/>
      <c r="AE55" s="175"/>
      <c r="AF55" s="173"/>
      <c r="AG55" s="176"/>
      <c r="AH55" s="173"/>
      <c r="AI55" s="173"/>
      <c r="AJ55" s="57"/>
      <c r="AK55" s="57"/>
      <c r="AL55" s="57"/>
    </row>
    <row r="56" spans="1:38" s="56" customFormat="1" ht="17.45" customHeight="1" x14ac:dyDescent="0.2">
      <c r="A56" s="67"/>
      <c r="B56" s="66"/>
      <c r="C56" s="419" t="str">
        <f t="shared" si="14"/>
        <v/>
      </c>
      <c r="D56" s="104" t="s">
        <v>4331</v>
      </c>
      <c r="E56" s="65">
        <f t="shared" si="15"/>
        <v>0</v>
      </c>
      <c r="H56" s="57"/>
      <c r="I56" s="57"/>
      <c r="J56" s="57"/>
      <c r="K56" s="144"/>
      <c r="L56" s="57"/>
      <c r="M56" s="57"/>
      <c r="N56" s="57"/>
      <c r="O56" s="57"/>
      <c r="P56" s="57"/>
      <c r="Q56" s="57"/>
      <c r="R56" s="57"/>
      <c r="S56" s="57"/>
      <c r="T56" s="57"/>
      <c r="U56" s="57"/>
      <c r="V56" s="57"/>
      <c r="W56" s="144"/>
      <c r="X56" s="144"/>
      <c r="Y56" s="144"/>
      <c r="Z56" s="144"/>
      <c r="AA56" s="144"/>
      <c r="AB56" s="144"/>
      <c r="AC56" s="144"/>
      <c r="AD56" s="57"/>
      <c r="AE56" s="144"/>
      <c r="AF56" s="57"/>
      <c r="AG56" s="175"/>
      <c r="AH56" s="57"/>
      <c r="AI56" s="57"/>
      <c r="AJ56" s="57"/>
      <c r="AK56" s="57"/>
      <c r="AL56" s="57"/>
    </row>
    <row r="57" spans="1:38" s="56" customFormat="1" ht="17.45" customHeight="1" x14ac:dyDescent="0.2">
      <c r="A57" s="67"/>
      <c r="B57" s="66"/>
      <c r="C57" s="419" t="str">
        <f t="shared" si="14"/>
        <v/>
      </c>
      <c r="D57" s="104" t="s">
        <v>252</v>
      </c>
      <c r="E57" s="65">
        <f t="shared" si="15"/>
        <v>0</v>
      </c>
      <c r="H57" s="57"/>
      <c r="I57" s="57"/>
      <c r="J57" s="57"/>
      <c r="K57" s="144"/>
      <c r="L57" s="57"/>
      <c r="M57" s="57"/>
      <c r="N57" s="57"/>
      <c r="O57" s="57"/>
      <c r="P57" s="57"/>
      <c r="Q57" s="57"/>
      <c r="R57" s="57"/>
      <c r="S57" s="57"/>
      <c r="T57" s="57"/>
      <c r="U57" s="57"/>
      <c r="V57" s="57"/>
      <c r="W57" s="144"/>
      <c r="X57" s="144"/>
      <c r="Y57" s="144"/>
      <c r="Z57" s="144"/>
      <c r="AA57" s="144"/>
      <c r="AB57" s="144"/>
      <c r="AC57" s="144"/>
      <c r="AD57" s="57"/>
      <c r="AE57" s="144"/>
      <c r="AF57" s="57"/>
      <c r="AG57" s="175"/>
      <c r="AH57" s="57"/>
      <c r="AI57" s="57"/>
      <c r="AJ57" s="57"/>
      <c r="AK57" s="57"/>
      <c r="AL57" s="57"/>
    </row>
    <row r="58" spans="1:38" s="56" customFormat="1" ht="17.45" customHeight="1" x14ac:dyDescent="0.2">
      <c r="A58" s="67"/>
      <c r="B58" s="66"/>
      <c r="C58" s="419" t="str">
        <f t="shared" si="14"/>
        <v/>
      </c>
      <c r="D58" s="102" t="s">
        <v>4332</v>
      </c>
      <c r="E58" s="65">
        <f t="shared" si="15"/>
        <v>0</v>
      </c>
      <c r="H58" s="57"/>
      <c r="I58" s="57"/>
      <c r="J58" s="57"/>
      <c r="K58" s="144"/>
      <c r="L58" s="57"/>
      <c r="M58" s="57"/>
      <c r="N58" s="57"/>
      <c r="O58" s="57"/>
      <c r="P58" s="57"/>
      <c r="Q58" s="57"/>
      <c r="R58" s="57"/>
      <c r="S58" s="57"/>
      <c r="T58" s="57"/>
      <c r="U58" s="57"/>
      <c r="V58" s="57"/>
      <c r="W58" s="144"/>
      <c r="X58" s="144"/>
      <c r="Y58" s="144"/>
      <c r="Z58" s="144"/>
      <c r="AA58" s="144"/>
      <c r="AB58" s="144"/>
      <c r="AC58" s="144"/>
      <c r="AD58" s="57"/>
      <c r="AE58" s="144"/>
      <c r="AF58" s="57"/>
      <c r="AG58" s="175"/>
      <c r="AH58" s="57"/>
      <c r="AI58" s="57"/>
      <c r="AJ58" s="57"/>
      <c r="AK58" s="57"/>
      <c r="AL58" s="57"/>
    </row>
    <row r="59" spans="1:38" s="56" customFormat="1" ht="17.45" customHeight="1" x14ac:dyDescent="0.2">
      <c r="A59" s="67" t="s">
        <v>58</v>
      </c>
      <c r="B59" s="66"/>
      <c r="C59" s="419" t="str">
        <f t="shared" si="14"/>
        <v/>
      </c>
      <c r="D59" s="102" t="s">
        <v>263</v>
      </c>
      <c r="E59" s="65">
        <f t="shared" si="15"/>
        <v>0</v>
      </c>
      <c r="H59" s="57"/>
      <c r="I59" s="57"/>
      <c r="J59" s="57"/>
      <c r="K59" s="144"/>
      <c r="L59" s="57"/>
      <c r="M59" s="57"/>
      <c r="N59" s="57"/>
      <c r="O59" s="57"/>
      <c r="P59" s="57"/>
      <c r="Q59" s="57"/>
      <c r="R59" s="57"/>
      <c r="S59" s="57"/>
      <c r="T59" s="57"/>
      <c r="U59" s="57"/>
      <c r="V59" s="57"/>
      <c r="W59" s="144"/>
      <c r="X59" s="144"/>
      <c r="Y59" s="144"/>
      <c r="Z59" s="144"/>
      <c r="AA59" s="144"/>
      <c r="AB59" s="144"/>
      <c r="AC59" s="144"/>
      <c r="AD59" s="57"/>
      <c r="AE59" s="144"/>
      <c r="AF59" s="57"/>
      <c r="AG59" s="175"/>
      <c r="AH59" s="57"/>
      <c r="AI59" s="57"/>
      <c r="AJ59" s="57"/>
      <c r="AK59" s="57"/>
      <c r="AL59" s="57"/>
    </row>
    <row r="60" spans="1:38" s="56" customFormat="1" ht="16.5" customHeight="1" x14ac:dyDescent="0.2">
      <c r="A60" s="67"/>
      <c r="B60" s="66"/>
      <c r="C60" s="419" t="str">
        <f t="shared" si="14"/>
        <v/>
      </c>
      <c r="D60" s="102" t="s">
        <v>1544</v>
      </c>
      <c r="E60" s="65">
        <f t="shared" si="15"/>
        <v>0</v>
      </c>
      <c r="H60" s="57"/>
      <c r="I60" s="57"/>
      <c r="J60" s="57"/>
      <c r="K60" s="144"/>
      <c r="L60" s="57"/>
      <c r="M60" s="57"/>
      <c r="N60" s="57"/>
      <c r="O60" s="57"/>
      <c r="P60" s="57"/>
      <c r="Q60" s="57"/>
      <c r="R60" s="57"/>
      <c r="S60" s="57"/>
      <c r="T60" s="57"/>
      <c r="U60" s="57"/>
      <c r="V60" s="57"/>
      <c r="W60" s="144"/>
      <c r="X60" s="144"/>
      <c r="Y60" s="144"/>
      <c r="Z60" s="144"/>
      <c r="AA60" s="144"/>
      <c r="AB60" s="144"/>
      <c r="AC60" s="144"/>
      <c r="AD60" s="57"/>
      <c r="AE60" s="144"/>
      <c r="AF60" s="57"/>
      <c r="AG60" s="175"/>
      <c r="AH60" s="57"/>
      <c r="AI60" s="57"/>
      <c r="AJ60" s="57"/>
      <c r="AK60" s="57"/>
      <c r="AL60" s="57"/>
    </row>
    <row r="61" spans="1:38" s="56" customFormat="1" x14ac:dyDescent="0.2">
      <c r="A61" s="67"/>
      <c r="B61" s="66"/>
      <c r="C61" s="419" t="str">
        <f t="shared" si="14"/>
        <v/>
      </c>
      <c r="D61" s="38" t="s">
        <v>8645</v>
      </c>
      <c r="E61" s="65">
        <f t="shared" si="15"/>
        <v>0</v>
      </c>
      <c r="H61" s="57"/>
      <c r="I61" s="57"/>
      <c r="J61" s="57"/>
      <c r="K61" s="144"/>
      <c r="L61" s="57"/>
      <c r="M61" s="57"/>
      <c r="N61" s="57"/>
      <c r="O61" s="57"/>
      <c r="P61" s="57"/>
      <c r="Q61" s="57"/>
      <c r="R61" s="57"/>
      <c r="S61" s="57"/>
      <c r="T61" s="57"/>
      <c r="U61" s="57"/>
      <c r="V61" s="57"/>
      <c r="W61" s="144"/>
      <c r="X61" s="144"/>
      <c r="Y61" s="144"/>
      <c r="Z61" s="144"/>
      <c r="AA61" s="144"/>
      <c r="AB61" s="144"/>
      <c r="AC61" s="144"/>
      <c r="AD61" s="57"/>
      <c r="AE61" s="144"/>
      <c r="AF61" s="57"/>
      <c r="AG61" s="175"/>
      <c r="AH61" s="57"/>
      <c r="AI61" s="57"/>
      <c r="AJ61" s="57"/>
      <c r="AK61" s="57"/>
      <c r="AL61" s="57"/>
    </row>
    <row r="62" spans="1:38" s="56" customFormat="1" x14ac:dyDescent="0.2">
      <c r="A62" s="67"/>
      <c r="B62" s="66"/>
      <c r="C62" s="420" t="str">
        <f t="shared" si="14"/>
        <v/>
      </c>
      <c r="D62" s="37" t="s">
        <v>4208</v>
      </c>
      <c r="E62" s="101">
        <f t="shared" si="15"/>
        <v>0</v>
      </c>
      <c r="H62" s="57"/>
      <c r="I62" s="57"/>
      <c r="J62" s="57"/>
      <c r="K62" s="144"/>
      <c r="L62" s="57"/>
      <c r="M62" s="57"/>
      <c r="N62" s="57"/>
      <c r="O62" s="57"/>
      <c r="P62" s="57"/>
      <c r="Q62" s="57"/>
      <c r="R62" s="57"/>
      <c r="S62" s="57"/>
      <c r="T62" s="57"/>
      <c r="U62" s="57"/>
      <c r="V62" s="57"/>
      <c r="W62" s="144"/>
      <c r="X62" s="144"/>
      <c r="Y62" s="144"/>
      <c r="Z62" s="144"/>
      <c r="AA62" s="144"/>
      <c r="AB62" s="144"/>
      <c r="AC62" s="144"/>
      <c r="AD62" s="57"/>
      <c r="AE62" s="144"/>
      <c r="AF62" s="57"/>
      <c r="AG62" s="175"/>
      <c r="AH62" s="57"/>
      <c r="AI62" s="57"/>
      <c r="AJ62" s="57"/>
      <c r="AK62" s="57"/>
      <c r="AL62" s="57"/>
    </row>
    <row r="63" spans="1:38" s="56" customFormat="1" x14ac:dyDescent="0.2">
      <c r="A63" s="67"/>
      <c r="B63" s="66"/>
      <c r="C63" s="420" t="str">
        <f t="shared" si="14"/>
        <v/>
      </c>
      <c r="D63" s="37" t="s">
        <v>4209</v>
      </c>
      <c r="E63" s="101">
        <f t="shared" si="15"/>
        <v>0</v>
      </c>
      <c r="H63" s="57"/>
      <c r="I63" s="57"/>
      <c r="J63" s="57"/>
      <c r="K63" s="144"/>
      <c r="L63" s="57"/>
      <c r="M63" s="57"/>
      <c r="N63" s="57"/>
      <c r="O63" s="57"/>
      <c r="P63" s="57"/>
      <c r="Q63" s="57"/>
      <c r="R63" s="57"/>
      <c r="S63" s="57"/>
      <c r="T63" s="57"/>
      <c r="U63" s="57"/>
      <c r="V63" s="57"/>
      <c r="W63" s="144"/>
      <c r="X63" s="144"/>
      <c r="Y63" s="144"/>
      <c r="Z63" s="144"/>
      <c r="AA63" s="144"/>
      <c r="AB63" s="144"/>
      <c r="AC63" s="144"/>
      <c r="AD63" s="57"/>
      <c r="AE63" s="144"/>
      <c r="AF63" s="57"/>
      <c r="AG63" s="175"/>
      <c r="AH63" s="57"/>
      <c r="AI63" s="57"/>
      <c r="AJ63" s="57"/>
      <c r="AK63" s="57"/>
      <c r="AL63" s="57"/>
    </row>
    <row r="64" spans="1:38" s="56" customFormat="1" x14ac:dyDescent="0.2">
      <c r="A64" s="67"/>
      <c r="B64" s="66"/>
      <c r="C64" s="419" t="str">
        <f t="shared" si="14"/>
        <v/>
      </c>
      <c r="D64" s="38" t="s">
        <v>4210</v>
      </c>
      <c r="E64" s="65">
        <f t="shared" si="15"/>
        <v>0</v>
      </c>
      <c r="K64" s="144"/>
      <c r="L64" s="57"/>
      <c r="M64" s="57"/>
      <c r="N64" s="57"/>
      <c r="O64" s="57"/>
      <c r="P64" s="57"/>
      <c r="Q64" s="57"/>
      <c r="R64" s="57"/>
      <c r="S64" s="57"/>
      <c r="T64" s="57"/>
      <c r="U64" s="57"/>
      <c r="V64" s="57"/>
      <c r="W64" s="144"/>
      <c r="X64" s="144"/>
      <c r="Y64" s="144"/>
      <c r="Z64" s="144"/>
      <c r="AA64" s="144"/>
      <c r="AB64" s="144"/>
      <c r="AC64" s="144"/>
      <c r="AD64" s="57"/>
      <c r="AE64" s="144"/>
      <c r="AF64" s="57"/>
      <c r="AG64" s="175"/>
      <c r="AH64" s="57"/>
      <c r="AI64" s="57"/>
      <c r="AJ64" s="57"/>
      <c r="AK64" s="57"/>
      <c r="AL64" s="57"/>
    </row>
    <row r="65" spans="1:38" s="56" customFormat="1" x14ac:dyDescent="0.2">
      <c r="A65" s="67"/>
      <c r="B65" s="66"/>
      <c r="C65" s="420" t="str">
        <f t="shared" si="14"/>
        <v/>
      </c>
      <c r="D65" s="37" t="s">
        <v>4211</v>
      </c>
      <c r="E65" s="101">
        <f t="shared" si="15"/>
        <v>0</v>
      </c>
      <c r="K65" s="144"/>
      <c r="L65" s="57"/>
      <c r="M65" s="57"/>
      <c r="N65" s="57"/>
      <c r="O65" s="57"/>
      <c r="P65" s="57"/>
      <c r="Q65" s="57"/>
      <c r="R65" s="57"/>
      <c r="S65" s="57"/>
      <c r="T65" s="57"/>
      <c r="U65" s="57"/>
      <c r="V65" s="57"/>
      <c r="W65" s="144"/>
      <c r="X65" s="144"/>
      <c r="Y65" s="144"/>
      <c r="Z65" s="144"/>
      <c r="AA65" s="144"/>
      <c r="AB65" s="144"/>
      <c r="AC65" s="144"/>
      <c r="AD65" s="57"/>
      <c r="AE65" s="144"/>
      <c r="AF65" s="57"/>
      <c r="AG65" s="175"/>
      <c r="AH65" s="57"/>
      <c r="AI65" s="57"/>
      <c r="AJ65" s="57"/>
      <c r="AK65" s="57"/>
      <c r="AL65" s="57"/>
    </row>
    <row r="66" spans="1:38" s="56" customFormat="1" x14ac:dyDescent="0.2">
      <c r="A66" s="67"/>
      <c r="B66" s="66"/>
      <c r="C66" s="420" t="str">
        <f t="shared" si="14"/>
        <v/>
      </c>
      <c r="D66" s="37" t="s">
        <v>280</v>
      </c>
      <c r="E66" s="101">
        <f t="shared" si="15"/>
        <v>0</v>
      </c>
      <c r="K66" s="144"/>
      <c r="L66" s="57"/>
      <c r="M66" s="57"/>
      <c r="N66" s="57"/>
      <c r="O66" s="57"/>
      <c r="P66" s="57"/>
      <c r="Q66" s="57"/>
      <c r="R66" s="57"/>
      <c r="S66" s="57"/>
      <c r="T66" s="57"/>
      <c r="U66" s="57"/>
      <c r="V66" s="57"/>
      <c r="W66" s="144"/>
      <c r="X66" s="144"/>
      <c r="Y66" s="144"/>
      <c r="Z66" s="145"/>
      <c r="AA66" s="145"/>
      <c r="AB66" s="144"/>
      <c r="AC66" s="144"/>
      <c r="AD66" s="57"/>
      <c r="AE66" s="144"/>
      <c r="AF66" s="57"/>
      <c r="AG66" s="175"/>
      <c r="AH66" s="57"/>
      <c r="AI66" s="57"/>
      <c r="AJ66" s="57"/>
      <c r="AK66" s="57"/>
      <c r="AL66" s="57"/>
    </row>
    <row r="67" spans="1:38" s="56" customFormat="1" x14ac:dyDescent="0.2">
      <c r="A67" s="67"/>
      <c r="B67" s="66"/>
      <c r="C67" s="419" t="str">
        <f t="shared" si="14"/>
        <v/>
      </c>
      <c r="D67" s="38" t="s">
        <v>3638</v>
      </c>
      <c r="E67" s="65">
        <f t="shared" si="15"/>
        <v>0</v>
      </c>
      <c r="H67" s="57"/>
      <c r="I67" s="57"/>
      <c r="J67" s="57"/>
      <c r="K67" s="144"/>
      <c r="L67" s="57"/>
      <c r="M67" s="57"/>
      <c r="N67" s="57"/>
      <c r="O67" s="57"/>
      <c r="P67" s="57"/>
      <c r="Q67" s="57"/>
      <c r="R67" s="57"/>
      <c r="S67" s="57"/>
      <c r="T67" s="57"/>
      <c r="U67" s="57"/>
      <c r="V67" s="57"/>
      <c r="W67" s="144"/>
      <c r="X67" s="144"/>
      <c r="Y67" s="144"/>
      <c r="Z67" s="145"/>
      <c r="AA67" s="144"/>
      <c r="AB67" s="144"/>
      <c r="AC67" s="145"/>
      <c r="AD67" s="57"/>
      <c r="AE67" s="144"/>
      <c r="AF67" s="57"/>
      <c r="AG67" s="175"/>
      <c r="AH67" s="57"/>
      <c r="AI67" s="57"/>
      <c r="AJ67" s="57"/>
      <c r="AK67" s="57"/>
      <c r="AL67" s="57"/>
    </row>
    <row r="68" spans="1:38" s="56" customFormat="1" x14ac:dyDescent="0.2">
      <c r="A68" s="67"/>
      <c r="B68" s="66"/>
      <c r="C68" s="419" t="str">
        <f t="shared" si="14"/>
        <v/>
      </c>
      <c r="D68" s="38" t="s">
        <v>520</v>
      </c>
      <c r="E68" s="65">
        <f t="shared" si="15"/>
        <v>-1</v>
      </c>
      <c r="H68" s="57"/>
      <c r="I68" s="57"/>
      <c r="J68" s="57"/>
      <c r="K68" s="144"/>
      <c r="L68" s="57"/>
      <c r="M68" s="57"/>
      <c r="N68" s="57"/>
      <c r="O68" s="57"/>
      <c r="P68" s="57"/>
      <c r="Q68" s="57"/>
      <c r="R68" s="57"/>
      <c r="S68" s="57"/>
      <c r="T68" s="57"/>
      <c r="U68" s="57"/>
      <c r="V68" s="57"/>
      <c r="W68" s="144"/>
      <c r="X68" s="144"/>
      <c r="Y68" s="144"/>
      <c r="Z68" s="144"/>
      <c r="AA68" s="145"/>
      <c r="AB68" s="145"/>
      <c r="AC68" s="144"/>
      <c r="AD68" s="57"/>
      <c r="AE68" s="144"/>
      <c r="AF68" s="57"/>
      <c r="AG68" s="176"/>
      <c r="AH68" s="438">
        <v>-1</v>
      </c>
      <c r="AI68" s="57"/>
      <c r="AJ68" s="57"/>
      <c r="AK68" s="57"/>
      <c r="AL68" s="57"/>
    </row>
    <row r="69" spans="1:38" s="56" customFormat="1" x14ac:dyDescent="0.2">
      <c r="A69" s="67"/>
      <c r="B69" s="66"/>
      <c r="C69" s="419">
        <f t="shared" si="14"/>
        <v>2.6666666666666665</v>
      </c>
      <c r="D69" s="38" t="s">
        <v>3735</v>
      </c>
      <c r="E69" s="65">
        <f t="shared" si="15"/>
        <v>1</v>
      </c>
      <c r="H69" s="57"/>
      <c r="I69" s="57"/>
      <c r="J69" s="57"/>
      <c r="K69" s="144"/>
      <c r="L69" s="57"/>
      <c r="M69" s="57"/>
      <c r="N69" s="57"/>
      <c r="O69" s="57"/>
      <c r="P69" s="57"/>
      <c r="Q69" s="57"/>
      <c r="R69" s="57"/>
      <c r="S69" s="57"/>
      <c r="T69" s="57"/>
      <c r="U69" s="57"/>
      <c r="V69" s="57"/>
      <c r="W69" s="144"/>
      <c r="X69" s="144"/>
      <c r="Y69" s="144"/>
      <c r="Z69" s="144"/>
      <c r="AA69" s="144"/>
      <c r="AB69" s="144"/>
      <c r="AC69" s="145"/>
      <c r="AD69" s="57"/>
      <c r="AE69" s="144"/>
      <c r="AF69" s="57"/>
      <c r="AG69" s="175"/>
      <c r="AH69" s="438">
        <v>1</v>
      </c>
      <c r="AI69" s="57"/>
      <c r="AJ69" s="57"/>
      <c r="AK69" s="57"/>
      <c r="AL69" s="57"/>
    </row>
    <row r="70" spans="1:38" s="56" customFormat="1" x14ac:dyDescent="0.2">
      <c r="A70" s="67"/>
      <c r="B70" s="66"/>
      <c r="C70" s="419" t="str">
        <f t="shared" si="14"/>
        <v/>
      </c>
      <c r="D70" s="104" t="s">
        <v>4212</v>
      </c>
      <c r="E70" s="65">
        <f t="shared" si="15"/>
        <v>0</v>
      </c>
      <c r="H70" s="57"/>
      <c r="I70" s="57"/>
      <c r="J70" s="57"/>
      <c r="K70" s="144"/>
      <c r="L70" s="57"/>
      <c r="M70" s="57"/>
      <c r="N70" s="57"/>
      <c r="O70" s="57"/>
      <c r="P70" s="57"/>
      <c r="Q70" s="57"/>
      <c r="R70" s="57"/>
      <c r="S70" s="57"/>
      <c r="T70" s="57"/>
      <c r="U70" s="57"/>
      <c r="V70" s="57"/>
      <c r="W70" s="144"/>
      <c r="X70" s="144"/>
      <c r="Y70" s="144"/>
      <c r="Z70" s="144"/>
      <c r="AA70" s="144"/>
      <c r="AB70" s="144"/>
      <c r="AC70" s="145"/>
      <c r="AD70" s="57"/>
      <c r="AE70" s="144"/>
      <c r="AF70" s="57"/>
      <c r="AG70" s="175"/>
      <c r="AH70" s="57"/>
      <c r="AI70" s="57"/>
      <c r="AJ70" s="57"/>
      <c r="AK70" s="57"/>
      <c r="AL70" s="57"/>
    </row>
    <row r="71" spans="1:38" s="56" customFormat="1" x14ac:dyDescent="0.2">
      <c r="A71" s="67"/>
      <c r="B71" s="66"/>
      <c r="C71" s="419" t="str">
        <f t="shared" si="14"/>
        <v/>
      </c>
      <c r="D71" s="93" t="s">
        <v>4213</v>
      </c>
      <c r="E71" s="65">
        <f t="shared" si="15"/>
        <v>0</v>
      </c>
      <c r="H71" s="57"/>
      <c r="I71" s="57"/>
      <c r="J71" s="57"/>
      <c r="K71" s="144"/>
      <c r="L71" s="57"/>
      <c r="M71" s="57"/>
      <c r="N71" s="57"/>
      <c r="O71" s="57"/>
      <c r="P71" s="57"/>
      <c r="Q71" s="57"/>
      <c r="R71" s="57"/>
      <c r="S71" s="57"/>
      <c r="T71" s="57"/>
      <c r="U71" s="57"/>
      <c r="V71" s="57"/>
      <c r="W71" s="144"/>
      <c r="X71" s="144"/>
      <c r="Y71" s="144"/>
      <c r="Z71" s="144"/>
      <c r="AA71" s="144"/>
      <c r="AB71" s="144"/>
      <c r="AC71" s="145"/>
      <c r="AD71" s="57"/>
      <c r="AE71" s="144"/>
      <c r="AF71" s="57"/>
      <c r="AG71" s="175"/>
      <c r="AH71" s="57"/>
      <c r="AI71" s="57"/>
      <c r="AJ71" s="57"/>
      <c r="AK71" s="57"/>
      <c r="AL71" s="57"/>
    </row>
    <row r="72" spans="1:38" s="56" customFormat="1" x14ac:dyDescent="0.2">
      <c r="A72" s="67"/>
      <c r="B72" s="66"/>
      <c r="C72" s="419" t="str">
        <f t="shared" si="14"/>
        <v/>
      </c>
      <c r="D72" s="93" t="s">
        <v>4214</v>
      </c>
      <c r="E72" s="65">
        <f t="shared" si="15"/>
        <v>0</v>
      </c>
      <c r="H72" s="57"/>
      <c r="I72" s="57"/>
      <c r="J72" s="57"/>
      <c r="K72" s="144"/>
      <c r="L72" s="57"/>
      <c r="M72" s="57"/>
      <c r="N72" s="57"/>
      <c r="O72" s="57"/>
      <c r="P72" s="57"/>
      <c r="Q72" s="57"/>
      <c r="R72" s="57"/>
      <c r="S72" s="57"/>
      <c r="T72" s="57"/>
      <c r="U72" s="57"/>
      <c r="V72" s="57"/>
      <c r="W72" s="144"/>
      <c r="X72" s="144"/>
      <c r="Y72" s="144"/>
      <c r="Z72" s="144"/>
      <c r="AA72" s="144"/>
      <c r="AB72" s="144"/>
      <c r="AC72" s="145"/>
      <c r="AD72" s="57"/>
      <c r="AE72" s="144"/>
      <c r="AF72" s="57"/>
      <c r="AG72" s="175"/>
      <c r="AH72" s="57"/>
      <c r="AI72" s="57"/>
      <c r="AJ72" s="57"/>
      <c r="AK72" s="57"/>
      <c r="AL72" s="57"/>
    </row>
    <row r="73" spans="1:38" s="56" customFormat="1" x14ac:dyDescent="0.2">
      <c r="A73" s="67"/>
      <c r="B73" s="66"/>
      <c r="C73" s="420" t="str">
        <f t="shared" si="14"/>
        <v/>
      </c>
      <c r="D73" s="93" t="s">
        <v>8646</v>
      </c>
      <c r="E73" s="101">
        <f t="shared" si="15"/>
        <v>0</v>
      </c>
      <c r="H73" s="57"/>
      <c r="I73" s="57"/>
      <c r="J73" s="57"/>
      <c r="K73" s="144"/>
      <c r="L73" s="57"/>
      <c r="M73" s="57"/>
      <c r="N73" s="57"/>
      <c r="O73" s="57"/>
      <c r="P73" s="57"/>
      <c r="Q73" s="57"/>
      <c r="R73" s="57"/>
      <c r="S73" s="57"/>
      <c r="T73" s="57"/>
      <c r="U73" s="57"/>
      <c r="V73" s="57"/>
      <c r="W73" s="144"/>
      <c r="X73" s="144"/>
      <c r="Y73" s="144"/>
      <c r="Z73" s="144"/>
      <c r="AA73" s="144"/>
      <c r="AB73" s="144"/>
      <c r="AC73" s="144"/>
      <c r="AD73" s="57"/>
      <c r="AE73" s="144"/>
      <c r="AF73" s="57"/>
      <c r="AG73" s="175"/>
      <c r="AH73" s="57"/>
      <c r="AI73" s="57"/>
      <c r="AJ73" s="57"/>
      <c r="AK73" s="57"/>
      <c r="AL73" s="57"/>
    </row>
    <row r="74" spans="1:38" s="56" customFormat="1" x14ac:dyDescent="0.2">
      <c r="A74" s="67"/>
      <c r="B74" s="66"/>
      <c r="C74" s="420" t="str">
        <f t="shared" si="14"/>
        <v/>
      </c>
      <c r="D74" s="93" t="s">
        <v>3819</v>
      </c>
      <c r="E74" s="101">
        <f t="shared" si="15"/>
        <v>0</v>
      </c>
      <c r="H74" s="57"/>
      <c r="I74" s="57"/>
      <c r="J74" s="57"/>
      <c r="K74" s="144"/>
      <c r="L74" s="57"/>
      <c r="M74" s="57"/>
      <c r="N74" s="57"/>
      <c r="O74" s="57"/>
      <c r="P74" s="57"/>
      <c r="Q74" s="57"/>
      <c r="R74" s="57"/>
      <c r="S74" s="57"/>
      <c r="T74" s="57"/>
      <c r="U74" s="57"/>
      <c r="V74" s="57"/>
      <c r="W74" s="144"/>
      <c r="X74" s="144"/>
      <c r="Y74" s="144"/>
      <c r="Z74" s="144"/>
      <c r="AA74" s="144"/>
      <c r="AB74" s="144"/>
      <c r="AC74" s="144"/>
      <c r="AD74" s="57"/>
      <c r="AE74" s="144"/>
      <c r="AF74" s="57"/>
      <c r="AG74" s="175"/>
      <c r="AH74" s="57"/>
      <c r="AI74" s="57"/>
      <c r="AJ74" s="57"/>
      <c r="AK74" s="57"/>
      <c r="AL74" s="57"/>
    </row>
    <row r="75" spans="1:38" s="56" customFormat="1" x14ac:dyDescent="0.2">
      <c r="A75" s="67"/>
      <c r="B75" s="66"/>
      <c r="C75" s="65">
        <f t="shared" ref="C75:C106" si="16">E75*D$5</f>
        <v>0</v>
      </c>
      <c r="D75" s="93"/>
      <c r="E75" s="65">
        <f t="shared" si="15"/>
        <v>0</v>
      </c>
      <c r="H75" s="57"/>
      <c r="I75" s="57"/>
      <c r="J75" s="57"/>
      <c r="K75" s="144"/>
      <c r="L75" s="57"/>
      <c r="M75" s="57"/>
      <c r="N75" s="57"/>
      <c r="O75" s="57"/>
      <c r="P75" s="57"/>
      <c r="Q75" s="57"/>
      <c r="R75" s="57"/>
      <c r="S75" s="57"/>
      <c r="T75" s="57"/>
      <c r="U75" s="57"/>
      <c r="V75" s="57"/>
      <c r="W75" s="144"/>
      <c r="X75" s="144"/>
      <c r="Y75" s="144"/>
      <c r="Z75" s="144"/>
      <c r="AA75" s="144"/>
      <c r="AB75" s="144"/>
      <c r="AC75" s="144"/>
      <c r="AD75" s="57"/>
      <c r="AE75" s="144"/>
      <c r="AF75" s="57"/>
      <c r="AG75" s="144"/>
      <c r="AH75" s="57"/>
      <c r="AI75" s="57"/>
      <c r="AJ75" s="57"/>
      <c r="AK75" s="57"/>
      <c r="AL75" s="57"/>
    </row>
    <row r="76" spans="1:38" s="56" customFormat="1" x14ac:dyDescent="0.2">
      <c r="A76" s="67"/>
      <c r="B76" s="66"/>
      <c r="C76" s="65">
        <f t="shared" si="16"/>
        <v>0</v>
      </c>
      <c r="D76" s="93"/>
      <c r="E76" s="65">
        <f t="shared" si="15"/>
        <v>0</v>
      </c>
      <c r="H76" s="57"/>
      <c r="I76" s="57"/>
      <c r="J76" s="57"/>
      <c r="K76" s="144"/>
      <c r="L76" s="57"/>
      <c r="M76" s="57"/>
      <c r="N76" s="57"/>
      <c r="O76" s="57"/>
      <c r="P76" s="57"/>
      <c r="Q76" s="57"/>
      <c r="R76" s="57"/>
      <c r="S76" s="57"/>
      <c r="T76" s="57"/>
      <c r="U76" s="57"/>
      <c r="V76" s="57"/>
      <c r="W76" s="144"/>
      <c r="X76" s="144"/>
      <c r="Y76" s="144"/>
      <c r="Z76" s="144"/>
      <c r="AA76" s="144"/>
      <c r="AB76" s="144"/>
      <c r="AC76" s="144"/>
      <c r="AD76" s="57"/>
      <c r="AE76" s="144"/>
      <c r="AF76" s="57"/>
      <c r="AG76" s="144"/>
      <c r="AH76" s="57"/>
      <c r="AI76" s="57"/>
      <c r="AJ76" s="57"/>
      <c r="AK76" s="57"/>
      <c r="AL76" s="57"/>
    </row>
    <row r="77" spans="1:38" s="56" customFormat="1" x14ac:dyDescent="0.2">
      <c r="A77" s="67"/>
      <c r="B77" s="66"/>
      <c r="C77" s="65">
        <f t="shared" si="16"/>
        <v>0</v>
      </c>
      <c r="D77" s="103"/>
      <c r="E77" s="65">
        <f t="shared" si="15"/>
        <v>0</v>
      </c>
      <c r="H77" s="57"/>
      <c r="I77" s="57"/>
      <c r="J77" s="57"/>
      <c r="K77" s="144"/>
      <c r="L77" s="57"/>
      <c r="M77" s="57"/>
      <c r="N77" s="57"/>
      <c r="O77" s="57"/>
      <c r="P77" s="57"/>
      <c r="Q77" s="57"/>
      <c r="R77" s="57"/>
      <c r="S77" s="57"/>
      <c r="T77" s="57"/>
      <c r="U77" s="57"/>
      <c r="V77" s="57"/>
      <c r="W77" s="144"/>
      <c r="X77" s="144"/>
      <c r="Y77" s="144"/>
      <c r="Z77" s="144"/>
      <c r="AA77" s="144"/>
      <c r="AB77" s="144"/>
      <c r="AC77" s="144"/>
      <c r="AD77" s="57"/>
      <c r="AE77" s="144"/>
      <c r="AF77" s="57"/>
      <c r="AG77" s="144"/>
      <c r="AH77" s="57"/>
      <c r="AI77" s="57"/>
      <c r="AJ77" s="57"/>
      <c r="AK77" s="57"/>
      <c r="AL77" s="57"/>
    </row>
    <row r="78" spans="1:38" s="56" customFormat="1" x14ac:dyDescent="0.2">
      <c r="A78" s="67"/>
      <c r="B78" s="66"/>
      <c r="C78" s="65">
        <f t="shared" si="16"/>
        <v>0</v>
      </c>
      <c r="D78" s="93"/>
      <c r="E78" s="65">
        <f t="shared" ref="E78:E109" si="17">SUM(G78:HL78)</f>
        <v>0</v>
      </c>
      <c r="H78" s="57"/>
      <c r="I78" s="57"/>
      <c r="J78" s="57"/>
      <c r="K78" s="144"/>
      <c r="L78" s="57"/>
      <c r="M78" s="57"/>
      <c r="N78" s="57"/>
      <c r="O78" s="57"/>
      <c r="P78" s="57"/>
      <c r="Q78" s="57"/>
      <c r="R78" s="57"/>
      <c r="S78" s="57"/>
      <c r="T78" s="57"/>
      <c r="U78" s="57"/>
      <c r="V78" s="57"/>
      <c r="W78" s="144"/>
      <c r="X78" s="144"/>
      <c r="Y78" s="144"/>
      <c r="Z78" s="144"/>
      <c r="AA78" s="144"/>
      <c r="AB78" s="144"/>
      <c r="AC78" s="144"/>
      <c r="AD78" s="57"/>
      <c r="AE78" s="144"/>
      <c r="AF78" s="57"/>
      <c r="AG78" s="144"/>
      <c r="AH78" s="57"/>
      <c r="AI78" s="57"/>
      <c r="AJ78" s="57"/>
      <c r="AK78" s="57"/>
      <c r="AL78" s="57"/>
    </row>
    <row r="79" spans="1:38" s="56" customFormat="1" x14ac:dyDescent="0.2">
      <c r="A79" s="67"/>
      <c r="B79" s="66"/>
      <c r="C79" s="101">
        <f t="shared" si="16"/>
        <v>0</v>
      </c>
      <c r="D79" s="37"/>
      <c r="E79" s="101">
        <f t="shared" si="17"/>
        <v>0</v>
      </c>
      <c r="H79" s="57"/>
      <c r="I79" s="57"/>
      <c r="J79" s="57"/>
      <c r="K79" s="144"/>
      <c r="L79" s="57"/>
      <c r="M79" s="57"/>
      <c r="N79" s="57"/>
      <c r="O79" s="57"/>
      <c r="P79" s="57"/>
      <c r="Q79" s="57"/>
      <c r="R79" s="57"/>
      <c r="S79" s="57"/>
      <c r="T79" s="57"/>
      <c r="U79" s="57"/>
      <c r="V79" s="57"/>
      <c r="W79" s="144"/>
      <c r="X79" s="144"/>
      <c r="Y79" s="144"/>
      <c r="Z79" s="144"/>
      <c r="AA79" s="144"/>
      <c r="AB79" s="144"/>
      <c r="AC79" s="144"/>
      <c r="AD79" s="57"/>
      <c r="AE79" s="144"/>
      <c r="AF79" s="57"/>
      <c r="AG79" s="144"/>
      <c r="AH79" s="57"/>
      <c r="AI79" s="57"/>
      <c r="AJ79" s="57"/>
      <c r="AK79" s="57"/>
      <c r="AL79" s="57"/>
    </row>
    <row r="80" spans="1:38" s="56" customFormat="1" x14ac:dyDescent="0.2">
      <c r="A80" s="67"/>
      <c r="B80" s="66"/>
      <c r="C80" s="65">
        <f t="shared" si="16"/>
        <v>0</v>
      </c>
      <c r="D80" s="93"/>
      <c r="E80" s="65">
        <f t="shared" si="17"/>
        <v>0</v>
      </c>
      <c r="H80" s="57"/>
      <c r="I80" s="57"/>
      <c r="J80" s="57"/>
      <c r="K80" s="144"/>
      <c r="L80" s="57"/>
      <c r="M80" s="57"/>
      <c r="N80" s="57"/>
      <c r="O80" s="57"/>
      <c r="P80" s="57"/>
      <c r="Q80" s="57"/>
      <c r="R80" s="57"/>
      <c r="S80" s="57"/>
      <c r="T80" s="57"/>
      <c r="U80" s="57"/>
      <c r="V80" s="57"/>
      <c r="W80" s="144"/>
      <c r="X80" s="144"/>
      <c r="Y80" s="144"/>
      <c r="Z80" s="144"/>
      <c r="AA80" s="144"/>
      <c r="AB80" s="144"/>
      <c r="AC80" s="144"/>
      <c r="AD80" s="57"/>
      <c r="AE80" s="144"/>
      <c r="AF80" s="57"/>
      <c r="AG80" s="144"/>
      <c r="AH80" s="57"/>
      <c r="AI80" s="57"/>
      <c r="AJ80" s="57"/>
      <c r="AK80" s="57"/>
      <c r="AL80" s="57"/>
    </row>
    <row r="81" spans="1:38" s="56" customFormat="1" x14ac:dyDescent="0.2">
      <c r="A81" s="67"/>
      <c r="B81" s="66"/>
      <c r="C81" s="101">
        <f t="shared" si="16"/>
        <v>0</v>
      </c>
      <c r="D81" s="37"/>
      <c r="E81" s="101">
        <f t="shared" si="17"/>
        <v>0</v>
      </c>
      <c r="H81" s="57"/>
      <c r="I81" s="57"/>
      <c r="J81" s="57"/>
      <c r="K81" s="144"/>
      <c r="L81" s="57"/>
      <c r="M81" s="57"/>
      <c r="N81" s="57"/>
      <c r="O81" s="57"/>
      <c r="P81" s="57"/>
      <c r="Q81" s="57"/>
      <c r="R81" s="57"/>
      <c r="S81" s="57"/>
      <c r="T81" s="57"/>
      <c r="U81" s="57"/>
      <c r="V81" s="57"/>
      <c r="W81" s="144"/>
      <c r="X81" s="144"/>
      <c r="Y81" s="144"/>
      <c r="Z81" s="144"/>
      <c r="AA81" s="144"/>
      <c r="AB81" s="144"/>
      <c r="AC81" s="144"/>
      <c r="AD81" s="57"/>
      <c r="AE81" s="144"/>
      <c r="AF81" s="57"/>
      <c r="AG81" s="144"/>
      <c r="AH81" s="57"/>
      <c r="AI81" s="57"/>
      <c r="AJ81" s="57"/>
      <c r="AK81" s="57"/>
      <c r="AL81" s="57"/>
    </row>
    <row r="82" spans="1:38" s="56" customFormat="1" x14ac:dyDescent="0.2">
      <c r="A82" s="67"/>
      <c r="B82" s="66"/>
      <c r="C82" s="65">
        <f t="shared" si="16"/>
        <v>0</v>
      </c>
      <c r="D82" s="93"/>
      <c r="E82" s="65">
        <f t="shared" si="17"/>
        <v>0</v>
      </c>
      <c r="H82" s="57"/>
      <c r="I82" s="57"/>
      <c r="J82" s="57"/>
      <c r="K82" s="144"/>
      <c r="L82" s="57"/>
      <c r="M82" s="57"/>
      <c r="N82" s="57"/>
      <c r="O82" s="57"/>
      <c r="P82" s="57"/>
      <c r="Q82" s="57"/>
      <c r="R82" s="57"/>
      <c r="S82" s="57"/>
      <c r="T82" s="57"/>
      <c r="U82" s="57"/>
      <c r="V82" s="57"/>
      <c r="W82" s="144"/>
      <c r="X82" s="144"/>
      <c r="Y82" s="144"/>
      <c r="Z82" s="144"/>
      <c r="AA82" s="144"/>
      <c r="AB82" s="144"/>
      <c r="AC82" s="144"/>
      <c r="AD82" s="57"/>
      <c r="AE82" s="144"/>
      <c r="AF82" s="57"/>
      <c r="AG82" s="144"/>
      <c r="AH82" s="57"/>
      <c r="AI82" s="57"/>
      <c r="AJ82" s="57"/>
      <c r="AK82" s="57"/>
      <c r="AL82" s="57"/>
    </row>
    <row r="83" spans="1:38" s="56" customFormat="1" x14ac:dyDescent="0.2">
      <c r="A83" s="67"/>
      <c r="B83" s="66"/>
      <c r="C83" s="101">
        <f t="shared" si="16"/>
        <v>0</v>
      </c>
      <c r="D83" s="37"/>
      <c r="E83" s="101">
        <f t="shared" si="17"/>
        <v>0</v>
      </c>
      <c r="H83" s="57"/>
      <c r="I83" s="57"/>
      <c r="J83" s="57"/>
      <c r="K83" s="144"/>
      <c r="L83" s="57"/>
      <c r="M83" s="57"/>
      <c r="N83" s="57"/>
      <c r="O83" s="57"/>
      <c r="P83" s="57"/>
      <c r="Q83" s="57"/>
      <c r="R83" s="57"/>
      <c r="S83" s="57"/>
      <c r="T83" s="57"/>
      <c r="U83" s="57"/>
      <c r="V83" s="57"/>
      <c r="W83" s="144"/>
      <c r="X83" s="144"/>
      <c r="Y83" s="144"/>
      <c r="Z83" s="144"/>
      <c r="AA83" s="144"/>
      <c r="AB83" s="144"/>
      <c r="AC83" s="144"/>
      <c r="AD83" s="57"/>
      <c r="AE83" s="144"/>
      <c r="AF83" s="57"/>
      <c r="AG83" s="144"/>
      <c r="AH83" s="57"/>
      <c r="AI83" s="57"/>
      <c r="AJ83" s="57"/>
      <c r="AK83" s="57"/>
      <c r="AL83" s="57"/>
    </row>
    <row r="84" spans="1:38" s="56" customFormat="1" x14ac:dyDescent="0.2">
      <c r="A84" s="67"/>
      <c r="B84" s="66"/>
      <c r="C84" s="65">
        <f t="shared" si="16"/>
        <v>0</v>
      </c>
      <c r="D84" s="93"/>
      <c r="E84" s="65">
        <f t="shared" si="17"/>
        <v>0</v>
      </c>
      <c r="H84" s="57"/>
      <c r="I84" s="57"/>
      <c r="J84" s="57"/>
      <c r="K84" s="144"/>
      <c r="L84" s="57"/>
      <c r="M84" s="57"/>
      <c r="N84" s="57"/>
      <c r="O84" s="57"/>
      <c r="P84" s="57"/>
      <c r="Q84" s="57"/>
      <c r="R84" s="57"/>
      <c r="S84" s="57"/>
      <c r="T84" s="57"/>
      <c r="U84" s="57"/>
      <c r="V84" s="57"/>
      <c r="W84" s="144"/>
      <c r="X84" s="144"/>
      <c r="Y84" s="144"/>
      <c r="Z84" s="144"/>
      <c r="AA84" s="144"/>
      <c r="AB84" s="144"/>
      <c r="AC84" s="144"/>
      <c r="AD84" s="57"/>
      <c r="AE84" s="144"/>
      <c r="AF84" s="57"/>
      <c r="AG84" s="144"/>
      <c r="AH84" s="57"/>
      <c r="AI84" s="57"/>
      <c r="AJ84" s="57"/>
      <c r="AK84" s="57"/>
      <c r="AL84" s="57"/>
    </row>
    <row r="85" spans="1:38" s="56" customFormat="1" x14ac:dyDescent="0.2">
      <c r="A85" s="67"/>
      <c r="B85" s="66"/>
      <c r="C85" s="65">
        <f t="shared" si="16"/>
        <v>0</v>
      </c>
      <c r="D85" s="93"/>
      <c r="E85" s="65">
        <f t="shared" si="17"/>
        <v>0</v>
      </c>
      <c r="H85" s="57"/>
      <c r="I85" s="57"/>
      <c r="J85" s="57"/>
      <c r="K85" s="144"/>
      <c r="L85" s="57"/>
      <c r="M85" s="57"/>
      <c r="N85" s="57"/>
      <c r="O85" s="57"/>
      <c r="P85" s="57"/>
      <c r="Q85" s="57"/>
      <c r="R85" s="57"/>
      <c r="S85" s="57"/>
      <c r="T85" s="57"/>
      <c r="U85" s="57"/>
      <c r="V85" s="57"/>
      <c r="W85" s="144"/>
      <c r="X85" s="144"/>
      <c r="Y85" s="144"/>
      <c r="Z85" s="144"/>
      <c r="AA85" s="144"/>
      <c r="AB85" s="144"/>
      <c r="AC85" s="144"/>
      <c r="AD85" s="57"/>
      <c r="AE85" s="144"/>
      <c r="AF85" s="57"/>
      <c r="AG85" s="144"/>
      <c r="AH85" s="57"/>
      <c r="AI85" s="57"/>
      <c r="AJ85" s="57"/>
      <c r="AK85" s="57"/>
      <c r="AL85" s="57"/>
    </row>
    <row r="86" spans="1:38" s="56" customFormat="1" x14ac:dyDescent="0.2">
      <c r="A86" s="67"/>
      <c r="B86" s="66"/>
      <c r="C86" s="65">
        <f t="shared" si="16"/>
        <v>0</v>
      </c>
      <c r="D86" s="93"/>
      <c r="E86" s="65">
        <f t="shared" si="17"/>
        <v>0</v>
      </c>
      <c r="H86" s="57"/>
      <c r="I86" s="57"/>
      <c r="J86" s="57"/>
      <c r="K86" s="144"/>
      <c r="L86" s="57"/>
      <c r="M86" s="57"/>
      <c r="N86" s="57"/>
      <c r="O86" s="57"/>
      <c r="P86" s="57"/>
      <c r="Q86" s="57"/>
      <c r="R86" s="57"/>
      <c r="S86" s="57"/>
      <c r="T86" s="57"/>
      <c r="U86" s="57"/>
      <c r="V86" s="57"/>
      <c r="W86" s="144"/>
      <c r="X86" s="144"/>
      <c r="Y86" s="144"/>
      <c r="Z86" s="144"/>
      <c r="AA86" s="144"/>
      <c r="AB86" s="144"/>
      <c r="AC86" s="144"/>
      <c r="AD86" s="57"/>
      <c r="AE86" s="144"/>
      <c r="AF86" s="57"/>
      <c r="AG86" s="144"/>
      <c r="AH86" s="57"/>
      <c r="AI86" s="57"/>
      <c r="AJ86" s="57"/>
      <c r="AK86" s="57"/>
      <c r="AL86" s="57"/>
    </row>
    <row r="87" spans="1:38" s="56" customFormat="1" x14ac:dyDescent="0.2">
      <c r="A87" s="67"/>
      <c r="B87" s="66"/>
      <c r="C87" s="65">
        <f t="shared" si="16"/>
        <v>0</v>
      </c>
      <c r="D87" s="93"/>
      <c r="E87" s="65">
        <f t="shared" si="17"/>
        <v>0</v>
      </c>
      <c r="K87" s="144"/>
      <c r="W87" s="144"/>
      <c r="X87" s="144"/>
      <c r="Y87" s="144"/>
      <c r="Z87" s="144"/>
      <c r="AA87" s="144"/>
      <c r="AB87" s="144"/>
      <c r="AC87" s="144"/>
      <c r="AE87" s="144"/>
      <c r="AG87" s="144"/>
    </row>
    <row r="88" spans="1:38" s="56" customFormat="1" x14ac:dyDescent="0.2">
      <c r="A88" s="67"/>
      <c r="B88" s="66"/>
      <c r="C88" s="101">
        <f t="shared" si="16"/>
        <v>0</v>
      </c>
      <c r="D88" s="37"/>
      <c r="E88" s="101">
        <f t="shared" si="17"/>
        <v>0</v>
      </c>
      <c r="K88" s="144"/>
      <c r="W88" s="144"/>
      <c r="X88" s="144"/>
      <c r="Y88" s="144"/>
      <c r="Z88" s="144"/>
      <c r="AA88" s="144"/>
      <c r="AB88" s="144"/>
      <c r="AC88" s="144"/>
      <c r="AE88" s="144"/>
      <c r="AG88" s="144"/>
    </row>
    <row r="89" spans="1:38" s="56" customFormat="1" x14ac:dyDescent="0.2">
      <c r="A89" s="67"/>
      <c r="B89" s="66"/>
      <c r="C89" s="65">
        <f t="shared" si="16"/>
        <v>0</v>
      </c>
      <c r="D89" s="93"/>
      <c r="E89" s="65">
        <f t="shared" si="17"/>
        <v>0</v>
      </c>
      <c r="K89" s="144"/>
      <c r="W89" s="144"/>
      <c r="X89" s="144"/>
      <c r="Y89" s="144"/>
      <c r="Z89" s="144"/>
      <c r="AA89" s="144"/>
      <c r="AB89" s="144"/>
      <c r="AC89" s="144"/>
      <c r="AE89" s="144"/>
      <c r="AG89" s="144"/>
    </row>
    <row r="90" spans="1:38" s="56" customFormat="1" x14ac:dyDescent="0.2">
      <c r="A90" s="67"/>
      <c r="B90" s="66"/>
      <c r="C90" s="65">
        <f t="shared" si="16"/>
        <v>0</v>
      </c>
      <c r="D90" s="93"/>
      <c r="E90" s="101">
        <f t="shared" si="17"/>
        <v>0</v>
      </c>
      <c r="K90" s="144"/>
      <c r="W90" s="144"/>
      <c r="X90" s="144"/>
      <c r="Y90" s="144"/>
      <c r="Z90" s="144"/>
      <c r="AA90" s="144"/>
      <c r="AB90" s="144"/>
      <c r="AC90" s="144"/>
      <c r="AE90" s="144"/>
      <c r="AG90" s="144"/>
    </row>
    <row r="91" spans="1:38" s="56" customFormat="1" x14ac:dyDescent="0.2">
      <c r="A91" s="67"/>
      <c r="B91" s="66"/>
      <c r="C91" s="101">
        <f t="shared" si="16"/>
        <v>0</v>
      </c>
      <c r="D91" s="93"/>
      <c r="E91" s="101">
        <f t="shared" si="17"/>
        <v>0</v>
      </c>
      <c r="K91" s="144"/>
      <c r="W91" s="144"/>
      <c r="X91" s="144"/>
      <c r="Y91" s="144"/>
      <c r="Z91" s="144"/>
      <c r="AA91" s="144"/>
      <c r="AB91" s="144"/>
      <c r="AC91" s="144"/>
      <c r="AE91" s="144"/>
      <c r="AG91" s="144"/>
    </row>
    <row r="92" spans="1:38" s="56" customFormat="1" x14ac:dyDescent="0.2">
      <c r="A92" s="67"/>
      <c r="B92" s="66"/>
      <c r="C92" s="65">
        <f t="shared" si="16"/>
        <v>0</v>
      </c>
      <c r="D92" s="93"/>
      <c r="E92" s="101">
        <f t="shared" si="17"/>
        <v>0</v>
      </c>
      <c r="K92" s="144"/>
      <c r="W92" s="144"/>
      <c r="X92" s="144"/>
      <c r="Y92" s="144"/>
      <c r="Z92" s="144"/>
      <c r="AA92" s="144"/>
      <c r="AB92" s="144"/>
      <c r="AC92" s="144"/>
      <c r="AE92" s="144"/>
      <c r="AG92" s="144"/>
    </row>
    <row r="93" spans="1:38" s="56" customFormat="1" x14ac:dyDescent="0.2">
      <c r="A93" s="67"/>
      <c r="B93" s="66"/>
      <c r="C93" s="101">
        <f t="shared" si="16"/>
        <v>0</v>
      </c>
      <c r="D93" s="93"/>
      <c r="E93" s="101">
        <f t="shared" si="17"/>
        <v>0</v>
      </c>
      <c r="K93" s="144"/>
      <c r="W93" s="144"/>
      <c r="X93" s="144"/>
      <c r="Y93" s="144"/>
      <c r="Z93" s="144"/>
      <c r="AA93" s="144"/>
      <c r="AB93" s="144"/>
      <c r="AC93" s="144"/>
      <c r="AE93" s="144"/>
      <c r="AG93" s="144"/>
    </row>
    <row r="94" spans="1:38" s="56" customFormat="1" x14ac:dyDescent="0.2">
      <c r="A94" s="67"/>
      <c r="B94" s="66"/>
      <c r="C94" s="65">
        <f t="shared" si="16"/>
        <v>0</v>
      </c>
      <c r="D94" s="93"/>
      <c r="E94" s="101">
        <f t="shared" si="17"/>
        <v>0</v>
      </c>
      <c r="K94" s="144"/>
      <c r="W94" s="144"/>
      <c r="X94" s="144"/>
      <c r="Y94" s="144"/>
      <c r="Z94" s="144"/>
      <c r="AA94" s="144"/>
      <c r="AB94" s="144"/>
      <c r="AC94" s="144"/>
      <c r="AE94" s="144"/>
      <c r="AG94" s="144"/>
    </row>
    <row r="95" spans="1:38" s="56" customFormat="1" x14ac:dyDescent="0.2">
      <c r="A95" s="67"/>
      <c r="B95" s="66"/>
      <c r="C95" s="101">
        <f t="shared" si="16"/>
        <v>0</v>
      </c>
      <c r="D95" s="93"/>
      <c r="E95" s="101">
        <f t="shared" si="17"/>
        <v>0</v>
      </c>
      <c r="K95" s="144"/>
      <c r="W95" s="144"/>
      <c r="X95" s="144"/>
      <c r="Y95" s="144"/>
      <c r="Z95" s="144"/>
      <c r="AA95" s="144"/>
      <c r="AB95" s="144"/>
      <c r="AC95" s="144"/>
      <c r="AE95" s="144"/>
      <c r="AG95" s="144"/>
    </row>
    <row r="96" spans="1:38" s="56" customFormat="1" x14ac:dyDescent="0.2">
      <c r="A96" s="67"/>
      <c r="B96" s="66"/>
      <c r="C96" s="65">
        <f t="shared" si="16"/>
        <v>0</v>
      </c>
      <c r="D96" s="93"/>
      <c r="E96" s="65">
        <f t="shared" si="17"/>
        <v>0</v>
      </c>
      <c r="K96" s="144"/>
      <c r="W96" s="144"/>
      <c r="X96" s="144"/>
      <c r="Y96" s="144"/>
      <c r="Z96" s="144"/>
      <c r="AA96" s="144"/>
      <c r="AB96" s="144"/>
      <c r="AC96" s="144"/>
      <c r="AE96" s="144"/>
      <c r="AG96" s="144"/>
    </row>
    <row r="97" spans="1:33" s="56" customFormat="1" x14ac:dyDescent="0.2">
      <c r="A97" s="67"/>
      <c r="B97" s="66"/>
      <c r="C97" s="65">
        <f t="shared" si="16"/>
        <v>0</v>
      </c>
      <c r="D97" s="93"/>
      <c r="E97" s="65">
        <f t="shared" si="17"/>
        <v>0</v>
      </c>
      <c r="K97" s="144"/>
      <c r="W97" s="144"/>
      <c r="X97" s="144"/>
      <c r="Y97" s="144"/>
      <c r="Z97" s="144"/>
      <c r="AA97" s="144"/>
      <c r="AB97" s="144"/>
      <c r="AC97" s="144"/>
      <c r="AE97" s="144"/>
      <c r="AG97" s="144"/>
    </row>
    <row r="98" spans="1:33" s="56" customFormat="1" x14ac:dyDescent="0.2">
      <c r="A98" s="67"/>
      <c r="B98" s="66"/>
      <c r="C98" s="65">
        <f t="shared" si="16"/>
        <v>0</v>
      </c>
      <c r="D98" s="93"/>
      <c r="E98" s="65">
        <f t="shared" si="17"/>
        <v>0</v>
      </c>
      <c r="K98" s="144"/>
      <c r="W98" s="144"/>
      <c r="X98" s="144"/>
      <c r="Y98" s="144"/>
      <c r="Z98" s="144"/>
      <c r="AA98" s="144"/>
      <c r="AB98" s="144"/>
      <c r="AC98" s="144"/>
      <c r="AE98" s="144"/>
      <c r="AG98" s="144"/>
    </row>
    <row r="99" spans="1:33" s="56" customFormat="1" x14ac:dyDescent="0.2">
      <c r="A99" s="67"/>
      <c r="B99" s="66"/>
      <c r="C99" s="65">
        <f t="shared" si="16"/>
        <v>0</v>
      </c>
      <c r="D99" s="37"/>
      <c r="E99" s="65">
        <f t="shared" si="17"/>
        <v>0</v>
      </c>
      <c r="K99" s="144"/>
      <c r="W99" s="144"/>
      <c r="X99" s="144"/>
      <c r="Y99" s="144"/>
      <c r="Z99" s="144"/>
      <c r="AA99" s="144"/>
      <c r="AB99" s="144"/>
      <c r="AC99" s="144"/>
      <c r="AE99" s="144"/>
      <c r="AG99" s="144"/>
    </row>
    <row r="100" spans="1:33" s="56" customFormat="1" x14ac:dyDescent="0.2">
      <c r="A100" s="67"/>
      <c r="B100" s="66"/>
      <c r="C100" s="65">
        <f t="shared" si="16"/>
        <v>0</v>
      </c>
      <c r="D100" s="37"/>
      <c r="E100" s="65">
        <f t="shared" si="17"/>
        <v>0</v>
      </c>
      <c r="K100" s="144"/>
      <c r="W100" s="144"/>
      <c r="X100" s="144"/>
      <c r="Y100" s="144"/>
      <c r="Z100" s="144"/>
      <c r="AA100" s="144"/>
      <c r="AB100" s="144"/>
      <c r="AC100" s="144"/>
      <c r="AE100" s="144"/>
      <c r="AG100" s="144"/>
    </row>
    <row r="101" spans="1:33" s="56" customFormat="1" x14ac:dyDescent="0.2">
      <c r="A101" s="67"/>
      <c r="B101" s="66"/>
      <c r="C101" s="65">
        <f t="shared" si="16"/>
        <v>0</v>
      </c>
      <c r="D101" s="49"/>
      <c r="E101" s="65">
        <f t="shared" si="17"/>
        <v>0</v>
      </c>
      <c r="K101" s="144"/>
      <c r="W101" s="144"/>
      <c r="X101" s="144"/>
      <c r="Y101" s="144"/>
      <c r="Z101" s="144"/>
      <c r="AA101" s="144"/>
      <c r="AB101" s="144"/>
      <c r="AC101" s="144"/>
      <c r="AE101" s="144"/>
      <c r="AG101" s="144"/>
    </row>
    <row r="102" spans="1:33" s="56" customFormat="1" x14ac:dyDescent="0.2">
      <c r="A102" s="67"/>
      <c r="B102" s="66"/>
      <c r="C102" s="65">
        <f t="shared" si="16"/>
        <v>0</v>
      </c>
      <c r="D102" s="49"/>
      <c r="E102" s="65">
        <f t="shared" si="17"/>
        <v>0</v>
      </c>
      <c r="K102" s="144"/>
      <c r="W102" s="144"/>
      <c r="X102" s="144"/>
      <c r="Y102" s="144"/>
      <c r="Z102" s="144"/>
      <c r="AA102" s="144"/>
      <c r="AB102" s="144"/>
      <c r="AC102" s="144"/>
      <c r="AE102" s="144"/>
      <c r="AG102" s="144"/>
    </row>
    <row r="103" spans="1:33" s="56" customFormat="1" x14ac:dyDescent="0.2">
      <c r="A103" s="67"/>
      <c r="B103" s="66"/>
      <c r="C103" s="65">
        <f t="shared" si="16"/>
        <v>0</v>
      </c>
      <c r="D103" s="49"/>
      <c r="E103" s="65">
        <f t="shared" si="17"/>
        <v>0</v>
      </c>
      <c r="K103" s="144"/>
      <c r="W103" s="144"/>
      <c r="X103" s="144"/>
      <c r="Y103" s="144"/>
      <c r="Z103" s="144"/>
      <c r="AA103" s="144"/>
      <c r="AB103" s="144"/>
      <c r="AC103" s="144"/>
      <c r="AE103" s="144"/>
      <c r="AG103" s="144"/>
    </row>
    <row r="104" spans="1:33" s="56" customFormat="1" x14ac:dyDescent="0.2">
      <c r="A104" s="67"/>
      <c r="B104" s="66"/>
      <c r="C104" s="65">
        <f t="shared" si="16"/>
        <v>0</v>
      </c>
      <c r="D104" s="49"/>
      <c r="E104" s="65">
        <f t="shared" si="17"/>
        <v>0</v>
      </c>
      <c r="K104" s="144"/>
      <c r="W104" s="144"/>
      <c r="X104" s="144"/>
      <c r="Y104" s="144"/>
      <c r="Z104" s="144"/>
      <c r="AA104" s="144"/>
      <c r="AB104" s="144"/>
      <c r="AC104" s="144"/>
      <c r="AE104" s="144"/>
      <c r="AG104" s="144"/>
    </row>
    <row r="105" spans="1:33" s="56" customFormat="1" x14ac:dyDescent="0.2">
      <c r="A105" s="67"/>
      <c r="B105" s="66"/>
      <c r="C105" s="65">
        <f t="shared" si="16"/>
        <v>0</v>
      </c>
      <c r="D105" s="49"/>
      <c r="E105" s="65">
        <f t="shared" si="17"/>
        <v>0</v>
      </c>
      <c r="K105" s="144"/>
      <c r="W105" s="144"/>
      <c r="X105" s="144"/>
      <c r="Y105" s="144"/>
      <c r="Z105" s="144"/>
      <c r="AA105" s="144"/>
      <c r="AB105" s="144"/>
      <c r="AC105" s="144"/>
      <c r="AE105" s="144"/>
      <c r="AG105" s="144"/>
    </row>
    <row r="106" spans="1:33" s="56" customFormat="1" x14ac:dyDescent="0.2">
      <c r="A106" s="67"/>
      <c r="B106" s="66"/>
      <c r="C106" s="65">
        <f t="shared" si="16"/>
        <v>0</v>
      </c>
      <c r="D106" s="49"/>
      <c r="E106" s="65">
        <f t="shared" si="17"/>
        <v>0</v>
      </c>
      <c r="K106" s="144"/>
      <c r="W106" s="144"/>
      <c r="X106" s="144"/>
      <c r="Y106" s="144"/>
      <c r="Z106" s="144"/>
      <c r="AA106" s="144"/>
      <c r="AB106" s="144"/>
      <c r="AC106" s="144"/>
      <c r="AE106" s="144"/>
      <c r="AG106" s="144"/>
    </row>
    <row r="107" spans="1:33" s="56" customFormat="1" x14ac:dyDescent="0.2">
      <c r="A107" s="67"/>
      <c r="B107" s="66"/>
      <c r="C107" s="65">
        <f t="shared" ref="C107:C138" si="18">E107*D$5</f>
        <v>0</v>
      </c>
      <c r="D107" s="49"/>
      <c r="E107" s="65">
        <f t="shared" si="17"/>
        <v>0</v>
      </c>
      <c r="K107" s="144"/>
      <c r="W107" s="144"/>
      <c r="X107" s="144"/>
      <c r="Y107" s="144"/>
      <c r="Z107" s="144"/>
      <c r="AA107" s="144"/>
      <c r="AB107" s="144"/>
      <c r="AC107" s="144"/>
      <c r="AE107" s="144"/>
      <c r="AG107" s="144"/>
    </row>
    <row r="108" spans="1:33" s="56" customFormat="1" x14ac:dyDescent="0.2">
      <c r="A108" s="67"/>
      <c r="B108" s="66"/>
      <c r="C108" s="65">
        <f t="shared" si="18"/>
        <v>0</v>
      </c>
      <c r="D108" s="49"/>
      <c r="E108" s="65">
        <f t="shared" si="17"/>
        <v>0</v>
      </c>
      <c r="K108" s="144"/>
      <c r="W108" s="144"/>
      <c r="X108" s="144"/>
      <c r="Y108" s="144"/>
      <c r="Z108" s="144"/>
      <c r="AA108" s="144"/>
      <c r="AB108" s="144"/>
      <c r="AC108" s="144"/>
      <c r="AE108" s="144"/>
      <c r="AG108" s="144"/>
    </row>
    <row r="109" spans="1:33" s="56" customFormat="1" x14ac:dyDescent="0.2">
      <c r="A109" s="67"/>
      <c r="B109" s="66"/>
      <c r="C109" s="65">
        <f t="shared" si="18"/>
        <v>0</v>
      </c>
      <c r="D109" s="49"/>
      <c r="E109" s="65">
        <f t="shared" si="17"/>
        <v>0</v>
      </c>
      <c r="K109" s="144"/>
      <c r="W109" s="144"/>
      <c r="X109" s="144"/>
      <c r="Y109" s="144"/>
      <c r="Z109" s="144"/>
      <c r="AA109" s="144"/>
      <c r="AB109" s="144"/>
      <c r="AC109" s="144"/>
      <c r="AE109" s="144"/>
      <c r="AG109" s="144"/>
    </row>
    <row r="110" spans="1:33" s="56" customFormat="1" x14ac:dyDescent="0.2">
      <c r="A110" s="67"/>
      <c r="B110" s="66"/>
      <c r="C110" s="65">
        <f t="shared" si="18"/>
        <v>0</v>
      </c>
      <c r="D110" s="49"/>
      <c r="E110" s="65">
        <f t="shared" ref="E110:E141" si="19">SUM(G110:HL110)</f>
        <v>0</v>
      </c>
      <c r="K110" s="144"/>
      <c r="W110" s="144"/>
      <c r="X110" s="144"/>
      <c r="Y110" s="144"/>
      <c r="Z110" s="144"/>
      <c r="AA110" s="144"/>
      <c r="AB110" s="144"/>
      <c r="AC110" s="144"/>
      <c r="AE110" s="144"/>
      <c r="AG110" s="144"/>
    </row>
    <row r="111" spans="1:33" s="56" customFormat="1" x14ac:dyDescent="0.2">
      <c r="A111" s="67"/>
      <c r="B111" s="66"/>
      <c r="C111" s="65">
        <f t="shared" si="18"/>
        <v>0</v>
      </c>
      <c r="D111" s="49"/>
      <c r="E111" s="65">
        <f t="shared" si="19"/>
        <v>0</v>
      </c>
      <c r="K111" s="144"/>
      <c r="W111" s="144"/>
      <c r="X111" s="144"/>
      <c r="Y111" s="144"/>
      <c r="Z111" s="144"/>
      <c r="AA111" s="144"/>
      <c r="AB111" s="144"/>
      <c r="AC111" s="144"/>
      <c r="AE111" s="144"/>
      <c r="AG111" s="144"/>
    </row>
    <row r="112" spans="1:33" s="56" customFormat="1" x14ac:dyDescent="0.2">
      <c r="A112" s="67"/>
      <c r="B112" s="66"/>
      <c r="C112" s="65">
        <f t="shared" si="18"/>
        <v>0</v>
      </c>
      <c r="D112" s="49"/>
      <c r="E112" s="65">
        <f t="shared" si="19"/>
        <v>0</v>
      </c>
      <c r="K112" s="144"/>
      <c r="W112" s="144"/>
      <c r="X112" s="144"/>
      <c r="Y112" s="144"/>
      <c r="Z112" s="144"/>
      <c r="AA112" s="144"/>
      <c r="AB112" s="144"/>
      <c r="AC112" s="144"/>
      <c r="AE112" s="144"/>
      <c r="AG112" s="144"/>
    </row>
    <row r="113" spans="1:33" s="56" customFormat="1" x14ac:dyDescent="0.2">
      <c r="A113" s="67"/>
      <c r="B113" s="66"/>
      <c r="C113" s="65">
        <f t="shared" si="18"/>
        <v>0</v>
      </c>
      <c r="D113" s="49"/>
      <c r="E113" s="65">
        <f t="shared" si="19"/>
        <v>0</v>
      </c>
      <c r="K113" s="144"/>
      <c r="W113" s="144"/>
      <c r="X113" s="144"/>
      <c r="Y113" s="144"/>
      <c r="Z113" s="144"/>
      <c r="AA113" s="144"/>
      <c r="AB113" s="144"/>
      <c r="AC113" s="144"/>
      <c r="AE113" s="144"/>
      <c r="AG113" s="144"/>
    </row>
    <row r="114" spans="1:33" s="56" customFormat="1" x14ac:dyDescent="0.2">
      <c r="A114" s="67"/>
      <c r="B114" s="66"/>
      <c r="C114" s="65">
        <f t="shared" si="18"/>
        <v>0</v>
      </c>
      <c r="D114" s="49"/>
      <c r="E114" s="65">
        <f t="shared" si="19"/>
        <v>0</v>
      </c>
      <c r="K114" s="144"/>
      <c r="W114" s="144"/>
      <c r="X114" s="144"/>
      <c r="Y114" s="144"/>
      <c r="Z114" s="144"/>
      <c r="AA114" s="144"/>
      <c r="AB114" s="144"/>
      <c r="AC114" s="144"/>
      <c r="AE114" s="144"/>
      <c r="AG114" s="144"/>
    </row>
    <row r="115" spans="1:33" s="56" customFormat="1" x14ac:dyDescent="0.2">
      <c r="A115" s="67"/>
      <c r="B115" s="66"/>
      <c r="C115" s="65">
        <f t="shared" si="18"/>
        <v>0</v>
      </c>
      <c r="D115" s="49"/>
      <c r="E115" s="65">
        <f t="shared" si="19"/>
        <v>0</v>
      </c>
      <c r="K115" s="144"/>
      <c r="W115" s="144"/>
      <c r="X115" s="144"/>
      <c r="Y115" s="144"/>
      <c r="Z115" s="144"/>
      <c r="AA115" s="144"/>
      <c r="AB115" s="144"/>
      <c r="AC115" s="144"/>
      <c r="AE115" s="144"/>
      <c r="AG115" s="144"/>
    </row>
    <row r="116" spans="1:33" s="56" customFormat="1" x14ac:dyDescent="0.2">
      <c r="A116" s="67"/>
      <c r="B116" s="66"/>
      <c r="C116" s="65">
        <f t="shared" si="18"/>
        <v>0</v>
      </c>
      <c r="D116" s="49"/>
      <c r="E116" s="65">
        <f t="shared" si="19"/>
        <v>0</v>
      </c>
      <c r="K116" s="144"/>
      <c r="W116" s="144"/>
      <c r="X116" s="144"/>
      <c r="Y116" s="144"/>
      <c r="Z116" s="144"/>
      <c r="AA116" s="144"/>
      <c r="AB116" s="144"/>
      <c r="AC116" s="144"/>
      <c r="AE116" s="144"/>
      <c r="AG116" s="144"/>
    </row>
    <row r="117" spans="1:33" s="56" customFormat="1" x14ac:dyDescent="0.2">
      <c r="A117" s="67"/>
      <c r="B117" s="66"/>
      <c r="C117" s="65">
        <f t="shared" si="18"/>
        <v>0</v>
      </c>
      <c r="D117" s="49"/>
      <c r="E117" s="65">
        <f t="shared" si="19"/>
        <v>0</v>
      </c>
      <c r="K117" s="144"/>
      <c r="W117" s="144"/>
      <c r="X117" s="144"/>
      <c r="Y117" s="144"/>
      <c r="Z117" s="144"/>
      <c r="AA117" s="144"/>
      <c r="AB117" s="144"/>
      <c r="AC117" s="144"/>
      <c r="AE117" s="144"/>
      <c r="AG117" s="144"/>
    </row>
    <row r="118" spans="1:33" s="56" customFormat="1" x14ac:dyDescent="0.2">
      <c r="A118" s="67"/>
      <c r="B118" s="66"/>
      <c r="C118" s="65">
        <f t="shared" si="18"/>
        <v>0</v>
      </c>
      <c r="D118" s="49"/>
      <c r="E118" s="65">
        <f t="shared" si="19"/>
        <v>0</v>
      </c>
      <c r="K118" s="144"/>
      <c r="W118" s="144"/>
      <c r="X118" s="144"/>
      <c r="Y118" s="144"/>
      <c r="Z118" s="144"/>
      <c r="AA118" s="144"/>
      <c r="AB118" s="144"/>
      <c r="AC118" s="144"/>
      <c r="AE118" s="144"/>
      <c r="AG118" s="144"/>
    </row>
    <row r="119" spans="1:33" s="56" customFormat="1" x14ac:dyDescent="0.2">
      <c r="A119" s="67"/>
      <c r="B119" s="66"/>
      <c r="C119" s="65">
        <f t="shared" si="18"/>
        <v>0</v>
      </c>
      <c r="D119" s="49"/>
      <c r="E119" s="65">
        <f t="shared" si="19"/>
        <v>0</v>
      </c>
      <c r="K119" s="144"/>
      <c r="W119" s="144"/>
      <c r="X119" s="144"/>
      <c r="Y119" s="144"/>
      <c r="Z119" s="144"/>
      <c r="AA119" s="144"/>
      <c r="AB119" s="144"/>
      <c r="AC119" s="144"/>
      <c r="AE119" s="144"/>
      <c r="AG119" s="144"/>
    </row>
    <row r="120" spans="1:33" s="56" customFormat="1" x14ac:dyDescent="0.2">
      <c r="A120" s="67"/>
      <c r="B120" s="66"/>
      <c r="C120" s="65">
        <f t="shared" si="18"/>
        <v>0</v>
      </c>
      <c r="D120" s="49"/>
      <c r="E120" s="65">
        <f t="shared" si="19"/>
        <v>0</v>
      </c>
      <c r="K120" s="144"/>
      <c r="W120" s="144"/>
      <c r="X120" s="144"/>
      <c r="Y120" s="144"/>
      <c r="Z120" s="144"/>
      <c r="AA120" s="144"/>
      <c r="AB120" s="144"/>
      <c r="AC120" s="144"/>
      <c r="AE120" s="144"/>
      <c r="AG120" s="144"/>
    </row>
    <row r="121" spans="1:33" s="56" customFormat="1" x14ac:dyDescent="0.2">
      <c r="A121" s="67"/>
      <c r="B121" s="66"/>
      <c r="C121" s="65">
        <f t="shared" si="18"/>
        <v>0</v>
      </c>
      <c r="D121" s="49"/>
      <c r="E121" s="65">
        <f t="shared" si="19"/>
        <v>0</v>
      </c>
      <c r="K121" s="144"/>
      <c r="W121" s="144"/>
      <c r="X121" s="144"/>
      <c r="Y121" s="144"/>
      <c r="Z121" s="144"/>
      <c r="AA121" s="144"/>
      <c r="AB121" s="144"/>
      <c r="AC121" s="144"/>
      <c r="AE121" s="144"/>
      <c r="AG121" s="144"/>
    </row>
    <row r="122" spans="1:33" s="56" customFormat="1" x14ac:dyDescent="0.2">
      <c r="A122" s="67"/>
      <c r="B122" s="66"/>
      <c r="C122" s="65">
        <f t="shared" si="18"/>
        <v>0</v>
      </c>
      <c r="D122" s="49"/>
      <c r="E122" s="65">
        <f t="shared" si="19"/>
        <v>0</v>
      </c>
      <c r="K122" s="144"/>
      <c r="W122" s="144"/>
      <c r="X122" s="144"/>
      <c r="Y122" s="144"/>
      <c r="Z122" s="144"/>
      <c r="AA122" s="144"/>
      <c r="AB122" s="144"/>
      <c r="AC122" s="144"/>
      <c r="AE122" s="144"/>
      <c r="AG122" s="144"/>
    </row>
    <row r="123" spans="1:33" s="56" customFormat="1" x14ac:dyDescent="0.2">
      <c r="A123" s="67"/>
      <c r="B123" s="66"/>
      <c r="C123" s="65">
        <f t="shared" si="18"/>
        <v>0</v>
      </c>
      <c r="D123" s="49"/>
      <c r="E123" s="65">
        <f t="shared" si="19"/>
        <v>0</v>
      </c>
      <c r="K123" s="144"/>
      <c r="W123" s="144"/>
      <c r="X123" s="144"/>
      <c r="Y123" s="144"/>
      <c r="Z123" s="144"/>
      <c r="AA123" s="144"/>
      <c r="AB123" s="144"/>
      <c r="AC123" s="144"/>
      <c r="AE123" s="144"/>
      <c r="AG123" s="144"/>
    </row>
    <row r="124" spans="1:33" s="56" customFormat="1" x14ac:dyDescent="0.2">
      <c r="A124" s="67"/>
      <c r="B124" s="66"/>
      <c r="C124" s="65">
        <f t="shared" si="18"/>
        <v>0</v>
      </c>
      <c r="D124" s="49"/>
      <c r="E124" s="65">
        <f t="shared" si="19"/>
        <v>0</v>
      </c>
      <c r="K124" s="144"/>
      <c r="W124" s="144"/>
      <c r="X124" s="144"/>
      <c r="Y124" s="144"/>
      <c r="Z124" s="144"/>
      <c r="AA124" s="144"/>
      <c r="AB124" s="144"/>
      <c r="AC124" s="144"/>
      <c r="AE124" s="144"/>
      <c r="AG124" s="144"/>
    </row>
    <row r="125" spans="1:33" s="56" customFormat="1" x14ac:dyDescent="0.2">
      <c r="A125" s="67"/>
      <c r="B125" s="66"/>
      <c r="C125" s="65">
        <f t="shared" si="18"/>
        <v>0</v>
      </c>
      <c r="D125" s="49"/>
      <c r="E125" s="65">
        <f t="shared" si="19"/>
        <v>0</v>
      </c>
      <c r="K125" s="144"/>
      <c r="W125" s="144"/>
      <c r="X125" s="144"/>
      <c r="Y125" s="144"/>
      <c r="Z125" s="144"/>
      <c r="AA125" s="144"/>
      <c r="AB125" s="144"/>
      <c r="AC125" s="144"/>
      <c r="AE125" s="144"/>
      <c r="AG125" s="144"/>
    </row>
    <row r="126" spans="1:33" s="56" customFormat="1" x14ac:dyDescent="0.2">
      <c r="A126" s="67"/>
      <c r="B126" s="66"/>
      <c r="C126" s="65">
        <f t="shared" si="18"/>
        <v>0</v>
      </c>
      <c r="D126" s="49"/>
      <c r="E126" s="65">
        <f t="shared" si="19"/>
        <v>0</v>
      </c>
      <c r="K126" s="144"/>
      <c r="W126" s="144"/>
      <c r="X126" s="144"/>
      <c r="Y126" s="144"/>
      <c r="Z126" s="144"/>
      <c r="AA126" s="144"/>
      <c r="AB126" s="144"/>
      <c r="AC126" s="144"/>
      <c r="AE126" s="144"/>
      <c r="AG126" s="144"/>
    </row>
    <row r="127" spans="1:33" s="56" customFormat="1" x14ac:dyDescent="0.2">
      <c r="A127" s="67"/>
      <c r="B127" s="66"/>
      <c r="C127" s="65">
        <f t="shared" si="18"/>
        <v>0</v>
      </c>
      <c r="D127" s="49"/>
      <c r="E127" s="65">
        <f t="shared" si="19"/>
        <v>0</v>
      </c>
      <c r="K127" s="144"/>
      <c r="W127" s="144"/>
      <c r="X127" s="144"/>
      <c r="Y127" s="144"/>
      <c r="Z127" s="144"/>
      <c r="AA127" s="144"/>
      <c r="AB127" s="144"/>
      <c r="AC127" s="144"/>
      <c r="AE127" s="144"/>
      <c r="AG127" s="144"/>
    </row>
    <row r="128" spans="1:33" s="56" customFormat="1" x14ac:dyDescent="0.2">
      <c r="A128" s="67"/>
      <c r="B128" s="66"/>
      <c r="C128" s="65">
        <f t="shared" si="18"/>
        <v>0</v>
      </c>
      <c r="D128" s="49"/>
      <c r="E128" s="65">
        <f t="shared" si="19"/>
        <v>0</v>
      </c>
      <c r="K128" s="144"/>
      <c r="W128" s="144"/>
      <c r="X128" s="144"/>
      <c r="Y128" s="144"/>
      <c r="Z128" s="144"/>
      <c r="AA128" s="144"/>
      <c r="AB128" s="144"/>
      <c r="AC128" s="144"/>
      <c r="AE128" s="144"/>
      <c r="AG128" s="144"/>
    </row>
    <row r="129" spans="1:33" s="56" customFormat="1" x14ac:dyDescent="0.2">
      <c r="A129" s="67"/>
      <c r="B129" s="66"/>
      <c r="C129" s="65">
        <f t="shared" si="18"/>
        <v>0</v>
      </c>
      <c r="D129" s="49"/>
      <c r="E129" s="65">
        <f t="shared" si="19"/>
        <v>0</v>
      </c>
      <c r="K129" s="144"/>
      <c r="W129" s="144"/>
      <c r="X129" s="144"/>
      <c r="Y129" s="144"/>
      <c r="Z129" s="144"/>
      <c r="AA129" s="144"/>
      <c r="AB129" s="144"/>
      <c r="AC129" s="144"/>
      <c r="AE129" s="144"/>
      <c r="AG129" s="144"/>
    </row>
    <row r="130" spans="1:33" s="56" customFormat="1" x14ac:dyDescent="0.2">
      <c r="A130" s="67"/>
      <c r="B130" s="66"/>
      <c r="C130" s="65">
        <f t="shared" si="18"/>
        <v>0</v>
      </c>
      <c r="D130" s="49"/>
      <c r="E130" s="65">
        <f t="shared" si="19"/>
        <v>0</v>
      </c>
      <c r="K130" s="144"/>
      <c r="W130" s="144"/>
      <c r="X130" s="144"/>
      <c r="Y130" s="144"/>
      <c r="Z130" s="144"/>
      <c r="AA130" s="144"/>
      <c r="AB130" s="144"/>
      <c r="AC130" s="144"/>
      <c r="AE130" s="144"/>
      <c r="AG130" s="144"/>
    </row>
    <row r="131" spans="1:33" s="56" customFormat="1" x14ac:dyDescent="0.2">
      <c r="A131" s="67"/>
      <c r="B131" s="66"/>
      <c r="C131" s="65">
        <f t="shared" si="18"/>
        <v>0</v>
      </c>
      <c r="D131" s="49"/>
      <c r="E131" s="65">
        <f t="shared" si="19"/>
        <v>0</v>
      </c>
      <c r="K131" s="144"/>
      <c r="W131" s="144"/>
      <c r="X131" s="144"/>
      <c r="Y131" s="144"/>
      <c r="Z131" s="144"/>
      <c r="AA131" s="144"/>
      <c r="AB131" s="144"/>
      <c r="AC131" s="144"/>
      <c r="AE131" s="144"/>
      <c r="AG131" s="144"/>
    </row>
    <row r="132" spans="1:33" s="56" customFormat="1" x14ac:dyDescent="0.2">
      <c r="A132" s="67"/>
      <c r="B132" s="66"/>
      <c r="C132" s="65">
        <f t="shared" si="18"/>
        <v>0</v>
      </c>
      <c r="D132" s="49"/>
      <c r="E132" s="65">
        <f t="shared" si="19"/>
        <v>0</v>
      </c>
      <c r="K132" s="144"/>
      <c r="W132" s="144"/>
      <c r="X132" s="144"/>
      <c r="Y132" s="144"/>
      <c r="Z132" s="144"/>
      <c r="AA132" s="144"/>
      <c r="AB132" s="144"/>
      <c r="AC132" s="144"/>
      <c r="AE132" s="144"/>
      <c r="AG132" s="144"/>
    </row>
    <row r="133" spans="1:33" s="56" customFormat="1" x14ac:dyDescent="0.2">
      <c r="A133" s="67"/>
      <c r="B133" s="66"/>
      <c r="C133" s="65">
        <f t="shared" si="18"/>
        <v>0</v>
      </c>
      <c r="D133" s="49"/>
      <c r="E133" s="65">
        <f t="shared" si="19"/>
        <v>0</v>
      </c>
      <c r="K133" s="144"/>
      <c r="W133" s="144"/>
      <c r="X133" s="144"/>
      <c r="Y133" s="144"/>
      <c r="Z133" s="144"/>
      <c r="AA133" s="144"/>
      <c r="AB133" s="144"/>
      <c r="AC133" s="144"/>
      <c r="AE133" s="144"/>
      <c r="AG133" s="144"/>
    </row>
    <row r="134" spans="1:33" s="56" customFormat="1" x14ac:dyDescent="0.2">
      <c r="A134" s="67"/>
      <c r="B134" s="66"/>
      <c r="C134" s="65">
        <f t="shared" si="18"/>
        <v>0</v>
      </c>
      <c r="D134" s="49"/>
      <c r="E134" s="65">
        <f t="shared" si="19"/>
        <v>0</v>
      </c>
      <c r="K134" s="144"/>
      <c r="W134" s="144"/>
      <c r="X134" s="144"/>
      <c r="Y134" s="144"/>
      <c r="Z134" s="144"/>
      <c r="AA134" s="144"/>
      <c r="AB134" s="144"/>
      <c r="AC134" s="144"/>
      <c r="AE134" s="144"/>
      <c r="AG134" s="144"/>
    </row>
    <row r="135" spans="1:33" s="56" customFormat="1" x14ac:dyDescent="0.2">
      <c r="A135" s="67"/>
      <c r="B135" s="66"/>
      <c r="C135" s="65">
        <f t="shared" si="18"/>
        <v>0</v>
      </c>
      <c r="D135" s="49"/>
      <c r="E135" s="65">
        <f t="shared" si="19"/>
        <v>0</v>
      </c>
      <c r="K135" s="144"/>
      <c r="W135" s="144"/>
      <c r="X135" s="144"/>
      <c r="Y135" s="144"/>
      <c r="Z135" s="144"/>
      <c r="AA135" s="144"/>
      <c r="AB135" s="144"/>
      <c r="AC135" s="144"/>
      <c r="AE135" s="144"/>
      <c r="AG135" s="144"/>
    </row>
    <row r="136" spans="1:33" s="56" customFormat="1" x14ac:dyDescent="0.2">
      <c r="A136" s="67"/>
      <c r="B136" s="66"/>
      <c r="C136" s="65">
        <f t="shared" si="18"/>
        <v>0</v>
      </c>
      <c r="D136" s="49"/>
      <c r="E136" s="65">
        <f t="shared" si="19"/>
        <v>0</v>
      </c>
      <c r="K136" s="144"/>
      <c r="W136" s="144"/>
      <c r="X136" s="144"/>
      <c r="Y136" s="144"/>
      <c r="Z136" s="144"/>
      <c r="AA136" s="144"/>
      <c r="AB136" s="144"/>
      <c r="AC136" s="144"/>
      <c r="AE136" s="144"/>
      <c r="AG136" s="144"/>
    </row>
    <row r="137" spans="1:33" s="56" customFormat="1" x14ac:dyDescent="0.2">
      <c r="A137" s="67"/>
      <c r="B137" s="66"/>
      <c r="C137" s="65">
        <f t="shared" si="18"/>
        <v>0</v>
      </c>
      <c r="D137" s="49"/>
      <c r="E137" s="65">
        <f t="shared" si="19"/>
        <v>0</v>
      </c>
      <c r="K137" s="144"/>
      <c r="W137" s="144"/>
      <c r="X137" s="144"/>
      <c r="Y137" s="144"/>
      <c r="Z137" s="144"/>
      <c r="AA137" s="144"/>
      <c r="AB137" s="144"/>
      <c r="AC137" s="144"/>
      <c r="AE137" s="144"/>
      <c r="AG137" s="144"/>
    </row>
    <row r="138" spans="1:33" s="56" customFormat="1" x14ac:dyDescent="0.2">
      <c r="A138" s="67"/>
      <c r="B138" s="66"/>
      <c r="C138" s="65">
        <f t="shared" si="18"/>
        <v>0</v>
      </c>
      <c r="D138" s="49"/>
      <c r="E138" s="65">
        <f t="shared" si="19"/>
        <v>0</v>
      </c>
      <c r="K138" s="144"/>
      <c r="W138" s="144"/>
      <c r="X138" s="144"/>
      <c r="Y138" s="144"/>
      <c r="Z138" s="144"/>
      <c r="AA138" s="144"/>
      <c r="AB138" s="144"/>
      <c r="AC138" s="144"/>
      <c r="AE138" s="144"/>
      <c r="AG138" s="144"/>
    </row>
    <row r="139" spans="1:33" s="56" customFormat="1" x14ac:dyDescent="0.2">
      <c r="A139" s="67"/>
      <c r="B139" s="66"/>
      <c r="C139" s="65">
        <f t="shared" ref="C139:C170" si="20">E139*D$5</f>
        <v>0</v>
      </c>
      <c r="D139" s="49"/>
      <c r="E139" s="65">
        <f t="shared" si="19"/>
        <v>0</v>
      </c>
      <c r="K139" s="144"/>
      <c r="W139" s="144"/>
      <c r="X139" s="144"/>
      <c r="Y139" s="144"/>
      <c r="Z139" s="144"/>
      <c r="AA139" s="144"/>
      <c r="AB139" s="144"/>
      <c r="AC139" s="144"/>
      <c r="AE139" s="144"/>
      <c r="AG139" s="144"/>
    </row>
    <row r="140" spans="1:33" s="56" customFormat="1" x14ac:dyDescent="0.2">
      <c r="A140" s="67"/>
      <c r="B140" s="66"/>
      <c r="C140" s="65">
        <f t="shared" si="20"/>
        <v>0</v>
      </c>
      <c r="D140" s="49"/>
      <c r="E140" s="65">
        <f t="shared" si="19"/>
        <v>0</v>
      </c>
      <c r="K140" s="144"/>
      <c r="W140" s="144"/>
      <c r="X140" s="144"/>
      <c r="Y140" s="144"/>
      <c r="Z140" s="144"/>
      <c r="AA140" s="144"/>
      <c r="AB140" s="144"/>
      <c r="AC140" s="144"/>
      <c r="AE140" s="144"/>
      <c r="AG140" s="144"/>
    </row>
    <row r="141" spans="1:33" s="56" customFormat="1" x14ac:dyDescent="0.2">
      <c r="A141" s="67"/>
      <c r="B141" s="66"/>
      <c r="C141" s="65">
        <f t="shared" si="20"/>
        <v>0</v>
      </c>
      <c r="D141" s="49"/>
      <c r="E141" s="65">
        <f t="shared" si="19"/>
        <v>0</v>
      </c>
      <c r="K141" s="144"/>
      <c r="W141" s="144"/>
      <c r="X141" s="144"/>
      <c r="Y141" s="144"/>
      <c r="Z141" s="144"/>
      <c r="AA141" s="144"/>
      <c r="AB141" s="144"/>
      <c r="AC141" s="144"/>
      <c r="AE141" s="144"/>
      <c r="AG141" s="144"/>
    </row>
    <row r="142" spans="1:33" s="56" customFormat="1" x14ac:dyDescent="0.2">
      <c r="A142" s="67"/>
      <c r="B142" s="66"/>
      <c r="C142" s="65">
        <f t="shared" si="20"/>
        <v>0</v>
      </c>
      <c r="D142" s="49"/>
      <c r="E142" s="65">
        <f t="shared" ref="E142:E173" si="21">SUM(G142:HL142)</f>
        <v>0</v>
      </c>
      <c r="K142" s="144"/>
      <c r="W142" s="144"/>
      <c r="X142" s="144"/>
      <c r="Y142" s="144"/>
      <c r="Z142" s="144"/>
      <c r="AA142" s="144"/>
      <c r="AB142" s="144"/>
      <c r="AC142" s="144"/>
      <c r="AE142" s="144"/>
      <c r="AG142" s="144"/>
    </row>
    <row r="143" spans="1:33" s="56" customFormat="1" x14ac:dyDescent="0.2">
      <c r="A143" s="67"/>
      <c r="B143" s="66"/>
      <c r="C143" s="65">
        <f t="shared" si="20"/>
        <v>0</v>
      </c>
      <c r="D143" s="49"/>
      <c r="E143" s="65">
        <f t="shared" si="21"/>
        <v>0</v>
      </c>
      <c r="K143" s="144"/>
      <c r="W143" s="144"/>
      <c r="X143" s="144"/>
      <c r="Y143" s="144"/>
      <c r="Z143" s="144"/>
      <c r="AA143" s="144"/>
      <c r="AB143" s="144"/>
      <c r="AC143" s="144"/>
      <c r="AE143" s="144"/>
      <c r="AG143" s="144"/>
    </row>
    <row r="144" spans="1:33" s="56" customFormat="1" x14ac:dyDescent="0.2">
      <c r="A144" s="67"/>
      <c r="B144" s="66"/>
      <c r="C144" s="65">
        <f t="shared" si="20"/>
        <v>0</v>
      </c>
      <c r="D144" s="49"/>
      <c r="E144" s="65">
        <f t="shared" si="21"/>
        <v>0</v>
      </c>
      <c r="K144" s="144"/>
      <c r="W144" s="144"/>
      <c r="X144" s="144"/>
      <c r="Y144" s="144"/>
      <c r="Z144" s="144"/>
      <c r="AA144" s="144"/>
      <c r="AB144" s="144"/>
      <c r="AC144" s="144"/>
      <c r="AE144" s="144"/>
      <c r="AG144" s="144"/>
    </row>
    <row r="145" spans="1:33" s="56" customFormat="1" x14ac:dyDescent="0.2">
      <c r="A145" s="67"/>
      <c r="B145" s="66"/>
      <c r="C145" s="65">
        <f t="shared" si="20"/>
        <v>0</v>
      </c>
      <c r="D145" s="49"/>
      <c r="E145" s="65">
        <f t="shared" si="21"/>
        <v>0</v>
      </c>
      <c r="K145" s="144"/>
      <c r="W145" s="144"/>
      <c r="X145" s="144"/>
      <c r="Y145" s="144"/>
      <c r="Z145" s="144"/>
      <c r="AA145" s="144"/>
      <c r="AB145" s="144"/>
      <c r="AC145" s="144"/>
      <c r="AE145" s="144"/>
      <c r="AG145" s="144"/>
    </row>
    <row r="146" spans="1:33" s="56" customFormat="1" x14ac:dyDescent="0.2">
      <c r="A146" s="67"/>
      <c r="B146" s="66"/>
      <c r="C146" s="65">
        <f t="shared" si="20"/>
        <v>0</v>
      </c>
      <c r="D146" s="49"/>
      <c r="E146" s="65">
        <f t="shared" si="21"/>
        <v>0</v>
      </c>
      <c r="K146" s="144"/>
      <c r="W146" s="144"/>
      <c r="X146" s="144"/>
      <c r="Y146" s="144"/>
      <c r="Z146" s="144"/>
      <c r="AA146" s="144"/>
      <c r="AB146" s="144"/>
      <c r="AC146" s="144"/>
      <c r="AE146" s="144"/>
      <c r="AG146" s="144"/>
    </row>
    <row r="147" spans="1:33" s="56" customFormat="1" x14ac:dyDescent="0.2">
      <c r="A147" s="67"/>
      <c r="B147" s="66"/>
      <c r="C147" s="65">
        <f t="shared" si="20"/>
        <v>0</v>
      </c>
      <c r="D147" s="49"/>
      <c r="E147" s="65">
        <f t="shared" si="21"/>
        <v>0</v>
      </c>
      <c r="K147" s="144"/>
      <c r="W147" s="144"/>
      <c r="X147" s="144"/>
      <c r="Y147" s="144"/>
      <c r="Z147" s="144"/>
      <c r="AA147" s="144"/>
      <c r="AB147" s="144"/>
      <c r="AC147" s="144"/>
      <c r="AE147" s="144"/>
      <c r="AG147" s="144"/>
    </row>
    <row r="148" spans="1:33" s="56" customFormat="1" x14ac:dyDescent="0.2">
      <c r="A148" s="67"/>
      <c r="B148" s="66"/>
      <c r="C148" s="65">
        <f t="shared" si="20"/>
        <v>0</v>
      </c>
      <c r="D148" s="49"/>
      <c r="E148" s="65">
        <f t="shared" si="21"/>
        <v>0</v>
      </c>
      <c r="K148" s="144"/>
      <c r="W148" s="144"/>
      <c r="X148" s="144"/>
      <c r="Y148" s="144"/>
      <c r="Z148" s="144"/>
      <c r="AA148" s="144"/>
      <c r="AB148" s="144"/>
      <c r="AC148" s="144"/>
      <c r="AE148" s="144"/>
      <c r="AG148" s="144"/>
    </row>
    <row r="149" spans="1:33" s="56" customFormat="1" x14ac:dyDescent="0.2">
      <c r="A149" s="67"/>
      <c r="B149" s="66"/>
      <c r="C149" s="65">
        <f t="shared" si="20"/>
        <v>0</v>
      </c>
      <c r="D149" s="49"/>
      <c r="E149" s="65">
        <f t="shared" si="21"/>
        <v>0</v>
      </c>
      <c r="K149" s="144"/>
      <c r="W149" s="144"/>
      <c r="X149" s="144"/>
      <c r="Y149" s="144"/>
      <c r="Z149" s="144"/>
      <c r="AA149" s="144"/>
      <c r="AB149" s="144"/>
      <c r="AC149" s="144"/>
      <c r="AE149" s="144"/>
      <c r="AG149" s="144"/>
    </row>
    <row r="150" spans="1:33" s="56" customFormat="1" x14ac:dyDescent="0.2">
      <c r="A150" s="67"/>
      <c r="B150" s="66"/>
      <c r="C150" s="65">
        <f t="shared" si="20"/>
        <v>0</v>
      </c>
      <c r="D150" s="49"/>
      <c r="E150" s="65">
        <f t="shared" si="21"/>
        <v>0</v>
      </c>
      <c r="K150" s="144"/>
      <c r="W150" s="144"/>
      <c r="X150" s="144"/>
      <c r="Y150" s="144"/>
      <c r="Z150" s="144"/>
      <c r="AA150" s="144"/>
      <c r="AB150" s="144"/>
      <c r="AC150" s="144"/>
      <c r="AE150" s="144"/>
      <c r="AG150" s="144"/>
    </row>
    <row r="151" spans="1:33" s="56" customFormat="1" x14ac:dyDescent="0.2">
      <c r="A151" s="67"/>
      <c r="B151" s="66"/>
      <c r="C151" s="65">
        <f t="shared" si="20"/>
        <v>0</v>
      </c>
      <c r="D151" s="49"/>
      <c r="E151" s="65">
        <f t="shared" si="21"/>
        <v>0</v>
      </c>
      <c r="K151" s="144"/>
      <c r="W151" s="144"/>
      <c r="X151" s="144"/>
      <c r="Y151" s="144"/>
      <c r="Z151" s="144"/>
      <c r="AA151" s="144"/>
      <c r="AB151" s="144"/>
      <c r="AC151" s="144"/>
      <c r="AE151" s="144"/>
      <c r="AG151" s="144"/>
    </row>
    <row r="152" spans="1:33" s="56" customFormat="1" x14ac:dyDescent="0.2">
      <c r="A152" s="67"/>
      <c r="B152" s="66"/>
      <c r="C152" s="65">
        <f t="shared" si="20"/>
        <v>0</v>
      </c>
      <c r="D152" s="49"/>
      <c r="E152" s="65">
        <f t="shared" si="21"/>
        <v>0</v>
      </c>
      <c r="K152" s="144"/>
      <c r="W152" s="144"/>
      <c r="X152" s="144"/>
      <c r="Y152" s="144"/>
      <c r="Z152" s="144"/>
      <c r="AA152" s="144"/>
      <c r="AB152" s="144"/>
      <c r="AC152" s="144"/>
      <c r="AE152" s="144"/>
      <c r="AG152" s="144"/>
    </row>
    <row r="153" spans="1:33" s="56" customFormat="1" x14ac:dyDescent="0.2">
      <c r="A153" s="67"/>
      <c r="B153" s="66"/>
      <c r="C153" s="65">
        <f t="shared" si="20"/>
        <v>0</v>
      </c>
      <c r="D153" s="49"/>
      <c r="E153" s="65">
        <f t="shared" si="21"/>
        <v>0</v>
      </c>
      <c r="K153" s="144"/>
      <c r="W153" s="144"/>
      <c r="X153" s="144"/>
      <c r="Y153" s="144"/>
      <c r="Z153" s="144"/>
      <c r="AA153" s="144"/>
      <c r="AB153" s="144"/>
      <c r="AC153" s="144"/>
      <c r="AE153" s="144"/>
      <c r="AG153" s="144"/>
    </row>
    <row r="154" spans="1:33" s="56" customFormat="1" x14ac:dyDescent="0.2">
      <c r="A154" s="67"/>
      <c r="B154" s="66"/>
      <c r="C154" s="65">
        <f t="shared" si="20"/>
        <v>0</v>
      </c>
      <c r="D154" s="49"/>
      <c r="E154" s="65">
        <f t="shared" si="21"/>
        <v>0</v>
      </c>
      <c r="K154" s="144"/>
      <c r="W154" s="144"/>
      <c r="X154" s="144"/>
      <c r="Y154" s="144"/>
      <c r="Z154" s="144"/>
      <c r="AA154" s="144"/>
      <c r="AB154" s="144"/>
      <c r="AC154" s="144"/>
      <c r="AE154" s="144"/>
      <c r="AG154" s="144"/>
    </row>
    <row r="155" spans="1:33" s="56" customFormat="1" x14ac:dyDescent="0.2">
      <c r="A155" s="67"/>
      <c r="B155" s="66"/>
      <c r="C155" s="65">
        <f t="shared" si="20"/>
        <v>0</v>
      </c>
      <c r="D155" s="49"/>
      <c r="E155" s="65">
        <f t="shared" si="21"/>
        <v>0</v>
      </c>
      <c r="K155" s="144"/>
      <c r="W155" s="144"/>
      <c r="X155" s="144"/>
      <c r="Y155" s="144"/>
      <c r="Z155" s="144"/>
      <c r="AA155" s="144"/>
      <c r="AB155" s="144"/>
      <c r="AC155" s="144"/>
      <c r="AE155" s="144"/>
      <c r="AG155" s="144"/>
    </row>
    <row r="156" spans="1:33" s="56" customFormat="1" x14ac:dyDescent="0.2">
      <c r="A156" s="67"/>
      <c r="B156" s="66"/>
      <c r="C156" s="65">
        <f t="shared" si="20"/>
        <v>0</v>
      </c>
      <c r="D156" s="49"/>
      <c r="E156" s="65">
        <f t="shared" si="21"/>
        <v>0</v>
      </c>
      <c r="K156" s="144"/>
      <c r="W156" s="144"/>
      <c r="X156" s="144"/>
      <c r="Y156" s="144"/>
      <c r="Z156" s="144"/>
      <c r="AA156" s="144"/>
      <c r="AB156" s="144"/>
      <c r="AC156" s="144"/>
      <c r="AE156" s="144"/>
      <c r="AG156" s="144"/>
    </row>
    <row r="157" spans="1:33" s="56" customFormat="1" x14ac:dyDescent="0.2">
      <c r="A157" s="67"/>
      <c r="B157" s="66"/>
      <c r="C157" s="65">
        <f t="shared" si="20"/>
        <v>0</v>
      </c>
      <c r="D157" s="49"/>
      <c r="E157" s="65">
        <f t="shared" si="21"/>
        <v>0</v>
      </c>
      <c r="K157" s="144"/>
      <c r="W157" s="144"/>
      <c r="X157" s="144"/>
      <c r="Y157" s="144"/>
      <c r="Z157" s="144"/>
      <c r="AA157" s="144"/>
      <c r="AB157" s="144"/>
      <c r="AC157" s="144"/>
      <c r="AE157" s="144"/>
      <c r="AG157" s="144"/>
    </row>
    <row r="158" spans="1:33" s="56" customFormat="1" x14ac:dyDescent="0.2">
      <c r="A158" s="67"/>
      <c r="B158" s="66"/>
      <c r="C158" s="65">
        <f t="shared" si="20"/>
        <v>0</v>
      </c>
      <c r="D158" s="49"/>
      <c r="E158" s="65">
        <f t="shared" si="21"/>
        <v>0</v>
      </c>
      <c r="K158" s="144"/>
      <c r="W158" s="144"/>
      <c r="X158" s="144"/>
      <c r="Y158" s="144"/>
      <c r="Z158" s="144"/>
      <c r="AA158" s="144"/>
      <c r="AB158" s="144"/>
      <c r="AC158" s="144"/>
      <c r="AE158" s="144"/>
      <c r="AG158" s="144"/>
    </row>
    <row r="159" spans="1:33" s="56" customFormat="1" x14ac:dyDescent="0.2">
      <c r="A159" s="67"/>
      <c r="B159" s="66"/>
      <c r="C159" s="65">
        <f t="shared" si="20"/>
        <v>0</v>
      </c>
      <c r="D159" s="49"/>
      <c r="E159" s="65">
        <f t="shared" si="21"/>
        <v>0</v>
      </c>
      <c r="K159" s="144"/>
      <c r="W159" s="144"/>
      <c r="X159" s="144"/>
      <c r="Y159" s="144"/>
      <c r="Z159" s="144"/>
      <c r="AA159" s="144"/>
      <c r="AB159" s="144"/>
      <c r="AC159" s="144"/>
      <c r="AE159" s="144"/>
      <c r="AG159" s="144"/>
    </row>
    <row r="160" spans="1:33" s="56" customFormat="1" x14ac:dyDescent="0.2">
      <c r="A160" s="67"/>
      <c r="B160" s="66"/>
      <c r="C160" s="65">
        <f t="shared" si="20"/>
        <v>0</v>
      </c>
      <c r="D160" s="49"/>
      <c r="E160" s="65">
        <f t="shared" si="21"/>
        <v>0</v>
      </c>
      <c r="K160" s="144"/>
      <c r="W160" s="144"/>
      <c r="X160" s="144"/>
      <c r="Y160" s="144"/>
      <c r="Z160" s="144"/>
      <c r="AA160" s="144"/>
      <c r="AB160" s="144"/>
      <c r="AC160" s="144"/>
      <c r="AE160" s="144"/>
      <c r="AG160" s="144"/>
    </row>
    <row r="161" spans="1:33" s="56" customFormat="1" x14ac:dyDescent="0.2">
      <c r="A161" s="67"/>
      <c r="B161" s="66"/>
      <c r="C161" s="65">
        <f t="shared" si="20"/>
        <v>0</v>
      </c>
      <c r="D161" s="49"/>
      <c r="E161" s="65">
        <f t="shared" si="21"/>
        <v>0</v>
      </c>
      <c r="K161" s="144"/>
      <c r="W161" s="144"/>
      <c r="X161" s="144"/>
      <c r="Y161" s="144"/>
      <c r="Z161" s="144"/>
      <c r="AA161" s="144"/>
      <c r="AB161" s="144"/>
      <c r="AC161" s="144"/>
      <c r="AE161" s="144"/>
      <c r="AG161" s="144"/>
    </row>
    <row r="162" spans="1:33" s="56" customFormat="1" x14ac:dyDescent="0.2">
      <c r="A162" s="67"/>
      <c r="B162" s="66"/>
      <c r="C162" s="65">
        <f t="shared" si="20"/>
        <v>0</v>
      </c>
      <c r="D162" s="49"/>
      <c r="E162" s="65">
        <f t="shared" si="21"/>
        <v>0</v>
      </c>
      <c r="K162" s="144"/>
      <c r="W162" s="144"/>
      <c r="X162" s="144"/>
      <c r="Y162" s="144"/>
      <c r="Z162" s="144"/>
      <c r="AA162" s="144"/>
      <c r="AB162" s="144"/>
      <c r="AC162" s="144"/>
      <c r="AE162" s="144"/>
      <c r="AG162" s="144"/>
    </row>
    <row r="163" spans="1:33" s="56" customFormat="1" x14ac:dyDescent="0.2">
      <c r="A163" s="67"/>
      <c r="B163" s="66"/>
      <c r="C163" s="65">
        <f t="shared" si="20"/>
        <v>0</v>
      </c>
      <c r="D163" s="49"/>
      <c r="E163" s="65">
        <f t="shared" si="21"/>
        <v>0</v>
      </c>
      <c r="K163" s="144"/>
      <c r="W163" s="144"/>
      <c r="X163" s="144"/>
      <c r="Y163" s="144"/>
      <c r="Z163" s="144"/>
      <c r="AA163" s="144"/>
      <c r="AB163" s="144"/>
      <c r="AC163" s="144"/>
      <c r="AE163" s="144"/>
      <c r="AG163" s="144"/>
    </row>
    <row r="164" spans="1:33" s="56" customFormat="1" x14ac:dyDescent="0.2">
      <c r="A164" s="67"/>
      <c r="B164" s="66"/>
      <c r="C164" s="65">
        <f t="shared" si="20"/>
        <v>0</v>
      </c>
      <c r="D164" s="49"/>
      <c r="E164" s="65">
        <f t="shared" si="21"/>
        <v>0</v>
      </c>
      <c r="K164" s="144"/>
      <c r="W164" s="144"/>
      <c r="X164" s="144"/>
      <c r="Y164" s="144"/>
      <c r="Z164" s="144"/>
      <c r="AA164" s="144"/>
      <c r="AB164" s="144"/>
      <c r="AC164" s="144"/>
      <c r="AE164" s="144"/>
      <c r="AG164" s="144"/>
    </row>
    <row r="165" spans="1:33" s="56" customFormat="1" x14ac:dyDescent="0.2">
      <c r="A165" s="67"/>
      <c r="B165" s="66"/>
      <c r="C165" s="65">
        <f t="shared" si="20"/>
        <v>0</v>
      </c>
      <c r="D165" s="49"/>
      <c r="E165" s="65">
        <f t="shared" si="21"/>
        <v>0</v>
      </c>
      <c r="K165" s="144"/>
      <c r="W165" s="144"/>
      <c r="X165" s="144"/>
      <c r="Y165" s="144"/>
      <c r="Z165" s="144"/>
      <c r="AA165" s="144"/>
      <c r="AB165" s="144"/>
      <c r="AC165" s="144"/>
      <c r="AE165" s="144"/>
      <c r="AG165" s="144"/>
    </row>
    <row r="166" spans="1:33" s="56" customFormat="1" x14ac:dyDescent="0.2">
      <c r="A166" s="67"/>
      <c r="B166" s="66"/>
      <c r="C166" s="65">
        <f t="shared" si="20"/>
        <v>0</v>
      </c>
      <c r="D166" s="49"/>
      <c r="E166" s="65">
        <f t="shared" si="21"/>
        <v>0</v>
      </c>
      <c r="K166" s="144"/>
      <c r="W166" s="144"/>
      <c r="X166" s="144"/>
      <c r="Y166" s="144"/>
      <c r="Z166" s="144"/>
      <c r="AA166" s="144"/>
      <c r="AB166" s="144"/>
      <c r="AC166" s="144"/>
      <c r="AE166" s="144"/>
      <c r="AG166" s="144"/>
    </row>
    <row r="167" spans="1:33" s="56" customFormat="1" x14ac:dyDescent="0.2">
      <c r="A167" s="67"/>
      <c r="B167" s="66"/>
      <c r="C167" s="65">
        <f t="shared" si="20"/>
        <v>0</v>
      </c>
      <c r="D167" s="49"/>
      <c r="E167" s="65">
        <f t="shared" si="21"/>
        <v>0</v>
      </c>
      <c r="K167" s="144"/>
      <c r="W167" s="144"/>
      <c r="X167" s="144"/>
      <c r="Y167" s="144"/>
      <c r="Z167" s="144"/>
      <c r="AA167" s="144"/>
      <c r="AB167" s="144"/>
      <c r="AC167" s="144"/>
      <c r="AE167" s="144"/>
      <c r="AG167" s="144"/>
    </row>
    <row r="168" spans="1:33" s="56" customFormat="1" x14ac:dyDescent="0.2">
      <c r="A168" s="67"/>
      <c r="B168" s="66"/>
      <c r="C168" s="65">
        <f t="shared" si="20"/>
        <v>0</v>
      </c>
      <c r="D168" s="49"/>
      <c r="E168" s="65">
        <f t="shared" si="21"/>
        <v>0</v>
      </c>
      <c r="K168" s="144"/>
      <c r="W168" s="144"/>
      <c r="X168" s="144"/>
      <c r="Y168" s="144"/>
      <c r="Z168" s="144"/>
      <c r="AA168" s="144"/>
      <c r="AB168" s="144"/>
      <c r="AC168" s="144"/>
      <c r="AE168" s="144"/>
      <c r="AG168" s="144"/>
    </row>
    <row r="169" spans="1:33" s="56" customFormat="1" x14ac:dyDescent="0.2">
      <c r="A169" s="67"/>
      <c r="B169" s="66"/>
      <c r="C169" s="65">
        <f t="shared" si="20"/>
        <v>0</v>
      </c>
      <c r="D169" s="49"/>
      <c r="E169" s="65">
        <f t="shared" si="21"/>
        <v>0</v>
      </c>
      <c r="K169" s="144"/>
      <c r="W169" s="144"/>
      <c r="X169" s="144"/>
      <c r="Y169" s="144"/>
      <c r="Z169" s="144"/>
      <c r="AA169" s="144"/>
      <c r="AB169" s="144"/>
      <c r="AC169" s="144"/>
      <c r="AE169" s="144"/>
      <c r="AG169" s="144"/>
    </row>
    <row r="170" spans="1:33" s="56" customFormat="1" x14ac:dyDescent="0.2">
      <c r="A170" s="67"/>
      <c r="B170" s="66"/>
      <c r="C170" s="65">
        <f t="shared" si="20"/>
        <v>0</v>
      </c>
      <c r="D170" s="49"/>
      <c r="E170" s="65">
        <f t="shared" si="21"/>
        <v>0</v>
      </c>
      <c r="K170" s="144"/>
      <c r="W170" s="144"/>
      <c r="X170" s="144"/>
      <c r="Y170" s="144"/>
      <c r="Z170" s="144"/>
      <c r="AA170" s="144"/>
      <c r="AB170" s="144"/>
      <c r="AC170" s="144"/>
      <c r="AE170" s="144"/>
      <c r="AG170" s="144"/>
    </row>
    <row r="171" spans="1:33" s="56" customFormat="1" x14ac:dyDescent="0.2">
      <c r="A171" s="67"/>
      <c r="B171" s="66"/>
      <c r="C171" s="65">
        <f t="shared" ref="C171:C202" si="22">E171*D$5</f>
        <v>0</v>
      </c>
      <c r="D171" s="49"/>
      <c r="E171" s="65">
        <f t="shared" si="21"/>
        <v>0</v>
      </c>
      <c r="K171" s="144"/>
      <c r="W171" s="144"/>
      <c r="X171" s="144"/>
      <c r="Y171" s="144"/>
      <c r="Z171" s="144"/>
      <c r="AA171" s="144"/>
      <c r="AB171" s="144"/>
      <c r="AC171" s="144"/>
      <c r="AE171" s="144"/>
      <c r="AG171" s="144"/>
    </row>
    <row r="172" spans="1:33" s="56" customFormat="1" x14ac:dyDescent="0.2">
      <c r="A172" s="67"/>
      <c r="B172" s="66"/>
      <c r="C172" s="65">
        <f t="shared" si="22"/>
        <v>0</v>
      </c>
      <c r="D172" s="49"/>
      <c r="E172" s="65">
        <f t="shared" si="21"/>
        <v>0</v>
      </c>
      <c r="K172" s="144"/>
      <c r="W172" s="144"/>
      <c r="X172" s="144"/>
      <c r="Y172" s="144"/>
      <c r="Z172" s="144"/>
      <c r="AA172" s="144"/>
      <c r="AB172" s="144"/>
      <c r="AC172" s="144"/>
      <c r="AE172" s="144"/>
      <c r="AG172" s="144"/>
    </row>
    <row r="173" spans="1:33" s="56" customFormat="1" x14ac:dyDescent="0.2">
      <c r="A173" s="67"/>
      <c r="B173" s="66"/>
      <c r="C173" s="65">
        <f t="shared" si="22"/>
        <v>0</v>
      </c>
      <c r="D173" s="49"/>
      <c r="E173" s="65">
        <f t="shared" si="21"/>
        <v>0</v>
      </c>
      <c r="K173" s="144"/>
      <c r="W173" s="144"/>
      <c r="X173" s="144"/>
      <c r="Y173" s="144"/>
      <c r="Z173" s="144"/>
      <c r="AA173" s="144"/>
      <c r="AB173" s="144"/>
      <c r="AC173" s="144"/>
      <c r="AE173" s="144"/>
      <c r="AG173" s="144"/>
    </row>
    <row r="174" spans="1:33" s="56" customFormat="1" x14ac:dyDescent="0.2">
      <c r="A174" s="67"/>
      <c r="B174" s="66"/>
      <c r="C174" s="65">
        <f t="shared" si="22"/>
        <v>0</v>
      </c>
      <c r="D174" s="49"/>
      <c r="E174" s="65">
        <f t="shared" ref="E174:E203" si="23">SUM(G174:HL174)</f>
        <v>0</v>
      </c>
      <c r="K174" s="144"/>
      <c r="W174" s="144"/>
      <c r="X174" s="144"/>
      <c r="Y174" s="144"/>
      <c r="Z174" s="144"/>
      <c r="AA174" s="144"/>
      <c r="AB174" s="144"/>
      <c r="AC174" s="144"/>
      <c r="AE174" s="144"/>
      <c r="AG174" s="144"/>
    </row>
    <row r="175" spans="1:33" s="56" customFormat="1" x14ac:dyDescent="0.2">
      <c r="A175" s="67"/>
      <c r="B175" s="66"/>
      <c r="C175" s="65">
        <f t="shared" si="22"/>
        <v>0</v>
      </c>
      <c r="D175" s="49"/>
      <c r="E175" s="65">
        <f t="shared" si="23"/>
        <v>0</v>
      </c>
      <c r="K175" s="144"/>
      <c r="W175" s="144"/>
      <c r="X175" s="144"/>
      <c r="Y175" s="144"/>
      <c r="Z175" s="144"/>
      <c r="AA175" s="144"/>
      <c r="AB175" s="144"/>
      <c r="AC175" s="144"/>
      <c r="AE175" s="144"/>
      <c r="AG175" s="144"/>
    </row>
    <row r="176" spans="1:33" s="56" customFormat="1" x14ac:dyDescent="0.2">
      <c r="A176" s="67"/>
      <c r="B176" s="66"/>
      <c r="C176" s="65">
        <f t="shared" si="22"/>
        <v>0</v>
      </c>
      <c r="D176" s="49"/>
      <c r="E176" s="65">
        <f t="shared" si="23"/>
        <v>0</v>
      </c>
      <c r="K176" s="144"/>
      <c r="W176" s="144"/>
      <c r="X176" s="144"/>
      <c r="Y176" s="144"/>
      <c r="Z176" s="144"/>
      <c r="AA176" s="144"/>
      <c r="AB176" s="144"/>
      <c r="AC176" s="144"/>
      <c r="AE176" s="144"/>
      <c r="AG176" s="144"/>
    </row>
    <row r="177" spans="1:33" s="56" customFormat="1" x14ac:dyDescent="0.2">
      <c r="A177" s="67"/>
      <c r="B177" s="66"/>
      <c r="C177" s="65">
        <f t="shared" si="22"/>
        <v>0</v>
      </c>
      <c r="D177" s="49"/>
      <c r="E177" s="65">
        <f t="shared" si="23"/>
        <v>0</v>
      </c>
      <c r="K177" s="144"/>
      <c r="W177" s="144"/>
      <c r="X177" s="144"/>
      <c r="Y177" s="144"/>
      <c r="Z177" s="144"/>
      <c r="AA177" s="144"/>
      <c r="AB177" s="144"/>
      <c r="AC177" s="144"/>
      <c r="AE177" s="144"/>
      <c r="AG177" s="144"/>
    </row>
    <row r="178" spans="1:33" s="56" customFormat="1" x14ac:dyDescent="0.2">
      <c r="A178" s="67"/>
      <c r="B178" s="66"/>
      <c r="C178" s="65">
        <f t="shared" si="22"/>
        <v>0</v>
      </c>
      <c r="D178" s="49"/>
      <c r="E178" s="65">
        <f t="shared" si="23"/>
        <v>0</v>
      </c>
      <c r="K178" s="144"/>
      <c r="W178" s="144"/>
      <c r="X178" s="144"/>
      <c r="Y178" s="144"/>
      <c r="Z178" s="144"/>
      <c r="AA178" s="144"/>
      <c r="AB178" s="144"/>
      <c r="AC178" s="144"/>
      <c r="AE178" s="144"/>
      <c r="AG178" s="144"/>
    </row>
    <row r="179" spans="1:33" s="56" customFormat="1" x14ac:dyDescent="0.2">
      <c r="A179" s="67"/>
      <c r="B179" s="66"/>
      <c r="C179" s="65">
        <f t="shared" si="22"/>
        <v>0</v>
      </c>
      <c r="D179" s="49"/>
      <c r="E179" s="65">
        <f t="shared" si="23"/>
        <v>0</v>
      </c>
      <c r="K179" s="144"/>
      <c r="W179" s="144"/>
      <c r="X179" s="144"/>
      <c r="Y179" s="144"/>
      <c r="Z179" s="144"/>
      <c r="AA179" s="144"/>
      <c r="AB179" s="144"/>
      <c r="AC179" s="144"/>
      <c r="AE179" s="144"/>
      <c r="AG179" s="144"/>
    </row>
    <row r="180" spans="1:33" s="56" customFormat="1" x14ac:dyDescent="0.2">
      <c r="A180" s="67"/>
      <c r="B180" s="66"/>
      <c r="C180" s="65">
        <f t="shared" si="22"/>
        <v>0</v>
      </c>
      <c r="D180" s="49"/>
      <c r="E180" s="65">
        <f t="shared" si="23"/>
        <v>0</v>
      </c>
      <c r="K180" s="144"/>
      <c r="W180" s="144"/>
      <c r="X180" s="144"/>
      <c r="Y180" s="144"/>
      <c r="Z180" s="144"/>
      <c r="AA180" s="144"/>
      <c r="AB180" s="144"/>
      <c r="AC180" s="144"/>
      <c r="AE180" s="144"/>
      <c r="AG180" s="144"/>
    </row>
    <row r="181" spans="1:33" s="56" customFormat="1" x14ac:dyDescent="0.2">
      <c r="A181" s="67"/>
      <c r="B181" s="66"/>
      <c r="C181" s="65">
        <f t="shared" si="22"/>
        <v>0</v>
      </c>
      <c r="D181" s="49"/>
      <c r="E181" s="65">
        <f t="shared" si="23"/>
        <v>0</v>
      </c>
      <c r="K181" s="144"/>
      <c r="W181" s="144"/>
      <c r="X181" s="144"/>
      <c r="Y181" s="144"/>
      <c r="Z181" s="144"/>
      <c r="AA181" s="144"/>
      <c r="AB181" s="144"/>
      <c r="AC181" s="144"/>
      <c r="AE181" s="144"/>
      <c r="AG181" s="144"/>
    </row>
    <row r="182" spans="1:33" s="56" customFormat="1" x14ac:dyDescent="0.2">
      <c r="A182" s="67"/>
      <c r="B182" s="66"/>
      <c r="C182" s="65">
        <f t="shared" si="22"/>
        <v>0</v>
      </c>
      <c r="D182" s="49"/>
      <c r="E182" s="65">
        <f t="shared" si="23"/>
        <v>0</v>
      </c>
      <c r="K182" s="144"/>
      <c r="W182" s="144"/>
      <c r="X182" s="144"/>
      <c r="Y182" s="144"/>
      <c r="Z182" s="144"/>
      <c r="AA182" s="144"/>
      <c r="AB182" s="144"/>
      <c r="AC182" s="144"/>
      <c r="AE182" s="144"/>
      <c r="AG182" s="144"/>
    </row>
    <row r="183" spans="1:33" s="56" customFormat="1" x14ac:dyDescent="0.2">
      <c r="A183" s="67"/>
      <c r="B183" s="66"/>
      <c r="C183" s="65">
        <f t="shared" si="22"/>
        <v>0</v>
      </c>
      <c r="D183" s="49"/>
      <c r="E183" s="65">
        <f t="shared" si="23"/>
        <v>0</v>
      </c>
      <c r="K183" s="144"/>
      <c r="W183" s="144"/>
      <c r="X183" s="144"/>
      <c r="Y183" s="144"/>
      <c r="Z183" s="144"/>
      <c r="AA183" s="144"/>
      <c r="AB183" s="144"/>
      <c r="AC183" s="144"/>
      <c r="AE183" s="144"/>
      <c r="AG183" s="144"/>
    </row>
    <row r="184" spans="1:33" s="56" customFormat="1" x14ac:dyDescent="0.2">
      <c r="A184" s="67"/>
      <c r="B184" s="66"/>
      <c r="C184" s="65">
        <f t="shared" si="22"/>
        <v>0</v>
      </c>
      <c r="D184" s="49"/>
      <c r="E184" s="65">
        <f t="shared" si="23"/>
        <v>0</v>
      </c>
      <c r="K184" s="144"/>
      <c r="W184" s="144"/>
      <c r="X184" s="144"/>
      <c r="Y184" s="144"/>
      <c r="Z184" s="144"/>
      <c r="AA184" s="144"/>
      <c r="AB184" s="144"/>
      <c r="AC184" s="144"/>
      <c r="AE184" s="144"/>
      <c r="AG184" s="144"/>
    </row>
    <row r="185" spans="1:33" s="56" customFormat="1" x14ac:dyDescent="0.2">
      <c r="A185" s="67"/>
      <c r="B185" s="66"/>
      <c r="C185" s="65">
        <f t="shared" si="22"/>
        <v>0</v>
      </c>
      <c r="D185" s="49"/>
      <c r="E185" s="65">
        <f t="shared" si="23"/>
        <v>0</v>
      </c>
      <c r="K185" s="144"/>
      <c r="W185" s="144"/>
      <c r="X185" s="144"/>
      <c r="Y185" s="144"/>
      <c r="Z185" s="144"/>
      <c r="AA185" s="144"/>
      <c r="AB185" s="144"/>
      <c r="AC185" s="144"/>
      <c r="AE185" s="144"/>
      <c r="AG185" s="144"/>
    </row>
    <row r="186" spans="1:33" s="56" customFormat="1" x14ac:dyDescent="0.2">
      <c r="A186" s="67"/>
      <c r="B186" s="66"/>
      <c r="C186" s="65">
        <f t="shared" si="22"/>
        <v>0</v>
      </c>
      <c r="D186" s="49"/>
      <c r="E186" s="65">
        <f t="shared" si="23"/>
        <v>0</v>
      </c>
      <c r="K186" s="144"/>
      <c r="W186" s="144"/>
      <c r="X186" s="144"/>
      <c r="Y186" s="144"/>
      <c r="Z186" s="144"/>
      <c r="AA186" s="144"/>
      <c r="AB186" s="144"/>
      <c r="AC186" s="144"/>
      <c r="AE186" s="144"/>
      <c r="AG186" s="144"/>
    </row>
    <row r="187" spans="1:33" s="56" customFormat="1" x14ac:dyDescent="0.2">
      <c r="A187" s="67"/>
      <c r="B187" s="66"/>
      <c r="C187" s="65">
        <f t="shared" si="22"/>
        <v>0</v>
      </c>
      <c r="D187" s="49"/>
      <c r="E187" s="65">
        <f t="shared" si="23"/>
        <v>0</v>
      </c>
      <c r="K187" s="144"/>
      <c r="W187" s="144"/>
      <c r="X187" s="144"/>
      <c r="Y187" s="144"/>
      <c r="Z187" s="144"/>
      <c r="AA187" s="144"/>
      <c r="AB187" s="144"/>
      <c r="AC187" s="144"/>
      <c r="AE187" s="144"/>
      <c r="AG187" s="144"/>
    </row>
    <row r="188" spans="1:33" s="56" customFormat="1" x14ac:dyDescent="0.2">
      <c r="A188" s="67"/>
      <c r="B188" s="66"/>
      <c r="C188" s="65">
        <f t="shared" si="22"/>
        <v>0</v>
      </c>
      <c r="D188" s="49"/>
      <c r="E188" s="65">
        <f t="shared" si="23"/>
        <v>0</v>
      </c>
      <c r="K188" s="144"/>
      <c r="W188" s="144"/>
      <c r="X188" s="144"/>
      <c r="Y188" s="144"/>
      <c r="Z188" s="144"/>
      <c r="AA188" s="144"/>
      <c r="AB188" s="144"/>
      <c r="AC188" s="144"/>
      <c r="AE188" s="144"/>
      <c r="AG188" s="144"/>
    </row>
    <row r="189" spans="1:33" s="56" customFormat="1" x14ac:dyDescent="0.2">
      <c r="A189" s="67"/>
      <c r="B189" s="66"/>
      <c r="C189" s="65">
        <f t="shared" si="22"/>
        <v>0</v>
      </c>
      <c r="D189" s="49"/>
      <c r="E189" s="65">
        <f t="shared" si="23"/>
        <v>0</v>
      </c>
      <c r="K189" s="144"/>
      <c r="W189" s="144"/>
      <c r="X189" s="144"/>
      <c r="Y189" s="144"/>
      <c r="Z189" s="144"/>
      <c r="AA189" s="144"/>
      <c r="AB189" s="144"/>
      <c r="AC189" s="144"/>
      <c r="AE189" s="144"/>
      <c r="AG189" s="144"/>
    </row>
    <row r="190" spans="1:33" s="56" customFormat="1" x14ac:dyDescent="0.2">
      <c r="A190" s="67"/>
      <c r="B190" s="66"/>
      <c r="C190" s="65">
        <f t="shared" si="22"/>
        <v>0</v>
      </c>
      <c r="D190" s="49"/>
      <c r="E190" s="65">
        <f t="shared" si="23"/>
        <v>0</v>
      </c>
      <c r="K190" s="144"/>
      <c r="W190" s="144"/>
      <c r="X190" s="144"/>
      <c r="Y190" s="144"/>
      <c r="Z190" s="144"/>
      <c r="AA190" s="144"/>
      <c r="AB190" s="144"/>
      <c r="AC190" s="144"/>
      <c r="AE190" s="144"/>
      <c r="AG190" s="144"/>
    </row>
    <row r="191" spans="1:33" s="56" customFormat="1" x14ac:dyDescent="0.2">
      <c r="A191" s="67"/>
      <c r="B191" s="66"/>
      <c r="C191" s="65">
        <f t="shared" si="22"/>
        <v>0</v>
      </c>
      <c r="D191" s="49"/>
      <c r="E191" s="65">
        <f t="shared" si="23"/>
        <v>0</v>
      </c>
      <c r="K191" s="144"/>
      <c r="W191" s="144"/>
      <c r="X191" s="144"/>
      <c r="Y191" s="144"/>
      <c r="Z191" s="144"/>
      <c r="AA191" s="144"/>
      <c r="AB191" s="144"/>
      <c r="AC191" s="144"/>
      <c r="AE191" s="144"/>
      <c r="AG191" s="144"/>
    </row>
    <row r="192" spans="1:33" s="56" customFormat="1" x14ac:dyDescent="0.2">
      <c r="A192" s="67"/>
      <c r="B192" s="66"/>
      <c r="C192" s="65">
        <f t="shared" si="22"/>
        <v>0</v>
      </c>
      <c r="D192" s="49"/>
      <c r="E192" s="65">
        <f t="shared" si="23"/>
        <v>0</v>
      </c>
      <c r="K192" s="144"/>
      <c r="W192" s="144"/>
      <c r="X192" s="144"/>
      <c r="Y192" s="144"/>
      <c r="Z192" s="144"/>
      <c r="AA192" s="144"/>
      <c r="AB192" s="144"/>
      <c r="AC192" s="144"/>
      <c r="AE192" s="144"/>
      <c r="AG192" s="144"/>
    </row>
    <row r="193" spans="1:33" s="56" customFormat="1" x14ac:dyDescent="0.2">
      <c r="A193" s="67"/>
      <c r="B193" s="66"/>
      <c r="C193" s="65">
        <f t="shared" si="22"/>
        <v>0</v>
      </c>
      <c r="D193" s="49"/>
      <c r="E193" s="65">
        <f t="shared" si="23"/>
        <v>0</v>
      </c>
      <c r="K193" s="144"/>
      <c r="W193" s="144"/>
      <c r="X193" s="144"/>
      <c r="Y193" s="144"/>
      <c r="Z193" s="144"/>
      <c r="AA193" s="144"/>
      <c r="AB193" s="144"/>
      <c r="AC193" s="144"/>
      <c r="AE193" s="144"/>
      <c r="AG193" s="144"/>
    </row>
    <row r="194" spans="1:33" s="56" customFormat="1" x14ac:dyDescent="0.2">
      <c r="A194" s="67"/>
      <c r="B194" s="66"/>
      <c r="C194" s="65">
        <f t="shared" si="22"/>
        <v>0</v>
      </c>
      <c r="D194" s="49"/>
      <c r="E194" s="65">
        <f t="shared" si="23"/>
        <v>0</v>
      </c>
      <c r="K194" s="144"/>
      <c r="W194" s="144"/>
      <c r="X194" s="144"/>
      <c r="Y194" s="144"/>
      <c r="Z194" s="144"/>
      <c r="AA194" s="144"/>
      <c r="AB194" s="144"/>
      <c r="AC194" s="144"/>
      <c r="AE194" s="144"/>
      <c r="AG194" s="144"/>
    </row>
    <row r="195" spans="1:33" s="56" customFormat="1" x14ac:dyDescent="0.2">
      <c r="A195" s="67"/>
      <c r="B195" s="66"/>
      <c r="C195" s="65">
        <f t="shared" si="22"/>
        <v>0</v>
      </c>
      <c r="D195" s="49"/>
      <c r="E195" s="65">
        <f t="shared" si="23"/>
        <v>0</v>
      </c>
      <c r="K195" s="144"/>
      <c r="W195" s="144"/>
      <c r="X195" s="144"/>
      <c r="Y195" s="144"/>
      <c r="Z195" s="144"/>
      <c r="AA195" s="144"/>
      <c r="AB195" s="144"/>
      <c r="AC195" s="144"/>
      <c r="AE195" s="144"/>
      <c r="AG195" s="144"/>
    </row>
    <row r="196" spans="1:33" s="56" customFormat="1" x14ac:dyDescent="0.2">
      <c r="A196" s="67"/>
      <c r="B196" s="66"/>
      <c r="C196" s="65">
        <f t="shared" si="22"/>
        <v>0</v>
      </c>
      <c r="D196" s="49"/>
      <c r="E196" s="65">
        <f t="shared" si="23"/>
        <v>0</v>
      </c>
      <c r="K196" s="144"/>
      <c r="W196" s="144"/>
      <c r="X196" s="144"/>
      <c r="Y196" s="144"/>
      <c r="Z196" s="144"/>
      <c r="AA196" s="144"/>
      <c r="AB196" s="144"/>
      <c r="AC196" s="144"/>
      <c r="AE196" s="144"/>
      <c r="AG196" s="144"/>
    </row>
    <row r="197" spans="1:33" s="56" customFormat="1" x14ac:dyDescent="0.2">
      <c r="A197" s="67"/>
      <c r="B197" s="66"/>
      <c r="C197" s="65">
        <f t="shared" si="22"/>
        <v>0</v>
      </c>
      <c r="D197" s="49"/>
      <c r="E197" s="65">
        <f t="shared" si="23"/>
        <v>0</v>
      </c>
      <c r="K197" s="144"/>
      <c r="W197" s="144"/>
      <c r="X197" s="144"/>
      <c r="Y197" s="144"/>
      <c r="Z197" s="144"/>
      <c r="AA197" s="144"/>
      <c r="AB197" s="144"/>
      <c r="AC197" s="144"/>
      <c r="AE197" s="144"/>
      <c r="AG197" s="144"/>
    </row>
    <row r="198" spans="1:33" s="56" customFormat="1" x14ac:dyDescent="0.2">
      <c r="A198" s="67"/>
      <c r="B198" s="66"/>
      <c r="C198" s="65">
        <f t="shared" si="22"/>
        <v>0</v>
      </c>
      <c r="D198" s="49"/>
      <c r="E198" s="65">
        <f t="shared" si="23"/>
        <v>0</v>
      </c>
      <c r="K198" s="144"/>
      <c r="W198" s="144"/>
      <c r="X198" s="144"/>
      <c r="Y198" s="144"/>
      <c r="Z198" s="144"/>
      <c r="AA198" s="144"/>
      <c r="AB198" s="144"/>
      <c r="AC198" s="144"/>
      <c r="AE198" s="144"/>
      <c r="AG198" s="144"/>
    </row>
    <row r="199" spans="1:33" s="56" customFormat="1" x14ac:dyDescent="0.2">
      <c r="A199" s="67"/>
      <c r="B199" s="66"/>
      <c r="C199" s="65">
        <f t="shared" si="22"/>
        <v>0</v>
      </c>
      <c r="D199" s="49"/>
      <c r="E199" s="65">
        <f t="shared" si="23"/>
        <v>0</v>
      </c>
      <c r="K199" s="144"/>
      <c r="W199" s="144"/>
      <c r="X199" s="144"/>
      <c r="Y199" s="144"/>
      <c r="Z199" s="144"/>
      <c r="AA199" s="144"/>
      <c r="AB199" s="144"/>
      <c r="AC199" s="144"/>
      <c r="AE199" s="144"/>
      <c r="AG199" s="144"/>
    </row>
    <row r="200" spans="1:33" s="56" customFormat="1" x14ac:dyDescent="0.2">
      <c r="A200" s="67"/>
      <c r="B200" s="66"/>
      <c r="C200" s="65">
        <f t="shared" si="22"/>
        <v>0</v>
      </c>
      <c r="D200" s="49"/>
      <c r="E200" s="65">
        <f t="shared" si="23"/>
        <v>0</v>
      </c>
      <c r="K200" s="144"/>
      <c r="W200" s="144"/>
      <c r="X200" s="144"/>
      <c r="Y200" s="144"/>
      <c r="Z200" s="144"/>
      <c r="AA200" s="144"/>
      <c r="AB200" s="144"/>
      <c r="AC200" s="144"/>
      <c r="AE200" s="144"/>
      <c r="AG200" s="144"/>
    </row>
    <row r="201" spans="1:33" s="56" customFormat="1" x14ac:dyDescent="0.2">
      <c r="A201" s="67"/>
      <c r="B201" s="66"/>
      <c r="C201" s="65">
        <f t="shared" si="22"/>
        <v>0</v>
      </c>
      <c r="D201" s="49"/>
      <c r="E201" s="65">
        <f t="shared" si="23"/>
        <v>0</v>
      </c>
      <c r="K201" s="144"/>
      <c r="W201" s="144"/>
      <c r="X201" s="144"/>
      <c r="Y201" s="144"/>
      <c r="Z201" s="144"/>
      <c r="AA201" s="144"/>
      <c r="AB201" s="144"/>
      <c r="AC201" s="144"/>
      <c r="AE201" s="144"/>
      <c r="AG201" s="144"/>
    </row>
    <row r="202" spans="1:33" s="56" customFormat="1" x14ac:dyDescent="0.2">
      <c r="A202" s="67"/>
      <c r="B202" s="66"/>
      <c r="C202" s="65">
        <f t="shared" si="22"/>
        <v>0</v>
      </c>
      <c r="D202" s="49"/>
      <c r="E202" s="65">
        <f t="shared" si="23"/>
        <v>0</v>
      </c>
      <c r="K202" s="144"/>
      <c r="W202" s="144"/>
      <c r="X202" s="144"/>
      <c r="Y202" s="144"/>
      <c r="Z202" s="144"/>
      <c r="AA202" s="144"/>
      <c r="AB202" s="144"/>
      <c r="AC202" s="144"/>
      <c r="AE202" s="144"/>
      <c r="AG202" s="144"/>
    </row>
    <row r="203" spans="1:33" s="56" customFormat="1" x14ac:dyDescent="0.2">
      <c r="A203" s="67"/>
      <c r="B203" s="66"/>
      <c r="C203" s="65">
        <f t="shared" ref="C203" si="24">E203*D$5</f>
        <v>0</v>
      </c>
      <c r="D203" s="49"/>
      <c r="E203" s="65">
        <f t="shared" si="23"/>
        <v>0</v>
      </c>
      <c r="K203" s="144"/>
      <c r="W203" s="144"/>
      <c r="X203" s="144"/>
      <c r="Y203" s="144"/>
      <c r="Z203" s="144"/>
      <c r="AA203" s="144"/>
      <c r="AB203" s="144"/>
      <c r="AC203" s="144"/>
      <c r="AE203" s="146"/>
      <c r="AG203" s="144"/>
    </row>
    <row r="204" spans="1:33" s="58" customFormat="1" x14ac:dyDescent="0.2">
      <c r="A204" s="63"/>
      <c r="B204" s="62"/>
      <c r="C204" s="61"/>
      <c r="D204" s="60"/>
      <c r="E204" s="59"/>
      <c r="K204" s="144"/>
      <c r="W204" s="144"/>
      <c r="X204" s="144"/>
      <c r="Y204" s="144"/>
      <c r="Z204" s="144"/>
      <c r="AA204" s="144"/>
      <c r="AB204" s="144"/>
      <c r="AC204" s="144"/>
      <c r="AE204" s="139"/>
      <c r="AG204" s="144"/>
    </row>
    <row r="205" spans="1:33" s="55" customFormat="1" x14ac:dyDescent="0.2">
      <c r="A205" s="54"/>
      <c r="B205" s="53"/>
      <c r="C205" s="52"/>
      <c r="D205" s="51"/>
      <c r="E205" s="50"/>
      <c r="K205" s="144"/>
      <c r="W205" s="144"/>
      <c r="X205" s="144"/>
      <c r="Y205" s="144"/>
      <c r="Z205" s="144"/>
      <c r="AA205" s="144"/>
      <c r="AB205" s="144"/>
      <c r="AC205" s="144"/>
      <c r="AE205" s="139"/>
      <c r="AG205" s="144"/>
    </row>
    <row r="206" spans="1:33" x14ac:dyDescent="0.2">
      <c r="A206" s="54"/>
      <c r="B206" s="53"/>
      <c r="C206" s="52"/>
      <c r="D206" s="51"/>
      <c r="E206" s="50"/>
      <c r="K206" s="144"/>
      <c r="W206" s="144"/>
      <c r="X206" s="144"/>
      <c r="Y206" s="144"/>
      <c r="Z206" s="146"/>
      <c r="AA206" s="146"/>
      <c r="AB206" s="146"/>
      <c r="AC206" s="146"/>
      <c r="AG206" s="146"/>
    </row>
    <row r="207" spans="1:33" x14ac:dyDescent="0.2">
      <c r="K207" s="144"/>
      <c r="W207" s="146"/>
      <c r="X207" s="144"/>
      <c r="Y207" s="144"/>
    </row>
    <row r="208" spans="1:33" x14ac:dyDescent="0.2">
      <c r="K208" s="146"/>
      <c r="X208" s="146"/>
      <c r="Y208" s="144"/>
    </row>
    <row r="209" spans="25:25" x14ac:dyDescent="0.2">
      <c r="Y209" s="144"/>
    </row>
    <row r="210" spans="25:25" x14ac:dyDescent="0.2">
      <c r="Y210" s="144"/>
    </row>
    <row r="211" spans="25:25" x14ac:dyDescent="0.2">
      <c r="Y211" s="144"/>
    </row>
    <row r="212" spans="25:25" x14ac:dyDescent="0.2">
      <c r="Y212" s="146"/>
    </row>
  </sheetData>
  <mergeCells count="185">
    <mergeCell ref="E2:F2"/>
    <mergeCell ref="K7:K8"/>
    <mergeCell ref="CY7:CY8"/>
    <mergeCell ref="AW7:AW8"/>
    <mergeCell ref="CX7:CX8"/>
    <mergeCell ref="CH7:CH8"/>
    <mergeCell ref="AK7:AK8"/>
    <mergeCell ref="AC7:AC8"/>
    <mergeCell ref="EL7:EL8"/>
    <mergeCell ref="AE7:AE8"/>
    <mergeCell ref="CV7:CV8"/>
    <mergeCell ref="CE7:CE8"/>
    <mergeCell ref="AL7:AL8"/>
    <mergeCell ref="AX7:AX8"/>
    <mergeCell ref="BA7:BA8"/>
    <mergeCell ref="BC7:BC8"/>
    <mergeCell ref="M7:M8"/>
    <mergeCell ref="Q7:Q8"/>
    <mergeCell ref="FS7:FS8"/>
    <mergeCell ref="BL7:BL8"/>
    <mergeCell ref="EC7:EC8"/>
    <mergeCell ref="CD7:CD8"/>
    <mergeCell ref="FK7:FK8"/>
    <mergeCell ref="EE7:EE8"/>
    <mergeCell ref="DN7:DN8"/>
    <mergeCell ref="FM7:FM8"/>
    <mergeCell ref="BX7:BX8"/>
    <mergeCell ref="DC7:DC8"/>
    <mergeCell ref="EK7:EK8"/>
    <mergeCell ref="EM7:EM8"/>
    <mergeCell ref="CN7:CN8"/>
    <mergeCell ref="FE7:FE8"/>
    <mergeCell ref="EW7:EW8"/>
    <mergeCell ref="FD7:FD8"/>
    <mergeCell ref="BO7:BO8"/>
    <mergeCell ref="CI7:CI8"/>
    <mergeCell ref="DS7:DS8"/>
    <mergeCell ref="BR7:BR8"/>
    <mergeCell ref="DT7:DT8"/>
    <mergeCell ref="DV7:DV8"/>
    <mergeCell ref="DZ7:DZ8"/>
    <mergeCell ref="B4:C4"/>
    <mergeCell ref="B6:B8"/>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FH7:FH8"/>
    <mergeCell ref="BS7:BS8"/>
    <mergeCell ref="EJ7:EJ8"/>
    <mergeCell ref="BU7:BU8"/>
    <mergeCell ref="DW7:DW8"/>
    <mergeCell ref="B5:C5"/>
    <mergeCell ref="AR7:AR8"/>
    <mergeCell ref="EI7:EI8"/>
    <mergeCell ref="ED7:ED8"/>
    <mergeCell ref="AO7:AO8"/>
    <mergeCell ref="D6:D7"/>
    <mergeCell ref="AQ7:AQ8"/>
    <mergeCell ref="BY7:BY8"/>
    <mergeCell ref="FR7:F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CZ7:CZ8"/>
    <mergeCell ref="AA7:AA8"/>
    <mergeCell ref="CR7:CR8"/>
    <mergeCell ref="AS7:AS8"/>
    <mergeCell ref="AU7:AU8"/>
    <mergeCell ref="CC7:CC8"/>
    <mergeCell ref="F6:F8"/>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DR7:DR8"/>
    <mergeCell ref="FG7:FG8"/>
    <mergeCell ref="EY7:EY8"/>
    <mergeCell ref="DB7:DB8"/>
    <mergeCell ref="CL7:CL8"/>
    <mergeCell ref="AG7:AG8"/>
    <mergeCell ref="EP7:EP8"/>
    <mergeCell ref="E1:F1"/>
    <mergeCell ref="P7:P8"/>
    <mergeCell ref="AM7:AM8"/>
    <mergeCell ref="FF7:FF8"/>
    <mergeCell ref="CA7:CA8"/>
    <mergeCell ref="T7:T8"/>
    <mergeCell ref="V7:V8"/>
    <mergeCell ref="CM7:CM8"/>
    <mergeCell ref="AN7:AN8"/>
    <mergeCell ref="AF7:AF8"/>
    <mergeCell ref="AP7:AP8"/>
    <mergeCell ref="FB7:FB8"/>
    <mergeCell ref="DL7:DL8"/>
    <mergeCell ref="BV7:BV8"/>
    <mergeCell ref="DD7:DD8"/>
    <mergeCell ref="BE7:BE8"/>
    <mergeCell ref="DF7:DF8"/>
    <mergeCell ref="BG7:BG8"/>
    <mergeCell ref="O7:O8"/>
    <mergeCell ref="DX7:DX8"/>
    <mergeCell ref="CG7:CG8"/>
    <mergeCell ref="EX7:EX8"/>
    <mergeCell ref="EZ7:EZ8"/>
    <mergeCell ref="DH7:DH8"/>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O182"/>
  <sheetViews>
    <sheetView topLeftCell="A10" zoomScaleNormal="100" workbookViewId="0">
      <pane xSplit="6" topLeftCell="W1" activePane="topRight" state="frozen"/>
      <selection pane="topRight" activeCell="D5" sqref="D5"/>
    </sheetView>
  </sheetViews>
  <sheetFormatPr defaultColWidth="14.42578125" defaultRowHeight="12.75" x14ac:dyDescent="0.2"/>
  <cols>
    <col min="1" max="1" width="20.140625" style="48" customWidth="1"/>
    <col min="2" max="2" width="9" style="47" customWidth="1"/>
    <col min="3" max="3" width="17.28515625" style="46" customWidth="1"/>
    <col min="4" max="4" width="49.85546875" style="45" bestFit="1" customWidth="1"/>
    <col min="5" max="5" width="15" style="44" customWidth="1"/>
    <col min="6" max="6" width="5.140625" style="42" customWidth="1"/>
    <col min="7" max="7" width="14.42578125" style="42" customWidth="1"/>
    <col min="8" max="8" width="19.28515625" style="42" bestFit="1" customWidth="1"/>
    <col min="9" max="10" width="18.5703125" style="42" bestFit="1" customWidth="1"/>
    <col min="11" max="12" width="18.85546875" style="42" bestFit="1" customWidth="1"/>
    <col min="13" max="13" width="27.85546875" style="42" bestFit="1" customWidth="1"/>
    <col min="14" max="14" width="18.85546875" style="42" bestFit="1" customWidth="1"/>
    <col min="15" max="19" width="11.5703125" style="42" bestFit="1" customWidth="1"/>
    <col min="20" max="20" width="12.5703125" style="42" bestFit="1" customWidth="1"/>
    <col min="21" max="26" width="11.5703125" style="42" bestFit="1" customWidth="1"/>
    <col min="27" max="29" width="19.140625" style="42" bestFit="1" customWidth="1"/>
    <col min="30" max="32" width="11.5703125" style="42" bestFit="1" customWidth="1"/>
    <col min="33" max="33" width="20.42578125" style="42" bestFit="1" customWidth="1"/>
    <col min="34" max="34" width="11.5703125" style="42" bestFit="1" customWidth="1"/>
    <col min="35" max="35" width="11.85546875" style="42" bestFit="1" customWidth="1"/>
    <col min="36" max="169" width="14.42578125" style="42" customWidth="1"/>
    <col min="170" max="170" width="3" style="43" customWidth="1"/>
    <col min="171" max="173" width="14.42578125" style="42" customWidth="1"/>
    <col min="174" max="16384" width="14.42578125" style="42"/>
  </cols>
  <sheetData>
    <row r="1" spans="1:171" ht="13.5" customHeight="1" thickBot="1" x14ac:dyDescent="0.3">
      <c r="E1" s="530" t="s">
        <v>221</v>
      </c>
      <c r="F1" s="495"/>
      <c r="G1" s="90"/>
      <c r="H1" s="304" t="s">
        <v>4333</v>
      </c>
      <c r="I1" s="305" t="s">
        <v>4334</v>
      </c>
      <c r="J1" s="305" t="s">
        <v>4334</v>
      </c>
      <c r="K1" s="305" t="s">
        <v>4335</v>
      </c>
      <c r="L1" s="305" t="s">
        <v>1623</v>
      </c>
      <c r="M1" s="305" t="s">
        <v>82</v>
      </c>
      <c r="N1" s="305" t="s">
        <v>4335</v>
      </c>
      <c r="O1" s="305" t="s">
        <v>1623</v>
      </c>
      <c r="P1" s="170" t="s">
        <v>1623</v>
      </c>
      <c r="Q1" s="170" t="s">
        <v>1623</v>
      </c>
      <c r="R1" s="170" t="s">
        <v>2619</v>
      </c>
      <c r="S1" s="170" t="s">
        <v>1623</v>
      </c>
      <c r="T1" s="170" t="s">
        <v>2430</v>
      </c>
      <c r="U1" s="170" t="s">
        <v>1274</v>
      </c>
      <c r="V1" s="170" t="s">
        <v>1274</v>
      </c>
      <c r="W1" s="170" t="s">
        <v>1623</v>
      </c>
      <c r="X1" s="170" t="s">
        <v>1623</v>
      </c>
      <c r="Y1" s="170" t="s">
        <v>1623</v>
      </c>
      <c r="Z1" s="170" t="s">
        <v>1623</v>
      </c>
      <c r="AA1" s="170" t="s">
        <v>3456</v>
      </c>
      <c r="AB1" s="170" t="s">
        <v>3456</v>
      </c>
      <c r="AC1" s="170" t="s">
        <v>3456</v>
      </c>
      <c r="AD1" s="170" t="s">
        <v>1274</v>
      </c>
      <c r="AE1" s="170" t="s">
        <v>1623</v>
      </c>
      <c r="AF1" s="170" t="s">
        <v>1623</v>
      </c>
      <c r="AG1" s="170" t="s">
        <v>82</v>
      </c>
      <c r="AH1" s="170" t="s">
        <v>1623</v>
      </c>
      <c r="AI1" s="139" t="s">
        <v>1623</v>
      </c>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row>
    <row r="2" spans="1:171" s="89" customFormat="1" ht="12.75" customHeight="1" thickTop="1" thickBot="1" x14ac:dyDescent="0.3">
      <c r="A2" s="543" t="s">
        <v>4336</v>
      </c>
      <c r="B2" s="551" t="s">
        <v>4144</v>
      </c>
      <c r="C2" s="542"/>
      <c r="D2" s="531" t="s">
        <v>4337</v>
      </c>
      <c r="E2" s="558" t="s">
        <v>4146</v>
      </c>
      <c r="F2" s="540"/>
      <c r="G2" s="90"/>
      <c r="H2" s="302" t="s">
        <v>980</v>
      </c>
      <c r="I2" s="446" t="s">
        <v>968</v>
      </c>
      <c r="J2" s="446" t="s">
        <v>1162</v>
      </c>
      <c r="K2" s="446" t="s">
        <v>1731</v>
      </c>
      <c r="L2" s="446" t="s">
        <v>3614</v>
      </c>
      <c r="M2" s="446" t="s">
        <v>3757</v>
      </c>
      <c r="N2" s="446" t="s">
        <v>3727</v>
      </c>
      <c r="O2" s="303" t="s">
        <v>2761</v>
      </c>
      <c r="P2" s="171" t="s">
        <v>2790</v>
      </c>
      <c r="Q2" s="171" t="s">
        <v>2793</v>
      </c>
      <c r="R2" s="171" t="s">
        <v>2819</v>
      </c>
      <c r="S2" s="435" t="s">
        <v>2898</v>
      </c>
      <c r="T2" s="171" t="s">
        <v>2924</v>
      </c>
      <c r="U2" s="171" t="s">
        <v>2927</v>
      </c>
      <c r="V2" s="171" t="s">
        <v>2939</v>
      </c>
      <c r="W2" s="171" t="s">
        <v>3026</v>
      </c>
      <c r="X2" s="435" t="s">
        <v>3034</v>
      </c>
      <c r="Y2" s="171" t="s">
        <v>3154</v>
      </c>
      <c r="Z2" s="435" t="s">
        <v>3444</v>
      </c>
      <c r="AA2" s="435" t="s">
        <v>3455</v>
      </c>
      <c r="AB2" s="435" t="s">
        <v>3460</v>
      </c>
      <c r="AC2" s="435" t="s">
        <v>3464</v>
      </c>
      <c r="AD2" s="435" t="s">
        <v>3550</v>
      </c>
      <c r="AE2" s="435" t="s">
        <v>3614</v>
      </c>
      <c r="AF2" s="435" t="s">
        <v>3635</v>
      </c>
      <c r="AG2" s="435" t="s">
        <v>3757</v>
      </c>
      <c r="AH2" s="435" t="s">
        <v>3773</v>
      </c>
      <c r="AI2" s="443" t="s">
        <v>3816</v>
      </c>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row>
    <row r="3" spans="1:171" s="89" customFormat="1" ht="23.1" customHeight="1" thickTop="1" x14ac:dyDescent="0.25">
      <c r="A3" s="544"/>
      <c r="B3" s="541" t="s">
        <v>4147</v>
      </c>
      <c r="C3" s="542"/>
      <c r="D3" s="532"/>
      <c r="E3" s="539" t="s">
        <v>4148</v>
      </c>
      <c r="F3" s="540"/>
      <c r="G3" s="90"/>
      <c r="H3" s="40" t="s">
        <v>4338</v>
      </c>
      <c r="I3" s="40" t="s">
        <v>4339</v>
      </c>
      <c r="J3" s="40" t="s">
        <v>4340</v>
      </c>
      <c r="K3" s="40" t="s">
        <v>4341</v>
      </c>
      <c r="L3" s="40" t="s">
        <v>4173</v>
      </c>
      <c r="M3" s="40" t="s">
        <v>81</v>
      </c>
      <c r="N3" s="40" t="s">
        <v>85</v>
      </c>
      <c r="O3" s="40" t="s">
        <v>4155</v>
      </c>
      <c r="P3" s="40" t="s">
        <v>4157</v>
      </c>
      <c r="Q3" s="40" t="s">
        <v>4158</v>
      </c>
      <c r="R3" s="40" t="s">
        <v>4159</v>
      </c>
      <c r="S3" s="40" t="s">
        <v>4160</v>
      </c>
      <c r="T3" s="40" t="s">
        <v>4161</v>
      </c>
      <c r="U3" s="40" t="s">
        <v>4327</v>
      </c>
      <c r="V3" s="40" t="s">
        <v>4162</v>
      </c>
      <c r="W3" s="40" t="s">
        <v>4163</v>
      </c>
      <c r="X3" s="40" t="s">
        <v>4164</v>
      </c>
      <c r="Y3" s="40" t="s">
        <v>4165</v>
      </c>
      <c r="Z3" s="40" t="s">
        <v>4342</v>
      </c>
      <c r="AA3" s="40" t="s">
        <v>4169</v>
      </c>
      <c r="AB3" s="40" t="s">
        <v>4170</v>
      </c>
      <c r="AC3" s="40" t="s">
        <v>4171</v>
      </c>
      <c r="AD3" s="39" t="s">
        <v>4172</v>
      </c>
      <c r="AE3" s="40" t="s">
        <v>4173</v>
      </c>
      <c r="AF3" s="40" t="s">
        <v>4174</v>
      </c>
      <c r="AG3" s="171" t="s">
        <v>81</v>
      </c>
      <c r="AH3" s="171" t="s">
        <v>78</v>
      </c>
      <c r="AI3" s="140" t="s">
        <v>4177</v>
      </c>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row>
    <row r="4" spans="1:171" s="89" customFormat="1" ht="12.75" customHeight="1" x14ac:dyDescent="0.25">
      <c r="A4" s="544"/>
      <c r="B4" s="557"/>
      <c r="C4" s="542"/>
      <c r="D4" s="533"/>
      <c r="E4" s="550" t="s">
        <v>4178</v>
      </c>
      <c r="F4" s="540"/>
      <c r="G4" s="90"/>
      <c r="H4" s="39">
        <v>2752</v>
      </c>
      <c r="I4" s="39">
        <v>2063</v>
      </c>
      <c r="J4" s="39">
        <v>10077</v>
      </c>
      <c r="K4" s="39">
        <v>29126</v>
      </c>
      <c r="L4" s="39">
        <v>41746</v>
      </c>
      <c r="M4" s="39">
        <v>43363</v>
      </c>
      <c r="N4" s="39">
        <v>42855</v>
      </c>
      <c r="O4" s="331">
        <v>36957</v>
      </c>
      <c r="P4" s="331">
        <v>36987</v>
      </c>
      <c r="Q4" s="331">
        <v>36991</v>
      </c>
      <c r="R4" s="331">
        <v>37034</v>
      </c>
      <c r="S4" s="331">
        <v>37592</v>
      </c>
      <c r="T4" s="332">
        <v>37897</v>
      </c>
      <c r="U4" s="332">
        <v>37937</v>
      </c>
      <c r="V4" s="331">
        <v>37994</v>
      </c>
      <c r="W4" s="331">
        <v>38281</v>
      </c>
      <c r="X4" s="331">
        <v>38365</v>
      </c>
      <c r="Y4" s="331">
        <v>38658</v>
      </c>
      <c r="Z4" s="331">
        <v>40441</v>
      </c>
      <c r="AA4" s="331">
        <v>40592</v>
      </c>
      <c r="AB4" s="331">
        <v>40592</v>
      </c>
      <c r="AC4" s="331">
        <v>40592</v>
      </c>
      <c r="AD4" s="331">
        <v>41304</v>
      </c>
      <c r="AE4" s="331">
        <v>41774</v>
      </c>
      <c r="AF4" s="331">
        <v>41927</v>
      </c>
      <c r="AG4" s="332">
        <v>43382</v>
      </c>
      <c r="AH4" s="332">
        <v>43711</v>
      </c>
      <c r="AI4" s="334">
        <v>44377</v>
      </c>
      <c r="AJ4" s="334"/>
      <c r="AK4" s="334"/>
      <c r="AL4" s="334"/>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row>
    <row r="5" spans="1:171" s="85" customFormat="1" ht="27.75" customHeight="1" x14ac:dyDescent="0.25">
      <c r="A5" s="544"/>
      <c r="B5" s="552" t="s">
        <v>4179</v>
      </c>
      <c r="C5" s="553"/>
      <c r="D5" s="92">
        <v>80</v>
      </c>
      <c r="E5" s="546" t="s">
        <v>4180</v>
      </c>
      <c r="F5" s="547"/>
      <c r="G5" s="88"/>
      <c r="H5" s="304" t="s">
        <v>973</v>
      </c>
      <c r="I5" s="304" t="s">
        <v>973</v>
      </c>
      <c r="J5" s="304" t="s">
        <v>973</v>
      </c>
      <c r="K5" s="304" t="s">
        <v>973</v>
      </c>
      <c r="L5" s="304" t="s">
        <v>973</v>
      </c>
      <c r="M5" s="304" t="s">
        <v>973</v>
      </c>
      <c r="N5" s="304" t="s">
        <v>973</v>
      </c>
      <c r="O5" s="304"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40" t="s">
        <v>973</v>
      </c>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row>
    <row r="6" spans="1:171" s="84" customFormat="1" ht="14.25" customHeight="1" thickBot="1" x14ac:dyDescent="0.25">
      <c r="A6" s="545"/>
      <c r="B6" s="555" t="s">
        <v>4181</v>
      </c>
      <c r="C6" s="537">
        <v>80</v>
      </c>
      <c r="D6" s="554" t="s">
        <v>162</v>
      </c>
      <c r="E6" s="537">
        <f>SUBTOTAL(9,E9:E177)</f>
        <v>1</v>
      </c>
      <c r="F6" s="534" t="s">
        <v>4182</v>
      </c>
      <c r="G6" s="91"/>
      <c r="H6" s="91" t="str">
        <f t="shared" ref="H6:AM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91" t="str">
        <f t="shared" si="0"/>
        <v/>
      </c>
      <c r="AB6" s="91" t="str">
        <f t="shared" si="0"/>
        <v/>
      </c>
      <c r="AC6" s="91" t="str">
        <f t="shared" si="0"/>
        <v/>
      </c>
      <c r="AD6" s="91" t="str">
        <f t="shared" si="0"/>
        <v/>
      </c>
      <c r="AE6" s="91" t="str">
        <f t="shared" si="0"/>
        <v/>
      </c>
      <c r="AF6" s="91" t="str">
        <f t="shared" si="0"/>
        <v/>
      </c>
      <c r="AG6" s="91" t="str">
        <f t="shared" si="0"/>
        <v/>
      </c>
      <c r="AH6" s="91" t="str">
        <f t="shared" si="0"/>
        <v/>
      </c>
      <c r="AI6" s="91" t="str">
        <f t="shared" si="0"/>
        <v/>
      </c>
      <c r="AJ6" s="91" t="str">
        <f t="shared" si="0"/>
        <v/>
      </c>
      <c r="AK6" s="91" t="str">
        <f t="shared" si="0"/>
        <v/>
      </c>
      <c r="AL6" s="91" t="str">
        <f t="shared" si="0"/>
        <v/>
      </c>
      <c r="AM6" s="91" t="str">
        <f t="shared" si="0"/>
        <v/>
      </c>
      <c r="AN6" s="91" t="str">
        <f t="shared" ref="AN6:BS6" si="1">IF(AN7=0,"","RECHECK")</f>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si="1"/>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ref="BT6:CY6" si="2">IF(BT7=0,"","RECHECK")</f>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si="2"/>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ref="CZ6:EE6" si="3">IF(CZ7=0,"","RECHECK")</f>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si="3"/>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ref="EF6:FK6" si="4">IF(EF7=0,"","RECHECK")</f>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si="4"/>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ref="FL6:FM6" si="5">IF(FL7=0,"","RECHECK")</f>
        <v/>
      </c>
      <c r="FM6" s="91" t="str">
        <f t="shared" si="5"/>
        <v/>
      </c>
    </row>
    <row r="7" spans="1:171" s="82" customFormat="1" ht="14.25" customHeight="1" thickTop="1" thickBot="1" x14ac:dyDescent="0.25">
      <c r="A7" s="83"/>
      <c r="B7" s="542"/>
      <c r="C7" s="538"/>
      <c r="D7" s="538"/>
      <c r="E7" s="538"/>
      <c r="F7" s="535"/>
      <c r="G7" s="548">
        <f>SUBTOTAL(9,G10:G178)</f>
        <v>1</v>
      </c>
      <c r="H7" s="559">
        <f t="shared" ref="H7:O7" si="6">SUBTOTAL(9,H10:H182)</f>
        <v>0</v>
      </c>
      <c r="I7" s="559">
        <f t="shared" si="6"/>
        <v>0</v>
      </c>
      <c r="J7" s="559">
        <f t="shared" si="6"/>
        <v>0</v>
      </c>
      <c r="K7" s="559">
        <f t="shared" si="6"/>
        <v>0</v>
      </c>
      <c r="L7" s="559">
        <f t="shared" si="6"/>
        <v>0</v>
      </c>
      <c r="M7" s="559">
        <f t="shared" si="6"/>
        <v>0</v>
      </c>
      <c r="N7" s="559">
        <f t="shared" si="6"/>
        <v>0</v>
      </c>
      <c r="O7" s="559">
        <f t="shared" si="6"/>
        <v>0</v>
      </c>
      <c r="P7" s="559">
        <f>SUBTOTAL(9,P10:P178)</f>
        <v>0</v>
      </c>
      <c r="Q7" s="559">
        <f>SUBTOTAL(9,Q10:Q178)</f>
        <v>0</v>
      </c>
      <c r="R7" s="559">
        <f>SUBTOTAL(9,R10:R178)</f>
        <v>0</v>
      </c>
      <c r="S7" s="559">
        <f>SUBTOTAL(9,S10:S178)</f>
        <v>0</v>
      </c>
      <c r="T7" s="559">
        <f>SUBTOTAL(9,T10:T178)</f>
        <v>0</v>
      </c>
      <c r="U7" s="559">
        <f>SUBTOTAL(9,U10:U181)</f>
        <v>0</v>
      </c>
      <c r="V7" s="559">
        <f t="shared" ref="V7:AA7" si="7">SUBTOTAL(9,V10:V178)</f>
        <v>0</v>
      </c>
      <c r="W7" s="559">
        <f t="shared" si="7"/>
        <v>0</v>
      </c>
      <c r="X7" s="559">
        <f t="shared" si="7"/>
        <v>0</v>
      </c>
      <c r="Y7" s="559">
        <f t="shared" si="7"/>
        <v>0</v>
      </c>
      <c r="Z7" s="559">
        <f t="shared" si="7"/>
        <v>0</v>
      </c>
      <c r="AA7" s="559">
        <f t="shared" si="7"/>
        <v>0</v>
      </c>
      <c r="AB7" s="559">
        <f>SUBTOTAL(9,AB10:AB181)</f>
        <v>0</v>
      </c>
      <c r="AC7" s="559">
        <f>SUBTOTAL(9,AC10:AC181)</f>
        <v>0</v>
      </c>
      <c r="AD7" s="559">
        <f t="shared" ref="AD7:BI7" si="8">SUBTOTAL(9,AD10:AD178)</f>
        <v>0</v>
      </c>
      <c r="AE7" s="559">
        <f t="shared" si="8"/>
        <v>0</v>
      </c>
      <c r="AF7" s="559">
        <f t="shared" si="8"/>
        <v>0</v>
      </c>
      <c r="AG7" s="559">
        <f t="shared" si="8"/>
        <v>0</v>
      </c>
      <c r="AH7" s="559">
        <f t="shared" si="8"/>
        <v>0</v>
      </c>
      <c r="AI7" s="559">
        <f t="shared" si="8"/>
        <v>0</v>
      </c>
      <c r="AJ7" s="559">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ref="BJ7:CO7" si="9">SUBTOTAL(9,BJ10:BJ178)</f>
        <v>0</v>
      </c>
      <c r="BK7" s="559">
        <f t="shared" si="9"/>
        <v>0</v>
      </c>
      <c r="BL7" s="559">
        <f t="shared" si="9"/>
        <v>0</v>
      </c>
      <c r="BM7" s="559">
        <f t="shared" si="9"/>
        <v>0</v>
      </c>
      <c r="BN7" s="559">
        <f t="shared" si="9"/>
        <v>0</v>
      </c>
      <c r="BO7" s="559">
        <f t="shared" si="9"/>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ref="CP7:DU7" si="10">SUBTOTAL(9,CP10:CP178)</f>
        <v>0</v>
      </c>
      <c r="CQ7" s="559">
        <f t="shared" si="10"/>
        <v>0</v>
      </c>
      <c r="CR7" s="559">
        <f t="shared" si="10"/>
        <v>0</v>
      </c>
      <c r="CS7" s="559">
        <f t="shared" si="10"/>
        <v>0</v>
      </c>
      <c r="CT7" s="559">
        <f t="shared" si="10"/>
        <v>0</v>
      </c>
      <c r="CU7" s="559">
        <f t="shared" si="10"/>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ref="DV7:FA7" si="11">SUBTOTAL(9,DV10:DV178)</f>
        <v>0</v>
      </c>
      <c r="DW7" s="559">
        <f t="shared" si="11"/>
        <v>0</v>
      </c>
      <c r="DX7" s="559">
        <f t="shared" si="11"/>
        <v>0</v>
      </c>
      <c r="DY7" s="559">
        <f t="shared" si="11"/>
        <v>0</v>
      </c>
      <c r="DZ7" s="559">
        <f t="shared" si="11"/>
        <v>0</v>
      </c>
      <c r="EA7" s="559">
        <f t="shared" si="11"/>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ref="FB7:FM7" si="12">SUBTOTAL(9,FB10:FB178)</f>
        <v>0</v>
      </c>
      <c r="FC7" s="559">
        <f t="shared" si="12"/>
        <v>0</v>
      </c>
      <c r="FD7" s="559">
        <f t="shared" si="12"/>
        <v>0</v>
      </c>
      <c r="FE7" s="559">
        <f t="shared" si="12"/>
        <v>0</v>
      </c>
      <c r="FF7" s="559">
        <f t="shared" si="12"/>
        <v>0</v>
      </c>
      <c r="FG7" s="559">
        <f t="shared" si="12"/>
        <v>0</v>
      </c>
      <c r="FH7" s="559">
        <f t="shared" si="12"/>
        <v>0</v>
      </c>
      <c r="FI7" s="559">
        <f t="shared" si="12"/>
        <v>0</v>
      </c>
      <c r="FJ7" s="559">
        <f t="shared" si="12"/>
        <v>0</v>
      </c>
      <c r="FK7" s="559">
        <f t="shared" si="12"/>
        <v>0</v>
      </c>
      <c r="FL7" s="559">
        <f t="shared" si="12"/>
        <v>0</v>
      </c>
      <c r="FM7" s="559">
        <f t="shared" si="12"/>
        <v>0</v>
      </c>
    </row>
    <row r="8" spans="1:17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row>
    <row r="9" spans="1:171" s="69" customFormat="1" ht="12.75" customHeight="1" thickTop="1" x14ac:dyDescent="0.2">
      <c r="A9" s="77"/>
      <c r="B9" s="76"/>
      <c r="C9" s="74"/>
      <c r="D9" s="75"/>
      <c r="E9" s="74"/>
      <c r="F9" s="73"/>
      <c r="G9" s="72"/>
      <c r="H9" s="71"/>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row>
    <row r="10" spans="1:171" s="56" customFormat="1" x14ac:dyDescent="0.2">
      <c r="A10" s="67"/>
      <c r="B10" s="66"/>
      <c r="C10" s="419" t="str">
        <f t="shared" ref="C10:C41" si="13">IFERROR(IF($E10&gt;0,$E10/SUMIF($E$10:$E$70,"&gt;0")*$D$5,""),"")</f>
        <v/>
      </c>
      <c r="D10" s="147" t="s">
        <v>983</v>
      </c>
      <c r="E10" s="65">
        <f t="shared" ref="E10:E15" si="14">SUM(G10:HF10)</f>
        <v>0</v>
      </c>
      <c r="F10" s="64"/>
      <c r="G10" s="175">
        <v>1</v>
      </c>
      <c r="H10" s="432">
        <v>-1</v>
      </c>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row>
    <row r="11" spans="1:171" s="56" customFormat="1" x14ac:dyDescent="0.2">
      <c r="A11" s="49"/>
      <c r="B11" s="66"/>
      <c r="C11" s="420" t="str">
        <f t="shared" si="13"/>
        <v/>
      </c>
      <c r="D11" s="147" t="s">
        <v>971</v>
      </c>
      <c r="E11" s="101">
        <f t="shared" si="14"/>
        <v>0</v>
      </c>
      <c r="F11" s="64"/>
      <c r="G11" s="173"/>
      <c r="H11" s="432">
        <v>1</v>
      </c>
      <c r="I11" s="175">
        <v>-1</v>
      </c>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row>
    <row r="12" spans="1:171" s="56" customFormat="1" x14ac:dyDescent="0.2">
      <c r="A12" s="49"/>
      <c r="B12" s="66"/>
      <c r="C12" s="420" t="str">
        <f t="shared" si="13"/>
        <v/>
      </c>
      <c r="D12" s="38" t="s">
        <v>1772</v>
      </c>
      <c r="E12" s="101">
        <f t="shared" si="14"/>
        <v>0</v>
      </c>
      <c r="F12" s="64"/>
      <c r="G12" s="173"/>
      <c r="H12" s="175"/>
      <c r="I12" s="175">
        <v>1</v>
      </c>
      <c r="J12" s="175">
        <v>-1</v>
      </c>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row>
    <row r="13" spans="1:171" s="56" customFormat="1" x14ac:dyDescent="0.2">
      <c r="B13" s="96"/>
      <c r="C13" s="419" t="str">
        <f t="shared" si="13"/>
        <v/>
      </c>
      <c r="D13" s="147" t="s">
        <v>1977</v>
      </c>
      <c r="E13" s="65">
        <f t="shared" si="14"/>
        <v>0</v>
      </c>
      <c r="F13" s="64"/>
      <c r="G13" s="173"/>
      <c r="H13" s="175"/>
      <c r="I13" s="175"/>
      <c r="J13" s="175">
        <v>1</v>
      </c>
      <c r="K13" s="175">
        <v>-1</v>
      </c>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row>
    <row r="14" spans="1:171" s="56" customFormat="1" x14ac:dyDescent="0.2">
      <c r="A14" s="95"/>
      <c r="B14" s="95"/>
      <c r="C14" s="419">
        <f t="shared" si="13"/>
        <v>6.6666666666666661</v>
      </c>
      <c r="D14" s="147" t="s">
        <v>3656</v>
      </c>
      <c r="E14" s="65">
        <f t="shared" si="14"/>
        <v>1</v>
      </c>
      <c r="F14" s="64"/>
      <c r="G14" s="173"/>
      <c r="H14" s="175"/>
      <c r="I14" s="175"/>
      <c r="J14" s="175"/>
      <c r="K14" s="175">
        <v>1</v>
      </c>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row>
    <row r="15" spans="1:171" s="56" customFormat="1" x14ac:dyDescent="0.2">
      <c r="A15" s="67"/>
      <c r="B15" s="66"/>
      <c r="C15" s="419" t="str">
        <f t="shared" si="13"/>
        <v/>
      </c>
      <c r="D15" s="147" t="s">
        <v>294</v>
      </c>
      <c r="E15" s="65">
        <f t="shared" si="14"/>
        <v>-1</v>
      </c>
      <c r="F15" s="64"/>
      <c r="G15" s="173"/>
      <c r="H15" s="175"/>
      <c r="I15" s="175"/>
      <c r="J15" s="175"/>
      <c r="K15" s="175"/>
      <c r="L15" s="175">
        <v>-1</v>
      </c>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row>
    <row r="16" spans="1:171" s="56" customFormat="1" x14ac:dyDescent="0.2">
      <c r="A16" s="67"/>
      <c r="B16" s="68"/>
      <c r="C16" s="419" t="str">
        <f t="shared" si="13"/>
        <v/>
      </c>
      <c r="D16" s="147" t="s">
        <v>4343</v>
      </c>
      <c r="E16" s="65">
        <f>SUM(G16:HG16)</f>
        <v>0</v>
      </c>
      <c r="F16" s="64"/>
      <c r="G16" s="173"/>
      <c r="H16" s="175"/>
      <c r="I16" s="175"/>
      <c r="J16" s="175"/>
      <c r="K16" s="175"/>
      <c r="L16" s="175">
        <v>1</v>
      </c>
      <c r="M16" s="175">
        <v>-1</v>
      </c>
      <c r="N16" s="175"/>
      <c r="O16" s="175"/>
      <c r="P16" s="175"/>
      <c r="Q16" s="175"/>
      <c r="R16" s="175"/>
      <c r="S16" s="175"/>
      <c r="T16" s="175"/>
      <c r="U16" s="175"/>
      <c r="V16" s="175"/>
      <c r="W16" s="175"/>
      <c r="X16" s="175"/>
      <c r="Y16" s="175"/>
      <c r="Z16" s="175"/>
      <c r="AA16" s="175"/>
      <c r="AB16" s="175"/>
      <c r="AC16" s="175"/>
      <c r="AD16" s="175"/>
      <c r="AE16" s="175"/>
      <c r="AF16" s="175"/>
      <c r="AG16" s="175"/>
      <c r="AH16" s="175"/>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row>
    <row r="17" spans="1:171" s="56" customFormat="1" ht="24" customHeight="1" x14ac:dyDescent="0.2">
      <c r="A17" s="67"/>
      <c r="B17" s="68"/>
      <c r="C17" s="419">
        <f t="shared" si="13"/>
        <v>6.6666666666666661</v>
      </c>
      <c r="D17" s="37" t="s">
        <v>610</v>
      </c>
      <c r="E17" s="65">
        <f>SUM(G17:HG17)</f>
        <v>1</v>
      </c>
      <c r="F17" s="64"/>
      <c r="G17" s="173"/>
      <c r="H17" s="175"/>
      <c r="I17" s="175"/>
      <c r="J17" s="175"/>
      <c r="K17" s="175"/>
      <c r="L17" s="175"/>
      <c r="M17" s="175">
        <v>1</v>
      </c>
      <c r="N17" s="175"/>
      <c r="O17" s="175"/>
      <c r="P17" s="175"/>
      <c r="Q17" s="175"/>
      <c r="R17" s="175"/>
      <c r="S17" s="175"/>
      <c r="T17" s="175"/>
      <c r="U17" s="175"/>
      <c r="V17" s="175"/>
      <c r="W17" s="175"/>
      <c r="X17" s="175"/>
      <c r="Y17" s="175"/>
      <c r="Z17" s="175"/>
      <c r="AA17" s="175"/>
      <c r="AB17" s="175"/>
      <c r="AC17" s="175"/>
      <c r="AD17" s="175"/>
      <c r="AE17" s="175"/>
      <c r="AF17" s="175"/>
      <c r="AG17" s="175"/>
      <c r="AH17" s="175"/>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row>
    <row r="18" spans="1:171" s="56" customFormat="1" ht="24" customHeight="1" x14ac:dyDescent="0.2">
      <c r="A18" s="67"/>
      <c r="B18" s="68"/>
      <c r="C18" s="420" t="str">
        <f t="shared" si="13"/>
        <v/>
      </c>
      <c r="D18" s="148" t="s">
        <v>2514</v>
      </c>
      <c r="E18" s="101">
        <f>SUM(G18:HG18)</f>
        <v>-1</v>
      </c>
      <c r="F18" s="64"/>
      <c r="G18" s="173"/>
      <c r="H18" s="175"/>
      <c r="I18" s="175"/>
      <c r="J18" s="175"/>
      <c r="K18" s="175"/>
      <c r="L18" s="175"/>
      <c r="M18" s="175"/>
      <c r="N18" s="175">
        <v>-1</v>
      </c>
      <c r="O18" s="175"/>
      <c r="P18" s="176"/>
      <c r="Q18" s="176"/>
      <c r="R18" s="175"/>
      <c r="S18" s="176"/>
      <c r="T18" s="175"/>
      <c r="U18" s="175"/>
      <c r="V18" s="175"/>
      <c r="W18" s="175"/>
      <c r="X18" s="175"/>
      <c r="Y18" s="175"/>
      <c r="Z18" s="175"/>
      <c r="AA18" s="175"/>
      <c r="AB18" s="175"/>
      <c r="AC18" s="175"/>
      <c r="AD18" s="175"/>
      <c r="AE18" s="175"/>
      <c r="AF18" s="175"/>
      <c r="AG18" s="175"/>
      <c r="AH18" s="175"/>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row>
    <row r="19" spans="1:171" s="56" customFormat="1" ht="24" customHeight="1" x14ac:dyDescent="0.2">
      <c r="A19" s="67"/>
      <c r="B19" s="66"/>
      <c r="C19" s="419" t="str">
        <f t="shared" si="13"/>
        <v/>
      </c>
      <c r="D19" s="38" t="s">
        <v>2518</v>
      </c>
      <c r="E19" s="65">
        <f>SUM(G19:HG19)</f>
        <v>0</v>
      </c>
      <c r="F19" s="64"/>
      <c r="G19" s="173"/>
      <c r="H19" s="175"/>
      <c r="I19" s="175"/>
      <c r="J19" s="175"/>
      <c r="K19" s="175"/>
      <c r="L19" s="175"/>
      <c r="M19" s="175"/>
      <c r="N19" s="175">
        <v>1</v>
      </c>
      <c r="O19" s="175"/>
      <c r="P19" s="176"/>
      <c r="Q19" s="176"/>
      <c r="R19" s="175"/>
      <c r="S19" s="175"/>
      <c r="T19" s="175"/>
      <c r="U19" s="175"/>
      <c r="V19" s="175"/>
      <c r="W19" s="175"/>
      <c r="X19" s="175"/>
      <c r="Y19" s="432">
        <v>-1</v>
      </c>
      <c r="Z19" s="175"/>
      <c r="AA19" s="175"/>
      <c r="AB19" s="175"/>
      <c r="AC19" s="175"/>
      <c r="AD19" s="175"/>
      <c r="AE19" s="175"/>
      <c r="AF19" s="175"/>
      <c r="AG19" s="175"/>
      <c r="AH19" s="175"/>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row>
    <row r="20" spans="1:171" s="56" customFormat="1" ht="24" customHeight="1" x14ac:dyDescent="0.2">
      <c r="A20" s="177"/>
      <c r="B20" s="68"/>
      <c r="C20" s="419" t="str">
        <f t="shared" si="13"/>
        <v/>
      </c>
      <c r="D20" s="147" t="s">
        <v>2519</v>
      </c>
      <c r="E20" s="65">
        <f t="shared" ref="E20:E51" si="15">SUM(G20:HF20)</f>
        <v>-1</v>
      </c>
      <c r="F20" s="64"/>
      <c r="G20" s="173"/>
      <c r="H20" s="175"/>
      <c r="I20" s="175"/>
      <c r="J20" s="175"/>
      <c r="K20" s="175"/>
      <c r="L20" s="175"/>
      <c r="M20" s="175"/>
      <c r="N20" s="175"/>
      <c r="O20" s="175">
        <v>-1</v>
      </c>
      <c r="P20" s="176"/>
      <c r="Q20" s="175"/>
      <c r="R20" s="176"/>
      <c r="S20" s="175"/>
      <c r="T20" s="175"/>
      <c r="U20" s="175"/>
      <c r="V20" s="175"/>
      <c r="W20" s="175"/>
      <c r="X20" s="175"/>
      <c r="Y20" s="175"/>
      <c r="Z20" s="175"/>
      <c r="AA20" s="175"/>
      <c r="AB20" s="175"/>
      <c r="AC20" s="175"/>
      <c r="AD20" s="175"/>
      <c r="AE20" s="175"/>
      <c r="AF20" s="175"/>
      <c r="AG20" s="175"/>
      <c r="AH20" s="175"/>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row>
    <row r="21" spans="1:171" s="56" customFormat="1" x14ac:dyDescent="0.2">
      <c r="A21" s="177"/>
      <c r="B21" s="68"/>
      <c r="C21" s="420">
        <f t="shared" si="13"/>
        <v>6.6666666666666661</v>
      </c>
      <c r="D21" s="38" t="s">
        <v>2580</v>
      </c>
      <c r="E21" s="101">
        <f t="shared" si="15"/>
        <v>1</v>
      </c>
      <c r="F21" s="64"/>
      <c r="G21" s="173"/>
      <c r="H21" s="175"/>
      <c r="I21" s="175"/>
      <c r="J21" s="175"/>
      <c r="K21" s="175"/>
      <c r="L21" s="175"/>
      <c r="M21" s="175"/>
      <c r="N21" s="175"/>
      <c r="O21" s="175">
        <v>1</v>
      </c>
      <c r="P21" s="175"/>
      <c r="Q21" s="176"/>
      <c r="R21" s="176"/>
      <c r="S21" s="176"/>
      <c r="T21" s="176"/>
      <c r="U21" s="176"/>
      <c r="V21" s="176"/>
      <c r="W21" s="176"/>
      <c r="X21" s="176"/>
      <c r="Y21" s="176"/>
      <c r="Z21" s="176"/>
      <c r="AA21" s="175"/>
      <c r="AB21" s="175"/>
      <c r="AC21" s="176"/>
      <c r="AD21" s="175"/>
      <c r="AE21" s="175"/>
      <c r="AF21" s="175"/>
      <c r="AG21" s="175"/>
      <c r="AH21" s="175"/>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row>
    <row r="22" spans="1:171" s="56" customFormat="1" ht="24" customHeight="1" x14ac:dyDescent="0.2">
      <c r="A22" s="177"/>
      <c r="B22" s="68"/>
      <c r="C22" s="419" t="str">
        <f t="shared" si="13"/>
        <v/>
      </c>
      <c r="D22" s="38" t="s">
        <v>2721</v>
      </c>
      <c r="E22" s="65">
        <f t="shared" si="15"/>
        <v>0</v>
      </c>
      <c r="F22" s="64"/>
      <c r="G22" s="173"/>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row>
    <row r="23" spans="1:171" s="56" customFormat="1" x14ac:dyDescent="0.2">
      <c r="A23" s="67"/>
      <c r="B23" s="66"/>
      <c r="C23" s="419" t="str">
        <f t="shared" si="13"/>
        <v/>
      </c>
      <c r="D23" s="38" t="s">
        <v>4344</v>
      </c>
      <c r="E23" s="65">
        <f t="shared" si="15"/>
        <v>0</v>
      </c>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4"/>
      <c r="AH23" s="174"/>
    </row>
    <row r="24" spans="1:171" s="56" customFormat="1" x14ac:dyDescent="0.2">
      <c r="A24" s="67"/>
      <c r="B24" s="66"/>
      <c r="C24" s="419" t="str">
        <f t="shared" si="13"/>
        <v/>
      </c>
      <c r="D24" s="38" t="s">
        <v>4345</v>
      </c>
      <c r="E24" s="65">
        <f t="shared" si="15"/>
        <v>0</v>
      </c>
      <c r="H24" s="173"/>
      <c r="I24" s="173"/>
      <c r="J24" s="173"/>
      <c r="K24" s="173"/>
      <c r="L24" s="173"/>
      <c r="M24" s="173"/>
      <c r="N24" s="173"/>
      <c r="O24" s="173"/>
      <c r="P24" s="173"/>
      <c r="Q24" s="173"/>
      <c r="R24" s="173"/>
      <c r="S24" s="173"/>
      <c r="T24" s="173"/>
      <c r="U24" s="173"/>
      <c r="V24" s="173"/>
      <c r="W24" s="173"/>
      <c r="X24" s="173"/>
      <c r="Y24" s="174"/>
      <c r="Z24" s="173"/>
      <c r="AA24" s="173"/>
      <c r="AB24" s="173"/>
      <c r="AC24" s="173"/>
      <c r="AD24" s="173"/>
      <c r="AE24" s="173"/>
      <c r="AF24" s="173"/>
      <c r="AG24" s="174"/>
      <c r="AH24" s="174"/>
    </row>
    <row r="25" spans="1:171" s="56" customFormat="1" x14ac:dyDescent="0.2">
      <c r="A25" s="67"/>
      <c r="B25" s="66"/>
      <c r="C25" s="419" t="str">
        <f t="shared" si="13"/>
        <v/>
      </c>
      <c r="D25" s="38" t="s">
        <v>8648</v>
      </c>
      <c r="E25" s="65">
        <f t="shared" si="15"/>
        <v>0</v>
      </c>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4"/>
      <c r="AH25" s="174"/>
    </row>
    <row r="26" spans="1:171" s="56" customFormat="1" x14ac:dyDescent="0.2">
      <c r="A26" s="67"/>
      <c r="B26" s="66"/>
      <c r="C26" s="420" t="str">
        <f t="shared" si="13"/>
        <v/>
      </c>
      <c r="D26" s="38" t="s">
        <v>2753</v>
      </c>
      <c r="E26" s="101">
        <f t="shared" si="15"/>
        <v>0</v>
      </c>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row>
    <row r="27" spans="1:171" s="56" customFormat="1" x14ac:dyDescent="0.2">
      <c r="A27" s="67"/>
      <c r="B27" s="66"/>
      <c r="C27" s="420" t="str">
        <f t="shared" si="13"/>
        <v/>
      </c>
      <c r="D27" s="38" t="s">
        <v>533</v>
      </c>
      <c r="E27" s="101">
        <f t="shared" si="15"/>
        <v>-1</v>
      </c>
      <c r="H27" s="57"/>
      <c r="I27" s="57"/>
      <c r="J27" s="57"/>
      <c r="K27" s="57"/>
      <c r="L27" s="57"/>
      <c r="M27" s="57"/>
      <c r="N27" s="57"/>
      <c r="O27" s="438">
        <v>-1</v>
      </c>
      <c r="P27" s="57"/>
      <c r="Q27" s="57"/>
      <c r="R27" s="57"/>
      <c r="S27" s="57"/>
      <c r="T27" s="57"/>
      <c r="U27" s="57"/>
      <c r="V27" s="57"/>
      <c r="W27" s="57"/>
      <c r="X27" s="57"/>
      <c r="Y27" s="57"/>
      <c r="Z27" s="57"/>
      <c r="AA27" s="57"/>
      <c r="AB27" s="57"/>
      <c r="AC27" s="57"/>
      <c r="AD27" s="57"/>
      <c r="AE27" s="57"/>
      <c r="AF27" s="57"/>
    </row>
    <row r="28" spans="1:171" s="56" customFormat="1" ht="12.95" customHeight="1" x14ac:dyDescent="0.2">
      <c r="A28" s="67"/>
      <c r="B28" s="66"/>
      <c r="C28" s="419">
        <f t="shared" si="13"/>
        <v>20</v>
      </c>
      <c r="D28" s="38" t="s">
        <v>944</v>
      </c>
      <c r="E28" s="65">
        <f t="shared" si="15"/>
        <v>3</v>
      </c>
      <c r="H28" s="57"/>
      <c r="I28" s="57"/>
      <c r="J28" s="57"/>
      <c r="K28" s="57"/>
      <c r="L28" s="57"/>
      <c r="M28" s="57"/>
      <c r="N28" s="57"/>
      <c r="O28" s="438">
        <v>1</v>
      </c>
      <c r="P28" s="438">
        <v>1</v>
      </c>
      <c r="Q28" s="438">
        <v>1</v>
      </c>
      <c r="R28" s="57"/>
      <c r="S28" s="57"/>
      <c r="T28" s="57"/>
      <c r="U28" s="57"/>
      <c r="V28" s="57"/>
      <c r="W28" s="57"/>
      <c r="X28" s="57"/>
      <c r="Y28" s="57"/>
      <c r="Z28" s="57"/>
      <c r="AA28" s="57"/>
      <c r="AB28" s="57"/>
      <c r="AC28" s="57"/>
      <c r="AD28" s="57"/>
      <c r="AE28" s="57"/>
      <c r="AF28" s="57"/>
    </row>
    <row r="29" spans="1:171" s="56" customFormat="1" ht="14.1" customHeight="1" x14ac:dyDescent="0.2">
      <c r="A29" s="67"/>
      <c r="B29" s="66"/>
      <c r="C29" s="419" t="str">
        <f t="shared" si="13"/>
        <v/>
      </c>
      <c r="D29" s="38" t="s">
        <v>2792</v>
      </c>
      <c r="E29" s="65">
        <f t="shared" si="15"/>
        <v>-1</v>
      </c>
      <c r="H29" s="57"/>
      <c r="I29" s="57"/>
      <c r="J29" s="57"/>
      <c r="K29" s="57"/>
      <c r="L29" s="57"/>
      <c r="M29" s="57"/>
      <c r="N29" s="57"/>
      <c r="O29" s="57"/>
      <c r="P29" s="438">
        <v>-1</v>
      </c>
      <c r="Q29" s="57"/>
      <c r="R29" s="57"/>
      <c r="S29" s="57"/>
      <c r="T29" s="57"/>
      <c r="U29" s="57"/>
      <c r="V29" s="57"/>
      <c r="W29" s="57"/>
      <c r="X29" s="57"/>
      <c r="Y29" s="57"/>
      <c r="Z29" s="57"/>
      <c r="AA29" s="57"/>
      <c r="AB29" s="57"/>
      <c r="AC29" s="57"/>
      <c r="AD29" s="57"/>
      <c r="AE29" s="57"/>
      <c r="AF29" s="57"/>
    </row>
    <row r="30" spans="1:171" s="56" customFormat="1" ht="17.45" customHeight="1" x14ac:dyDescent="0.2">
      <c r="A30" s="67"/>
      <c r="B30" s="66"/>
      <c r="C30" s="419" t="str">
        <f t="shared" si="13"/>
        <v/>
      </c>
      <c r="D30" s="102" t="s">
        <v>2795</v>
      </c>
      <c r="E30" s="65">
        <f t="shared" si="15"/>
        <v>-1</v>
      </c>
      <c r="H30" s="57"/>
      <c r="I30" s="57"/>
      <c r="J30" s="57"/>
      <c r="K30" s="57"/>
      <c r="L30" s="57"/>
      <c r="M30" s="57"/>
      <c r="N30" s="57"/>
      <c r="O30" s="57"/>
      <c r="P30" s="57"/>
      <c r="Q30" s="438">
        <v>-1</v>
      </c>
      <c r="R30" s="57"/>
      <c r="S30" s="57"/>
      <c r="T30" s="57"/>
      <c r="U30" s="57"/>
      <c r="V30" s="57"/>
      <c r="W30" s="57"/>
      <c r="X30" s="57"/>
      <c r="Y30" s="57"/>
      <c r="Z30" s="57"/>
      <c r="AA30" s="57"/>
      <c r="AB30" s="57"/>
      <c r="AC30" s="57"/>
      <c r="AD30" s="57"/>
      <c r="AE30" s="57"/>
      <c r="AF30" s="57"/>
    </row>
    <row r="31" spans="1:171" s="56" customFormat="1" ht="17.45" customHeight="1" x14ac:dyDescent="0.2">
      <c r="A31" s="67"/>
      <c r="B31" s="66"/>
      <c r="C31" s="419" t="str">
        <f t="shared" si="13"/>
        <v/>
      </c>
      <c r="D31" s="104" t="s">
        <v>4190</v>
      </c>
      <c r="E31" s="65">
        <f t="shared" si="15"/>
        <v>-1</v>
      </c>
      <c r="H31" s="57"/>
      <c r="I31" s="57"/>
      <c r="J31" s="57"/>
      <c r="K31" s="57"/>
      <c r="L31" s="57"/>
      <c r="M31" s="57"/>
      <c r="N31" s="57"/>
      <c r="O31" s="57"/>
      <c r="P31" s="57"/>
      <c r="Q31" s="57"/>
      <c r="R31" s="438">
        <v>-1</v>
      </c>
      <c r="S31" s="57"/>
      <c r="T31" s="57"/>
      <c r="U31" s="57"/>
      <c r="V31" s="57"/>
      <c r="W31" s="57"/>
      <c r="X31" s="57"/>
      <c r="Y31" s="57"/>
      <c r="Z31" s="57"/>
      <c r="AA31" s="57"/>
      <c r="AB31" s="57"/>
      <c r="AC31" s="57"/>
      <c r="AD31" s="57"/>
      <c r="AE31" s="57"/>
      <c r="AF31" s="57"/>
    </row>
    <row r="32" spans="1:171" s="56" customFormat="1" ht="17.45" customHeight="1" x14ac:dyDescent="0.2">
      <c r="A32" s="67"/>
      <c r="B32" s="66"/>
      <c r="C32" s="419">
        <f t="shared" si="13"/>
        <v>20</v>
      </c>
      <c r="D32" s="102" t="s">
        <v>1110</v>
      </c>
      <c r="E32" s="65">
        <f t="shared" si="15"/>
        <v>3</v>
      </c>
      <c r="H32" s="57"/>
      <c r="I32" s="57"/>
      <c r="J32" s="57"/>
      <c r="K32" s="57"/>
      <c r="L32" s="57"/>
      <c r="M32" s="57"/>
      <c r="N32" s="57"/>
      <c r="O32" s="57"/>
      <c r="P32" s="57"/>
      <c r="Q32" s="57"/>
      <c r="R32" s="438">
        <v>1</v>
      </c>
      <c r="S32" s="57"/>
      <c r="T32" s="57"/>
      <c r="U32" s="438">
        <v>1</v>
      </c>
      <c r="V32" s="438">
        <v>1</v>
      </c>
      <c r="W32" s="57"/>
      <c r="X32" s="57"/>
      <c r="Y32" s="57"/>
      <c r="Z32" s="57"/>
      <c r="AA32" s="57"/>
      <c r="AB32" s="57"/>
      <c r="AC32" s="57"/>
      <c r="AD32" s="57"/>
      <c r="AE32" s="57"/>
      <c r="AF32" s="57"/>
    </row>
    <row r="33" spans="1:32" s="56" customFormat="1" ht="17.45" customHeight="1" x14ac:dyDescent="0.2">
      <c r="A33" s="67" t="s">
        <v>58</v>
      </c>
      <c r="B33" s="66"/>
      <c r="C33" s="419" t="str">
        <f t="shared" si="13"/>
        <v/>
      </c>
      <c r="D33" s="102" t="s">
        <v>4191</v>
      </c>
      <c r="E33" s="65">
        <f t="shared" si="15"/>
        <v>0</v>
      </c>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row>
    <row r="34" spans="1:32" s="56" customFormat="1" ht="16.5" customHeight="1" x14ac:dyDescent="0.2">
      <c r="A34" s="67"/>
      <c r="B34" s="66"/>
      <c r="C34" s="419" t="str">
        <f t="shared" si="13"/>
        <v/>
      </c>
      <c r="D34" s="102" t="s">
        <v>4192</v>
      </c>
      <c r="E34" s="65">
        <f t="shared" si="15"/>
        <v>0</v>
      </c>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row>
    <row r="35" spans="1:32" s="56" customFormat="1" x14ac:dyDescent="0.2">
      <c r="A35" s="67"/>
      <c r="B35" s="66"/>
      <c r="C35" s="419" t="str">
        <f t="shared" si="13"/>
        <v/>
      </c>
      <c r="D35" s="38" t="s">
        <v>2272</v>
      </c>
      <c r="E35" s="65">
        <f t="shared" si="15"/>
        <v>-1</v>
      </c>
      <c r="H35" s="57"/>
      <c r="I35" s="57"/>
      <c r="J35" s="57"/>
      <c r="K35" s="57"/>
      <c r="L35" s="57"/>
      <c r="M35" s="57"/>
      <c r="N35" s="57"/>
      <c r="O35" s="57"/>
      <c r="P35" s="57"/>
      <c r="Q35" s="57"/>
      <c r="R35" s="57"/>
      <c r="S35" s="57"/>
      <c r="T35" s="438">
        <v>-1</v>
      </c>
      <c r="U35" s="57"/>
      <c r="V35" s="57"/>
      <c r="W35" s="57"/>
      <c r="X35" s="57"/>
      <c r="Y35" s="57"/>
      <c r="Z35" s="57"/>
      <c r="AA35" s="57"/>
      <c r="AB35" s="57"/>
      <c r="AC35" s="57"/>
      <c r="AD35" s="57"/>
      <c r="AE35" s="57"/>
      <c r="AF35" s="57"/>
    </row>
    <row r="36" spans="1:32" s="56" customFormat="1" x14ac:dyDescent="0.2">
      <c r="A36" s="67"/>
      <c r="B36" s="66"/>
      <c r="C36" s="420">
        <f t="shared" si="13"/>
        <v>6.6666666666666661</v>
      </c>
      <c r="D36" s="37" t="s">
        <v>2926</v>
      </c>
      <c r="E36" s="101">
        <f t="shared" si="15"/>
        <v>1</v>
      </c>
      <c r="H36" s="57"/>
      <c r="I36" s="57"/>
      <c r="J36" s="57"/>
      <c r="K36" s="57"/>
      <c r="L36" s="57"/>
      <c r="M36" s="57"/>
      <c r="N36" s="57"/>
      <c r="O36" s="57"/>
      <c r="P36" s="57"/>
      <c r="Q36" s="57"/>
      <c r="R36" s="57"/>
      <c r="S36" s="57"/>
      <c r="T36" s="438">
        <v>1</v>
      </c>
      <c r="U36" s="57"/>
      <c r="V36" s="57"/>
      <c r="W36" s="57"/>
      <c r="X36" s="57"/>
      <c r="Y36" s="57"/>
      <c r="Z36" s="57"/>
      <c r="AA36" s="57"/>
      <c r="AB36" s="57"/>
      <c r="AC36" s="57"/>
      <c r="AD36" s="57"/>
      <c r="AE36" s="57"/>
      <c r="AF36" s="57"/>
    </row>
    <row r="37" spans="1:32" s="56" customFormat="1" x14ac:dyDescent="0.2">
      <c r="A37" s="67"/>
      <c r="B37" s="66"/>
      <c r="C37" s="420" t="str">
        <f t="shared" si="13"/>
        <v/>
      </c>
      <c r="D37" s="37" t="s">
        <v>4330</v>
      </c>
      <c r="E37" s="101">
        <f t="shared" si="15"/>
        <v>-1</v>
      </c>
      <c r="H37" s="57"/>
      <c r="I37" s="57"/>
      <c r="J37" s="57"/>
      <c r="K37" s="57"/>
      <c r="L37" s="57"/>
      <c r="M37" s="57"/>
      <c r="N37" s="57"/>
      <c r="O37" s="57"/>
      <c r="P37" s="57"/>
      <c r="Q37" s="57"/>
      <c r="R37" s="57"/>
      <c r="S37" s="57"/>
      <c r="T37" s="57"/>
      <c r="U37" s="438">
        <v>-1</v>
      </c>
      <c r="V37" s="57"/>
      <c r="W37" s="57"/>
      <c r="X37" s="57"/>
      <c r="Y37" s="57"/>
      <c r="Z37" s="57"/>
      <c r="AA37" s="57"/>
      <c r="AB37" s="57"/>
      <c r="AC37" s="57"/>
      <c r="AD37" s="57"/>
      <c r="AE37" s="57"/>
      <c r="AF37" s="57"/>
    </row>
    <row r="38" spans="1:32" s="56" customFormat="1" x14ac:dyDescent="0.2">
      <c r="A38" s="67"/>
      <c r="B38" s="66"/>
      <c r="C38" s="419" t="str">
        <f t="shared" si="13"/>
        <v/>
      </c>
      <c r="D38" s="38" t="s">
        <v>4193</v>
      </c>
      <c r="E38" s="65">
        <f t="shared" si="15"/>
        <v>-1</v>
      </c>
      <c r="H38" s="57"/>
      <c r="P38" s="57"/>
      <c r="Q38" s="57"/>
      <c r="R38" s="57"/>
      <c r="S38" s="57"/>
      <c r="T38" s="57"/>
      <c r="U38" s="57"/>
      <c r="V38" s="438">
        <v>-1</v>
      </c>
      <c r="W38" s="57"/>
      <c r="X38" s="57"/>
      <c r="Y38" s="57"/>
      <c r="Z38" s="57"/>
      <c r="AA38" s="57"/>
      <c r="AB38" s="57"/>
      <c r="AC38" s="57"/>
      <c r="AD38" s="57"/>
      <c r="AE38" s="57"/>
      <c r="AF38" s="57"/>
    </row>
    <row r="39" spans="1:32" s="56" customFormat="1" x14ac:dyDescent="0.2">
      <c r="A39" s="67"/>
      <c r="B39" s="66"/>
      <c r="C39" s="420" t="str">
        <f t="shared" si="13"/>
        <v/>
      </c>
      <c r="D39" s="37" t="s">
        <v>3028</v>
      </c>
      <c r="E39" s="101">
        <f t="shared" si="15"/>
        <v>-1</v>
      </c>
      <c r="H39" s="57"/>
      <c r="P39" s="57"/>
      <c r="Q39" s="57"/>
      <c r="R39" s="57"/>
      <c r="S39" s="57"/>
      <c r="T39" s="57"/>
      <c r="U39" s="57"/>
      <c r="V39" s="57"/>
      <c r="W39" s="438">
        <v>-1</v>
      </c>
      <c r="X39" s="57"/>
      <c r="Y39" s="57"/>
      <c r="Z39" s="57"/>
      <c r="AA39" s="57"/>
      <c r="AB39" s="57"/>
      <c r="AC39" s="57"/>
      <c r="AD39" s="57"/>
      <c r="AE39" s="57"/>
      <c r="AF39" s="57"/>
    </row>
    <row r="40" spans="1:32" s="56" customFormat="1" x14ac:dyDescent="0.2">
      <c r="A40" s="67"/>
      <c r="B40" s="66"/>
      <c r="C40" s="420">
        <f t="shared" si="13"/>
        <v>6.6666666666666661</v>
      </c>
      <c r="D40" s="37" t="s">
        <v>3029</v>
      </c>
      <c r="E40" s="101">
        <f t="shared" si="15"/>
        <v>1</v>
      </c>
      <c r="H40" s="57"/>
      <c r="P40" s="57"/>
      <c r="Q40" s="57"/>
      <c r="R40" s="57"/>
      <c r="S40" s="57"/>
      <c r="T40" s="57"/>
      <c r="U40" s="57"/>
      <c r="V40" s="57"/>
      <c r="W40" s="438">
        <v>1</v>
      </c>
      <c r="X40" s="57"/>
      <c r="Y40" s="57"/>
      <c r="Z40" s="57"/>
      <c r="AA40" s="57"/>
      <c r="AB40" s="57"/>
      <c r="AC40" s="57"/>
      <c r="AD40" s="57"/>
      <c r="AE40" s="57"/>
      <c r="AF40" s="57"/>
    </row>
    <row r="41" spans="1:32" s="56" customFormat="1" x14ac:dyDescent="0.2">
      <c r="A41" s="67"/>
      <c r="B41" s="66"/>
      <c r="C41" s="419" t="str">
        <f t="shared" si="13"/>
        <v/>
      </c>
      <c r="D41" s="38" t="s">
        <v>4194</v>
      </c>
      <c r="E41" s="65">
        <f t="shared" si="15"/>
        <v>0</v>
      </c>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row>
    <row r="42" spans="1:32" s="56" customFormat="1" x14ac:dyDescent="0.2">
      <c r="A42" s="67"/>
      <c r="B42" s="66"/>
      <c r="C42" s="419" t="str">
        <f t="shared" ref="C42:C70" si="16">IFERROR(IF($E42&gt;0,$E42/SUMIF($E$10:$E$70,"&gt;0")*$D$5,""),"")</f>
        <v/>
      </c>
      <c r="D42" s="38" t="s">
        <v>4195</v>
      </c>
      <c r="E42" s="65">
        <f t="shared" si="15"/>
        <v>0</v>
      </c>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row>
    <row r="43" spans="1:32" s="56" customFormat="1" x14ac:dyDescent="0.2">
      <c r="A43" s="67"/>
      <c r="B43" s="66"/>
      <c r="C43" s="419">
        <f t="shared" si="16"/>
        <v>6.6666666666666661</v>
      </c>
      <c r="D43" s="38" t="s">
        <v>3037</v>
      </c>
      <c r="E43" s="65">
        <f t="shared" si="15"/>
        <v>1</v>
      </c>
      <c r="H43" s="57"/>
      <c r="I43" s="57"/>
      <c r="J43" s="57"/>
      <c r="K43" s="57"/>
      <c r="L43" s="57"/>
      <c r="M43" s="57"/>
      <c r="N43" s="57"/>
      <c r="O43" s="57"/>
      <c r="P43" s="57"/>
      <c r="Q43" s="57"/>
      <c r="R43" s="57"/>
      <c r="S43" s="57"/>
      <c r="T43" s="57"/>
      <c r="U43" s="57"/>
      <c r="V43" s="57"/>
      <c r="W43" s="57"/>
      <c r="X43" s="57"/>
      <c r="Y43" s="438">
        <v>1</v>
      </c>
      <c r="Z43" s="57"/>
      <c r="AA43" s="57"/>
      <c r="AB43" s="57"/>
      <c r="AC43" s="57"/>
      <c r="AD43" s="57"/>
      <c r="AE43" s="57"/>
      <c r="AF43" s="57"/>
    </row>
    <row r="44" spans="1:32" s="56" customFormat="1" x14ac:dyDescent="0.2">
      <c r="A44" s="67"/>
      <c r="B44" s="66"/>
      <c r="C44" s="419" t="str">
        <f t="shared" si="16"/>
        <v/>
      </c>
      <c r="D44" s="104" t="s">
        <v>3446</v>
      </c>
      <c r="E44" s="65">
        <f t="shared" si="15"/>
        <v>0</v>
      </c>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row>
    <row r="45" spans="1:32" s="56" customFormat="1" x14ac:dyDescent="0.2">
      <c r="A45" s="67"/>
      <c r="B45" s="66"/>
      <c r="C45" s="419" t="str">
        <f t="shared" si="16"/>
        <v/>
      </c>
      <c r="D45" s="93" t="s">
        <v>3447</v>
      </c>
      <c r="E45" s="65">
        <f t="shared" si="15"/>
        <v>0</v>
      </c>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row>
    <row r="46" spans="1:32" s="56" customFormat="1" x14ac:dyDescent="0.2">
      <c r="A46" s="67"/>
      <c r="B46" s="66"/>
      <c r="C46" s="419" t="str">
        <f t="shared" si="16"/>
        <v/>
      </c>
      <c r="D46" s="93" t="s">
        <v>4201</v>
      </c>
      <c r="E46" s="65">
        <f t="shared" si="15"/>
        <v>0</v>
      </c>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row>
    <row r="47" spans="1:32" s="56" customFormat="1" x14ac:dyDescent="0.2">
      <c r="A47" s="67"/>
      <c r="B47" s="66"/>
      <c r="C47" s="420" t="str">
        <f t="shared" si="16"/>
        <v/>
      </c>
      <c r="D47" s="93" t="s">
        <v>4202</v>
      </c>
      <c r="E47" s="101">
        <f t="shared" si="15"/>
        <v>0</v>
      </c>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row>
    <row r="48" spans="1:32" s="56" customFormat="1" x14ac:dyDescent="0.2">
      <c r="A48" s="67"/>
      <c r="B48" s="66"/>
      <c r="C48" s="420" t="str">
        <f t="shared" si="16"/>
        <v/>
      </c>
      <c r="D48" s="93" t="s">
        <v>4203</v>
      </c>
      <c r="E48" s="101">
        <f t="shared" si="15"/>
        <v>0</v>
      </c>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row>
    <row r="49" spans="1:32" s="56" customFormat="1" x14ac:dyDescent="0.2">
      <c r="A49" s="67"/>
      <c r="B49" s="66"/>
      <c r="C49" s="419" t="str">
        <f t="shared" si="16"/>
        <v/>
      </c>
      <c r="D49" s="93" t="s">
        <v>4204</v>
      </c>
      <c r="E49" s="65">
        <f t="shared" si="15"/>
        <v>0</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row>
    <row r="50" spans="1:32" s="56" customFormat="1" x14ac:dyDescent="0.2">
      <c r="A50" s="67"/>
      <c r="B50" s="66"/>
      <c r="C50" s="419" t="str">
        <f t="shared" si="16"/>
        <v/>
      </c>
      <c r="D50" s="93" t="s">
        <v>8643</v>
      </c>
      <c r="E50" s="65">
        <f t="shared" si="15"/>
        <v>0</v>
      </c>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row>
    <row r="51" spans="1:32" s="56" customFormat="1" x14ac:dyDescent="0.2">
      <c r="A51" s="67"/>
      <c r="B51" s="66"/>
      <c r="C51" s="419" t="str">
        <f t="shared" si="16"/>
        <v/>
      </c>
      <c r="D51" s="103" t="s">
        <v>8644</v>
      </c>
      <c r="E51" s="65">
        <f t="shared" si="15"/>
        <v>0</v>
      </c>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row>
    <row r="52" spans="1:32" s="56" customFormat="1" x14ac:dyDescent="0.2">
      <c r="A52" s="67"/>
      <c r="B52" s="66"/>
      <c r="C52" s="419" t="str">
        <f t="shared" si="16"/>
        <v/>
      </c>
      <c r="D52" s="93" t="s">
        <v>4205</v>
      </c>
      <c r="E52" s="65">
        <f t="shared" ref="E52:E83" si="17">SUM(G52:HF52)</f>
        <v>0</v>
      </c>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spans="1:32" s="56" customFormat="1" x14ac:dyDescent="0.2">
      <c r="A53" s="67"/>
      <c r="B53" s="66"/>
      <c r="C53" s="420" t="str">
        <f t="shared" si="16"/>
        <v/>
      </c>
      <c r="D53" s="37" t="s">
        <v>4206</v>
      </c>
      <c r="E53" s="101">
        <f t="shared" si="17"/>
        <v>0</v>
      </c>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spans="1:32" s="56" customFormat="1" x14ac:dyDescent="0.2">
      <c r="A54" s="67"/>
      <c r="B54" s="66"/>
      <c r="C54" s="419" t="str">
        <f t="shared" si="16"/>
        <v/>
      </c>
      <c r="D54" s="93" t="s">
        <v>4207</v>
      </c>
      <c r="E54" s="65">
        <f t="shared" si="17"/>
        <v>0</v>
      </c>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spans="1:32" s="56" customFormat="1" x14ac:dyDescent="0.2">
      <c r="A55" s="67"/>
      <c r="B55" s="66"/>
      <c r="C55" s="420" t="str">
        <f t="shared" si="16"/>
        <v/>
      </c>
      <c r="D55" s="37" t="s">
        <v>1544</v>
      </c>
      <c r="E55" s="101">
        <f t="shared" si="17"/>
        <v>0</v>
      </c>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spans="1:32" s="56" customFormat="1" x14ac:dyDescent="0.2">
      <c r="A56" s="67"/>
      <c r="B56" s="66"/>
      <c r="C56" s="419" t="str">
        <f t="shared" si="16"/>
        <v/>
      </c>
      <c r="D56" s="93" t="s">
        <v>8645</v>
      </c>
      <c r="E56" s="65">
        <f t="shared" si="17"/>
        <v>0</v>
      </c>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spans="1:32" s="56" customFormat="1" x14ac:dyDescent="0.2">
      <c r="A57" s="67"/>
      <c r="B57" s="66"/>
      <c r="C57" s="420" t="str">
        <f t="shared" si="16"/>
        <v/>
      </c>
      <c r="D57" s="37" t="s">
        <v>4208</v>
      </c>
      <c r="E57" s="101">
        <f t="shared" si="17"/>
        <v>0</v>
      </c>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spans="1:32" s="56" customFormat="1" x14ac:dyDescent="0.2">
      <c r="A58" s="67"/>
      <c r="B58" s="66"/>
      <c r="C58" s="419" t="str">
        <f t="shared" si="16"/>
        <v/>
      </c>
      <c r="D58" s="93" t="s">
        <v>4209</v>
      </c>
      <c r="E58" s="65">
        <f t="shared" si="17"/>
        <v>0</v>
      </c>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spans="1:32" s="56" customFormat="1" x14ac:dyDescent="0.2">
      <c r="A59" s="67"/>
      <c r="B59" s="66"/>
      <c r="C59" s="419" t="str">
        <f t="shared" si="16"/>
        <v/>
      </c>
      <c r="D59" s="93" t="s">
        <v>4210</v>
      </c>
      <c r="E59" s="65">
        <f t="shared" si="17"/>
        <v>0</v>
      </c>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spans="1:32" s="56" customFormat="1" x14ac:dyDescent="0.2">
      <c r="A60" s="67"/>
      <c r="B60" s="66"/>
      <c r="C60" s="419" t="str">
        <f t="shared" si="16"/>
        <v/>
      </c>
      <c r="D60" s="93" t="s">
        <v>4211</v>
      </c>
      <c r="E60" s="65">
        <f t="shared" si="17"/>
        <v>0</v>
      </c>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spans="1:32" s="56" customFormat="1" x14ac:dyDescent="0.2">
      <c r="A61" s="67"/>
      <c r="B61" s="66"/>
      <c r="C61" s="419" t="str">
        <f t="shared" si="16"/>
        <v/>
      </c>
      <c r="D61" s="93" t="s">
        <v>280</v>
      </c>
      <c r="E61" s="65">
        <f t="shared" si="17"/>
        <v>0</v>
      </c>
      <c r="U61" s="57"/>
      <c r="AB61" s="57"/>
      <c r="AC61" s="57"/>
    </row>
    <row r="62" spans="1:32" s="56" customFormat="1" x14ac:dyDescent="0.2">
      <c r="A62" s="67"/>
      <c r="B62" s="66"/>
      <c r="C62" s="420" t="str">
        <f t="shared" si="16"/>
        <v/>
      </c>
      <c r="D62" s="37" t="s">
        <v>3638</v>
      </c>
      <c r="E62" s="101">
        <f t="shared" si="17"/>
        <v>0</v>
      </c>
      <c r="U62" s="57"/>
      <c r="AB62" s="57"/>
      <c r="AC62" s="57"/>
    </row>
    <row r="63" spans="1:32" s="56" customFormat="1" x14ac:dyDescent="0.2">
      <c r="A63" s="67"/>
      <c r="B63" s="66"/>
      <c r="C63" s="419" t="str">
        <f t="shared" si="16"/>
        <v/>
      </c>
      <c r="D63" s="93" t="s">
        <v>4212</v>
      </c>
      <c r="E63" s="65">
        <f t="shared" si="17"/>
        <v>0</v>
      </c>
      <c r="U63" s="57"/>
      <c r="AB63" s="57"/>
      <c r="AC63" s="57"/>
    </row>
    <row r="64" spans="1:32" s="56" customFormat="1" x14ac:dyDescent="0.2">
      <c r="A64" s="67"/>
      <c r="B64" s="66"/>
      <c r="C64" s="419" t="str">
        <f t="shared" si="16"/>
        <v/>
      </c>
      <c r="D64" s="93" t="s">
        <v>4213</v>
      </c>
      <c r="E64" s="101">
        <f t="shared" si="17"/>
        <v>0</v>
      </c>
    </row>
    <row r="65" spans="1:5" s="56" customFormat="1" x14ac:dyDescent="0.2">
      <c r="A65" s="67"/>
      <c r="B65" s="66"/>
      <c r="C65" s="420" t="str">
        <f t="shared" si="16"/>
        <v/>
      </c>
      <c r="D65" s="93" t="s">
        <v>4346</v>
      </c>
      <c r="E65" s="101">
        <f t="shared" si="17"/>
        <v>0</v>
      </c>
    </row>
    <row r="66" spans="1:5" s="56" customFormat="1" x14ac:dyDescent="0.2">
      <c r="A66" s="67"/>
      <c r="B66" s="66"/>
      <c r="C66" s="419" t="str">
        <f t="shared" si="16"/>
        <v/>
      </c>
      <c r="D66" s="93" t="s">
        <v>4347</v>
      </c>
      <c r="E66" s="101">
        <f t="shared" si="17"/>
        <v>0</v>
      </c>
    </row>
    <row r="67" spans="1:5" s="56" customFormat="1" x14ac:dyDescent="0.2">
      <c r="A67" s="67"/>
      <c r="B67" s="66"/>
      <c r="C67" s="420" t="str">
        <f t="shared" si="16"/>
        <v/>
      </c>
      <c r="D67" s="93" t="s">
        <v>3772</v>
      </c>
      <c r="E67" s="101">
        <f t="shared" si="17"/>
        <v>0</v>
      </c>
    </row>
    <row r="68" spans="1:5" s="56" customFormat="1" x14ac:dyDescent="0.2">
      <c r="A68" s="67"/>
      <c r="B68" s="66"/>
      <c r="C68" s="419" t="str">
        <f t="shared" si="16"/>
        <v/>
      </c>
      <c r="D68" s="93" t="s">
        <v>4214</v>
      </c>
      <c r="E68" s="101">
        <f t="shared" si="17"/>
        <v>0</v>
      </c>
    </row>
    <row r="69" spans="1:5" s="56" customFormat="1" x14ac:dyDescent="0.2">
      <c r="A69" s="67"/>
      <c r="B69" s="66"/>
      <c r="C69" s="420" t="str">
        <f t="shared" si="16"/>
        <v/>
      </c>
      <c r="D69" s="93" t="s">
        <v>8646</v>
      </c>
      <c r="E69" s="101">
        <f t="shared" si="17"/>
        <v>0</v>
      </c>
    </row>
    <row r="70" spans="1:5" s="56" customFormat="1" x14ac:dyDescent="0.2">
      <c r="A70" s="67"/>
      <c r="B70" s="66"/>
      <c r="C70" s="419" t="str">
        <f t="shared" si="16"/>
        <v/>
      </c>
      <c r="D70" s="93" t="s">
        <v>3819</v>
      </c>
      <c r="E70" s="65">
        <f t="shared" si="17"/>
        <v>0</v>
      </c>
    </row>
    <row r="71" spans="1:5" s="56" customFormat="1" x14ac:dyDescent="0.2">
      <c r="A71" s="67"/>
      <c r="B71" s="66"/>
      <c r="C71" s="65">
        <f t="shared" ref="C71:C102" si="18">E71*D$5</f>
        <v>0</v>
      </c>
      <c r="D71" s="93"/>
      <c r="E71" s="65">
        <f t="shared" si="17"/>
        <v>0</v>
      </c>
    </row>
    <row r="72" spans="1:5" s="56" customFormat="1" x14ac:dyDescent="0.2">
      <c r="A72" s="67"/>
      <c r="B72" s="66"/>
      <c r="C72" s="65">
        <f t="shared" si="18"/>
        <v>0</v>
      </c>
      <c r="D72" s="93"/>
      <c r="E72" s="65">
        <f t="shared" si="17"/>
        <v>0</v>
      </c>
    </row>
    <row r="73" spans="1:5" s="56" customFormat="1" x14ac:dyDescent="0.2">
      <c r="A73" s="67"/>
      <c r="B73" s="66"/>
      <c r="C73" s="65">
        <f t="shared" si="18"/>
        <v>0</v>
      </c>
      <c r="D73" s="37"/>
      <c r="E73" s="65">
        <f t="shared" si="17"/>
        <v>0</v>
      </c>
    </row>
    <row r="74" spans="1:5" s="56" customFormat="1" x14ac:dyDescent="0.2">
      <c r="A74" s="67"/>
      <c r="B74" s="66"/>
      <c r="C74" s="65">
        <f t="shared" si="18"/>
        <v>0</v>
      </c>
      <c r="D74" s="37"/>
      <c r="E74" s="65">
        <f t="shared" si="17"/>
        <v>0</v>
      </c>
    </row>
    <row r="75" spans="1:5" s="56" customFormat="1" x14ac:dyDescent="0.2">
      <c r="A75" s="67"/>
      <c r="B75" s="66"/>
      <c r="C75" s="65">
        <f t="shared" si="18"/>
        <v>0</v>
      </c>
      <c r="D75" s="49"/>
      <c r="E75" s="65">
        <f t="shared" si="17"/>
        <v>0</v>
      </c>
    </row>
    <row r="76" spans="1:5" s="56" customFormat="1" x14ac:dyDescent="0.2">
      <c r="A76" s="67"/>
      <c r="B76" s="66"/>
      <c r="C76" s="65">
        <f t="shared" si="18"/>
        <v>0</v>
      </c>
      <c r="D76" s="49"/>
      <c r="E76" s="65">
        <f t="shared" si="17"/>
        <v>0</v>
      </c>
    </row>
    <row r="77" spans="1:5" s="56" customFormat="1" x14ac:dyDescent="0.2">
      <c r="A77" s="67"/>
      <c r="B77" s="66"/>
      <c r="C77" s="65">
        <f t="shared" si="18"/>
        <v>0</v>
      </c>
      <c r="D77" s="49"/>
      <c r="E77" s="65">
        <f t="shared" si="17"/>
        <v>0</v>
      </c>
    </row>
    <row r="78" spans="1:5" s="56" customFormat="1" x14ac:dyDescent="0.2">
      <c r="A78" s="67"/>
      <c r="B78" s="66"/>
      <c r="C78" s="65">
        <f t="shared" si="18"/>
        <v>0</v>
      </c>
      <c r="D78" s="49"/>
      <c r="E78" s="65">
        <f t="shared" si="17"/>
        <v>0</v>
      </c>
    </row>
    <row r="79" spans="1:5" s="56" customFormat="1" x14ac:dyDescent="0.2">
      <c r="A79" s="67"/>
      <c r="B79" s="66"/>
      <c r="C79" s="65">
        <f t="shared" si="18"/>
        <v>0</v>
      </c>
      <c r="D79" s="49"/>
      <c r="E79" s="65">
        <f t="shared" si="17"/>
        <v>0</v>
      </c>
    </row>
    <row r="80" spans="1:5" s="56" customFormat="1" x14ac:dyDescent="0.2">
      <c r="A80" s="67"/>
      <c r="B80" s="66"/>
      <c r="C80" s="65">
        <f t="shared" si="18"/>
        <v>0</v>
      </c>
      <c r="D80" s="49"/>
      <c r="E80" s="65">
        <f t="shared" si="17"/>
        <v>0</v>
      </c>
    </row>
    <row r="81" spans="1:5" s="56" customFormat="1" x14ac:dyDescent="0.2">
      <c r="A81" s="67"/>
      <c r="B81" s="66"/>
      <c r="C81" s="65">
        <f t="shared" si="18"/>
        <v>0</v>
      </c>
      <c r="D81" s="49"/>
      <c r="E81" s="65">
        <f t="shared" si="17"/>
        <v>0</v>
      </c>
    </row>
    <row r="82" spans="1:5" s="56" customFormat="1" x14ac:dyDescent="0.2">
      <c r="A82" s="67"/>
      <c r="B82" s="66"/>
      <c r="C82" s="65">
        <f t="shared" si="18"/>
        <v>0</v>
      </c>
      <c r="D82" s="49"/>
      <c r="E82" s="65">
        <f t="shared" si="17"/>
        <v>0</v>
      </c>
    </row>
    <row r="83" spans="1:5" s="56" customFormat="1" x14ac:dyDescent="0.2">
      <c r="A83" s="67"/>
      <c r="B83" s="66"/>
      <c r="C83" s="65">
        <f t="shared" si="18"/>
        <v>0</v>
      </c>
      <c r="D83" s="49"/>
      <c r="E83" s="65">
        <f t="shared" si="17"/>
        <v>0</v>
      </c>
    </row>
    <row r="84" spans="1:5" s="56" customFormat="1" x14ac:dyDescent="0.2">
      <c r="A84" s="67"/>
      <c r="B84" s="66"/>
      <c r="C84" s="65">
        <f t="shared" si="18"/>
        <v>0</v>
      </c>
      <c r="D84" s="49"/>
      <c r="E84" s="65">
        <f t="shared" ref="E84:E115" si="19">SUM(G84:HF84)</f>
        <v>0</v>
      </c>
    </row>
    <row r="85" spans="1:5" s="56" customFormat="1" x14ac:dyDescent="0.2">
      <c r="A85" s="67"/>
      <c r="B85" s="66"/>
      <c r="C85" s="65">
        <f t="shared" si="18"/>
        <v>0</v>
      </c>
      <c r="D85" s="49"/>
      <c r="E85" s="65">
        <f t="shared" si="19"/>
        <v>0</v>
      </c>
    </row>
    <row r="86" spans="1:5" s="56" customFormat="1" x14ac:dyDescent="0.2">
      <c r="A86" s="67"/>
      <c r="B86" s="66"/>
      <c r="C86" s="65">
        <f t="shared" si="18"/>
        <v>0</v>
      </c>
      <c r="D86" s="49"/>
      <c r="E86" s="65">
        <f t="shared" si="19"/>
        <v>0</v>
      </c>
    </row>
    <row r="87" spans="1:5" s="56" customFormat="1" x14ac:dyDescent="0.2">
      <c r="A87" s="67"/>
      <c r="B87" s="66"/>
      <c r="C87" s="65">
        <f t="shared" si="18"/>
        <v>0</v>
      </c>
      <c r="D87" s="49"/>
      <c r="E87" s="65">
        <f t="shared" si="19"/>
        <v>0</v>
      </c>
    </row>
    <row r="88" spans="1:5" s="56" customFormat="1" x14ac:dyDescent="0.2">
      <c r="A88" s="67"/>
      <c r="B88" s="66"/>
      <c r="C88" s="65">
        <f t="shared" si="18"/>
        <v>0</v>
      </c>
      <c r="D88" s="49"/>
      <c r="E88" s="65">
        <f t="shared" si="19"/>
        <v>0</v>
      </c>
    </row>
    <row r="89" spans="1:5" s="56" customFormat="1" x14ac:dyDescent="0.2">
      <c r="A89" s="67"/>
      <c r="B89" s="66"/>
      <c r="C89" s="65">
        <f t="shared" si="18"/>
        <v>0</v>
      </c>
      <c r="D89" s="49"/>
      <c r="E89" s="65">
        <f t="shared" si="19"/>
        <v>0</v>
      </c>
    </row>
    <row r="90" spans="1:5" s="56" customFormat="1" x14ac:dyDescent="0.2">
      <c r="A90" s="67"/>
      <c r="B90" s="66"/>
      <c r="C90" s="65">
        <f t="shared" si="18"/>
        <v>0</v>
      </c>
      <c r="D90" s="49"/>
      <c r="E90" s="65">
        <f t="shared" si="19"/>
        <v>0</v>
      </c>
    </row>
    <row r="91" spans="1:5" s="56" customFormat="1" x14ac:dyDescent="0.2">
      <c r="A91" s="67"/>
      <c r="B91" s="66"/>
      <c r="C91" s="65">
        <f t="shared" si="18"/>
        <v>0</v>
      </c>
      <c r="D91" s="49"/>
      <c r="E91" s="65">
        <f t="shared" si="19"/>
        <v>0</v>
      </c>
    </row>
    <row r="92" spans="1:5" s="56" customFormat="1" x14ac:dyDescent="0.2">
      <c r="A92" s="67"/>
      <c r="B92" s="66"/>
      <c r="C92" s="65">
        <f t="shared" si="18"/>
        <v>0</v>
      </c>
      <c r="D92" s="49"/>
      <c r="E92" s="65">
        <f t="shared" si="19"/>
        <v>0</v>
      </c>
    </row>
    <row r="93" spans="1:5" s="56" customFormat="1" x14ac:dyDescent="0.2">
      <c r="A93" s="67"/>
      <c r="B93" s="66"/>
      <c r="C93" s="65">
        <f t="shared" si="18"/>
        <v>0</v>
      </c>
      <c r="D93" s="49"/>
      <c r="E93" s="65">
        <f t="shared" si="19"/>
        <v>0</v>
      </c>
    </row>
    <row r="94" spans="1:5" s="56" customFormat="1" x14ac:dyDescent="0.2">
      <c r="A94" s="67"/>
      <c r="B94" s="66"/>
      <c r="C94" s="65">
        <f t="shared" si="18"/>
        <v>0</v>
      </c>
      <c r="D94" s="49"/>
      <c r="E94" s="65">
        <f t="shared" si="19"/>
        <v>0</v>
      </c>
    </row>
    <row r="95" spans="1:5" s="56" customFormat="1" x14ac:dyDescent="0.2">
      <c r="A95" s="67"/>
      <c r="B95" s="66"/>
      <c r="C95" s="65">
        <f t="shared" si="18"/>
        <v>0</v>
      </c>
      <c r="D95" s="49"/>
      <c r="E95" s="65">
        <f t="shared" si="19"/>
        <v>0</v>
      </c>
    </row>
    <row r="96" spans="1:5" s="56" customFormat="1" x14ac:dyDescent="0.2">
      <c r="A96" s="67"/>
      <c r="B96" s="66"/>
      <c r="C96" s="65">
        <f t="shared" si="18"/>
        <v>0</v>
      </c>
      <c r="D96" s="49"/>
      <c r="E96" s="65">
        <f t="shared" si="19"/>
        <v>0</v>
      </c>
    </row>
    <row r="97" spans="1:5" s="56" customFormat="1" x14ac:dyDescent="0.2">
      <c r="A97" s="67"/>
      <c r="B97" s="66"/>
      <c r="C97" s="65">
        <f t="shared" si="18"/>
        <v>0</v>
      </c>
      <c r="D97" s="49"/>
      <c r="E97" s="65">
        <f t="shared" si="19"/>
        <v>0</v>
      </c>
    </row>
    <row r="98" spans="1:5" s="56" customFormat="1" x14ac:dyDescent="0.2">
      <c r="A98" s="67"/>
      <c r="B98" s="66"/>
      <c r="C98" s="65">
        <f t="shared" si="18"/>
        <v>0</v>
      </c>
      <c r="D98" s="49"/>
      <c r="E98" s="65">
        <f t="shared" si="19"/>
        <v>0</v>
      </c>
    </row>
    <row r="99" spans="1:5" s="56" customFormat="1" x14ac:dyDescent="0.2">
      <c r="A99" s="67"/>
      <c r="B99" s="66"/>
      <c r="C99" s="65">
        <f t="shared" si="18"/>
        <v>0</v>
      </c>
      <c r="D99" s="49"/>
      <c r="E99" s="65">
        <f t="shared" si="19"/>
        <v>0</v>
      </c>
    </row>
    <row r="100" spans="1:5" s="56" customFormat="1" x14ac:dyDescent="0.2">
      <c r="A100" s="67"/>
      <c r="B100" s="66"/>
      <c r="C100" s="65">
        <f t="shared" si="18"/>
        <v>0</v>
      </c>
      <c r="D100" s="49"/>
      <c r="E100" s="65">
        <f t="shared" si="19"/>
        <v>0</v>
      </c>
    </row>
    <row r="101" spans="1:5" s="56" customFormat="1" x14ac:dyDescent="0.2">
      <c r="A101" s="67"/>
      <c r="B101" s="66"/>
      <c r="C101" s="65">
        <f t="shared" si="18"/>
        <v>0</v>
      </c>
      <c r="D101" s="49"/>
      <c r="E101" s="65">
        <f t="shared" si="19"/>
        <v>0</v>
      </c>
    </row>
    <row r="102" spans="1:5" s="56" customFormat="1" x14ac:dyDescent="0.2">
      <c r="A102" s="67"/>
      <c r="B102" s="66"/>
      <c r="C102" s="65">
        <f t="shared" si="18"/>
        <v>0</v>
      </c>
      <c r="D102" s="49"/>
      <c r="E102" s="65">
        <f t="shared" si="19"/>
        <v>0</v>
      </c>
    </row>
    <row r="103" spans="1:5" s="56" customFormat="1" x14ac:dyDescent="0.2">
      <c r="A103" s="67"/>
      <c r="B103" s="66"/>
      <c r="C103" s="65">
        <f t="shared" ref="C103:C134" si="20">E103*D$5</f>
        <v>0</v>
      </c>
      <c r="D103" s="49"/>
      <c r="E103" s="65">
        <f t="shared" si="19"/>
        <v>0</v>
      </c>
    </row>
    <row r="104" spans="1:5" s="56" customFormat="1" x14ac:dyDescent="0.2">
      <c r="A104" s="67"/>
      <c r="B104" s="66"/>
      <c r="C104" s="65">
        <f t="shared" si="20"/>
        <v>0</v>
      </c>
      <c r="D104" s="49"/>
      <c r="E104" s="65">
        <f t="shared" si="19"/>
        <v>0</v>
      </c>
    </row>
    <row r="105" spans="1:5" s="56" customFormat="1" x14ac:dyDescent="0.2">
      <c r="A105" s="67"/>
      <c r="B105" s="66"/>
      <c r="C105" s="65">
        <f t="shared" si="20"/>
        <v>0</v>
      </c>
      <c r="D105" s="49"/>
      <c r="E105" s="65">
        <f t="shared" si="19"/>
        <v>0</v>
      </c>
    </row>
    <row r="106" spans="1:5" s="56" customFormat="1" x14ac:dyDescent="0.2">
      <c r="A106" s="67"/>
      <c r="B106" s="66"/>
      <c r="C106" s="65">
        <f t="shared" si="20"/>
        <v>0</v>
      </c>
      <c r="D106" s="49"/>
      <c r="E106" s="65">
        <f t="shared" si="19"/>
        <v>0</v>
      </c>
    </row>
    <row r="107" spans="1:5" s="56" customFormat="1" x14ac:dyDescent="0.2">
      <c r="A107" s="67"/>
      <c r="B107" s="66"/>
      <c r="C107" s="65">
        <f t="shared" si="20"/>
        <v>0</v>
      </c>
      <c r="D107" s="49"/>
      <c r="E107" s="65">
        <f t="shared" si="19"/>
        <v>0</v>
      </c>
    </row>
    <row r="108" spans="1:5" s="56" customFormat="1" x14ac:dyDescent="0.2">
      <c r="A108" s="67"/>
      <c r="B108" s="66"/>
      <c r="C108" s="65">
        <f t="shared" si="20"/>
        <v>0</v>
      </c>
      <c r="D108" s="49"/>
      <c r="E108" s="65">
        <f t="shared" si="19"/>
        <v>0</v>
      </c>
    </row>
    <row r="109" spans="1:5" s="56" customFormat="1" x14ac:dyDescent="0.2">
      <c r="A109" s="67"/>
      <c r="B109" s="66"/>
      <c r="C109" s="65">
        <f t="shared" si="20"/>
        <v>0</v>
      </c>
      <c r="D109" s="49"/>
      <c r="E109" s="65">
        <f t="shared" si="19"/>
        <v>0</v>
      </c>
    </row>
    <row r="110" spans="1:5" s="56" customFormat="1" x14ac:dyDescent="0.2">
      <c r="A110" s="67"/>
      <c r="B110" s="66"/>
      <c r="C110" s="65">
        <f t="shared" si="20"/>
        <v>0</v>
      </c>
      <c r="D110" s="49"/>
      <c r="E110" s="65">
        <f t="shared" si="19"/>
        <v>0</v>
      </c>
    </row>
    <row r="111" spans="1:5" s="56" customFormat="1" x14ac:dyDescent="0.2">
      <c r="A111" s="67"/>
      <c r="B111" s="66"/>
      <c r="C111" s="65">
        <f t="shared" si="20"/>
        <v>0</v>
      </c>
      <c r="D111" s="49"/>
      <c r="E111" s="65">
        <f t="shared" si="19"/>
        <v>0</v>
      </c>
    </row>
    <row r="112" spans="1:5" s="56" customFormat="1" x14ac:dyDescent="0.2">
      <c r="A112" s="67"/>
      <c r="B112" s="66"/>
      <c r="C112" s="65">
        <f t="shared" si="20"/>
        <v>0</v>
      </c>
      <c r="D112" s="49"/>
      <c r="E112" s="65">
        <f t="shared" si="19"/>
        <v>0</v>
      </c>
    </row>
    <row r="113" spans="1:5" s="56" customFormat="1" x14ac:dyDescent="0.2">
      <c r="A113" s="67"/>
      <c r="B113" s="66"/>
      <c r="C113" s="65">
        <f t="shared" si="20"/>
        <v>0</v>
      </c>
      <c r="D113" s="49"/>
      <c r="E113" s="65">
        <f t="shared" si="19"/>
        <v>0</v>
      </c>
    </row>
    <row r="114" spans="1:5" s="56" customFormat="1" x14ac:dyDescent="0.2">
      <c r="A114" s="67"/>
      <c r="B114" s="66"/>
      <c r="C114" s="65">
        <f t="shared" si="20"/>
        <v>0</v>
      </c>
      <c r="D114" s="49"/>
      <c r="E114" s="65">
        <f t="shared" si="19"/>
        <v>0</v>
      </c>
    </row>
    <row r="115" spans="1:5" s="56" customFormat="1" x14ac:dyDescent="0.2">
      <c r="A115" s="67"/>
      <c r="B115" s="66"/>
      <c r="C115" s="65">
        <f t="shared" si="20"/>
        <v>0</v>
      </c>
      <c r="D115" s="49"/>
      <c r="E115" s="65">
        <f t="shared" si="19"/>
        <v>0</v>
      </c>
    </row>
    <row r="116" spans="1:5" s="56" customFormat="1" x14ac:dyDescent="0.2">
      <c r="A116" s="67"/>
      <c r="B116" s="66"/>
      <c r="C116" s="65">
        <f t="shared" si="20"/>
        <v>0</v>
      </c>
      <c r="D116" s="49"/>
      <c r="E116" s="65">
        <f t="shared" ref="E116:E147" si="21">SUM(G116:HF116)</f>
        <v>0</v>
      </c>
    </row>
    <row r="117" spans="1:5" s="56" customFormat="1" x14ac:dyDescent="0.2">
      <c r="A117" s="67"/>
      <c r="B117" s="66"/>
      <c r="C117" s="65">
        <f t="shared" si="20"/>
        <v>0</v>
      </c>
      <c r="D117" s="49"/>
      <c r="E117" s="65">
        <f t="shared" si="21"/>
        <v>0</v>
      </c>
    </row>
    <row r="118" spans="1:5" s="56" customFormat="1" x14ac:dyDescent="0.2">
      <c r="A118" s="67"/>
      <c r="B118" s="66"/>
      <c r="C118" s="65">
        <f t="shared" si="20"/>
        <v>0</v>
      </c>
      <c r="D118" s="49"/>
      <c r="E118" s="65">
        <f t="shared" si="21"/>
        <v>0</v>
      </c>
    </row>
    <row r="119" spans="1:5" s="56" customFormat="1" x14ac:dyDescent="0.2">
      <c r="A119" s="67"/>
      <c r="B119" s="66"/>
      <c r="C119" s="65">
        <f t="shared" si="20"/>
        <v>0</v>
      </c>
      <c r="D119" s="49"/>
      <c r="E119" s="65">
        <f t="shared" si="21"/>
        <v>0</v>
      </c>
    </row>
    <row r="120" spans="1:5" s="56" customFormat="1" x14ac:dyDescent="0.2">
      <c r="A120" s="67"/>
      <c r="B120" s="66"/>
      <c r="C120" s="65">
        <f t="shared" si="20"/>
        <v>0</v>
      </c>
      <c r="D120" s="49"/>
      <c r="E120" s="65">
        <f t="shared" si="21"/>
        <v>0</v>
      </c>
    </row>
    <row r="121" spans="1:5" s="56" customFormat="1" x14ac:dyDescent="0.2">
      <c r="A121" s="67"/>
      <c r="B121" s="66"/>
      <c r="C121" s="65">
        <f t="shared" si="20"/>
        <v>0</v>
      </c>
      <c r="D121" s="49"/>
      <c r="E121" s="65">
        <f t="shared" si="21"/>
        <v>0</v>
      </c>
    </row>
    <row r="122" spans="1:5" s="56" customFormat="1" x14ac:dyDescent="0.2">
      <c r="A122" s="67"/>
      <c r="B122" s="66"/>
      <c r="C122" s="65">
        <f t="shared" si="20"/>
        <v>0</v>
      </c>
      <c r="D122" s="49"/>
      <c r="E122" s="65">
        <f t="shared" si="21"/>
        <v>0</v>
      </c>
    </row>
    <row r="123" spans="1:5" s="56" customFormat="1" x14ac:dyDescent="0.2">
      <c r="A123" s="67"/>
      <c r="B123" s="66"/>
      <c r="C123" s="65">
        <f t="shared" si="20"/>
        <v>0</v>
      </c>
      <c r="D123" s="49"/>
      <c r="E123" s="65">
        <f t="shared" si="21"/>
        <v>0</v>
      </c>
    </row>
    <row r="124" spans="1:5" s="56" customFormat="1" x14ac:dyDescent="0.2">
      <c r="A124" s="67"/>
      <c r="B124" s="66"/>
      <c r="C124" s="65">
        <f t="shared" si="20"/>
        <v>0</v>
      </c>
      <c r="D124" s="49"/>
      <c r="E124" s="65">
        <f t="shared" si="21"/>
        <v>0</v>
      </c>
    </row>
    <row r="125" spans="1:5" s="56" customFormat="1" x14ac:dyDescent="0.2">
      <c r="A125" s="67"/>
      <c r="B125" s="66"/>
      <c r="C125" s="65">
        <f t="shared" si="20"/>
        <v>0</v>
      </c>
      <c r="D125" s="49"/>
      <c r="E125" s="65">
        <f t="shared" si="21"/>
        <v>0</v>
      </c>
    </row>
    <row r="126" spans="1:5" s="56" customFormat="1" x14ac:dyDescent="0.2">
      <c r="A126" s="67"/>
      <c r="B126" s="66"/>
      <c r="C126" s="65">
        <f t="shared" si="20"/>
        <v>0</v>
      </c>
      <c r="D126" s="49"/>
      <c r="E126" s="65">
        <f t="shared" si="21"/>
        <v>0</v>
      </c>
    </row>
    <row r="127" spans="1:5" s="56" customFormat="1" x14ac:dyDescent="0.2">
      <c r="A127" s="67"/>
      <c r="B127" s="66"/>
      <c r="C127" s="65">
        <f t="shared" si="20"/>
        <v>0</v>
      </c>
      <c r="D127" s="49"/>
      <c r="E127" s="65">
        <f t="shared" si="21"/>
        <v>0</v>
      </c>
    </row>
    <row r="128" spans="1:5" s="56" customFormat="1" x14ac:dyDescent="0.2">
      <c r="A128" s="67"/>
      <c r="B128" s="66"/>
      <c r="C128" s="65">
        <f t="shared" si="20"/>
        <v>0</v>
      </c>
      <c r="D128" s="49"/>
      <c r="E128" s="65">
        <f t="shared" si="21"/>
        <v>0</v>
      </c>
    </row>
    <row r="129" spans="1:5" s="56" customFormat="1" x14ac:dyDescent="0.2">
      <c r="A129" s="67"/>
      <c r="B129" s="66"/>
      <c r="C129" s="65">
        <f t="shared" si="20"/>
        <v>0</v>
      </c>
      <c r="D129" s="49"/>
      <c r="E129" s="65">
        <f t="shared" si="21"/>
        <v>0</v>
      </c>
    </row>
    <row r="130" spans="1:5" s="56" customFormat="1" x14ac:dyDescent="0.2">
      <c r="A130" s="67"/>
      <c r="B130" s="66"/>
      <c r="C130" s="65">
        <f t="shared" si="20"/>
        <v>0</v>
      </c>
      <c r="D130" s="49"/>
      <c r="E130" s="65">
        <f t="shared" si="21"/>
        <v>0</v>
      </c>
    </row>
    <row r="131" spans="1:5" s="56" customFormat="1" x14ac:dyDescent="0.2">
      <c r="A131" s="67"/>
      <c r="B131" s="66"/>
      <c r="C131" s="65">
        <f t="shared" si="20"/>
        <v>0</v>
      </c>
      <c r="D131" s="49"/>
      <c r="E131" s="65">
        <f t="shared" si="21"/>
        <v>0</v>
      </c>
    </row>
    <row r="132" spans="1:5" s="56" customFormat="1" x14ac:dyDescent="0.2">
      <c r="A132" s="67"/>
      <c r="B132" s="66"/>
      <c r="C132" s="65">
        <f t="shared" si="20"/>
        <v>0</v>
      </c>
      <c r="D132" s="49"/>
      <c r="E132" s="65">
        <f t="shared" si="21"/>
        <v>0</v>
      </c>
    </row>
    <row r="133" spans="1:5" s="56" customFormat="1" x14ac:dyDescent="0.2">
      <c r="A133" s="67"/>
      <c r="B133" s="66"/>
      <c r="C133" s="65">
        <f t="shared" si="20"/>
        <v>0</v>
      </c>
      <c r="D133" s="49"/>
      <c r="E133" s="65">
        <f t="shared" si="21"/>
        <v>0</v>
      </c>
    </row>
    <row r="134" spans="1:5" s="56" customFormat="1" x14ac:dyDescent="0.2">
      <c r="A134" s="67"/>
      <c r="B134" s="66"/>
      <c r="C134" s="65">
        <f t="shared" si="20"/>
        <v>0</v>
      </c>
      <c r="D134" s="49"/>
      <c r="E134" s="65">
        <f t="shared" si="21"/>
        <v>0</v>
      </c>
    </row>
    <row r="135" spans="1:5" s="56" customFormat="1" x14ac:dyDescent="0.2">
      <c r="A135" s="67"/>
      <c r="B135" s="66"/>
      <c r="C135" s="65">
        <f t="shared" ref="C135:C166" si="22">E135*D$5</f>
        <v>0</v>
      </c>
      <c r="D135" s="49"/>
      <c r="E135" s="65">
        <f t="shared" si="21"/>
        <v>0</v>
      </c>
    </row>
    <row r="136" spans="1:5" s="56" customFormat="1" x14ac:dyDescent="0.2">
      <c r="A136" s="67"/>
      <c r="B136" s="66"/>
      <c r="C136" s="65">
        <f t="shared" si="22"/>
        <v>0</v>
      </c>
      <c r="D136" s="49"/>
      <c r="E136" s="65">
        <f t="shared" si="21"/>
        <v>0</v>
      </c>
    </row>
    <row r="137" spans="1:5" s="56" customFormat="1" x14ac:dyDescent="0.2">
      <c r="A137" s="67"/>
      <c r="B137" s="66"/>
      <c r="C137" s="65">
        <f t="shared" si="22"/>
        <v>0</v>
      </c>
      <c r="D137" s="49"/>
      <c r="E137" s="65">
        <f t="shared" si="21"/>
        <v>0</v>
      </c>
    </row>
    <row r="138" spans="1:5" s="56" customFormat="1" x14ac:dyDescent="0.2">
      <c r="A138" s="67"/>
      <c r="B138" s="66"/>
      <c r="C138" s="65">
        <f t="shared" si="22"/>
        <v>0</v>
      </c>
      <c r="D138" s="49"/>
      <c r="E138" s="65">
        <f t="shared" si="21"/>
        <v>0</v>
      </c>
    </row>
    <row r="139" spans="1:5" s="56" customFormat="1" x14ac:dyDescent="0.2">
      <c r="A139" s="67"/>
      <c r="B139" s="66"/>
      <c r="C139" s="65">
        <f t="shared" si="22"/>
        <v>0</v>
      </c>
      <c r="D139" s="49"/>
      <c r="E139" s="65">
        <f t="shared" si="21"/>
        <v>0</v>
      </c>
    </row>
    <row r="140" spans="1:5" s="56" customFormat="1" x14ac:dyDescent="0.2">
      <c r="A140" s="67"/>
      <c r="B140" s="66"/>
      <c r="C140" s="65">
        <f t="shared" si="22"/>
        <v>0</v>
      </c>
      <c r="D140" s="49"/>
      <c r="E140" s="65">
        <f t="shared" si="21"/>
        <v>0</v>
      </c>
    </row>
    <row r="141" spans="1:5" s="56" customFormat="1" x14ac:dyDescent="0.2">
      <c r="A141" s="67"/>
      <c r="B141" s="66"/>
      <c r="C141" s="65">
        <f t="shared" si="22"/>
        <v>0</v>
      </c>
      <c r="D141" s="49"/>
      <c r="E141" s="65">
        <f t="shared" si="21"/>
        <v>0</v>
      </c>
    </row>
    <row r="142" spans="1:5" s="56" customFormat="1" x14ac:dyDescent="0.2">
      <c r="A142" s="67"/>
      <c r="B142" s="66"/>
      <c r="C142" s="65">
        <f t="shared" si="22"/>
        <v>0</v>
      </c>
      <c r="D142" s="49"/>
      <c r="E142" s="65">
        <f t="shared" si="21"/>
        <v>0</v>
      </c>
    </row>
    <row r="143" spans="1:5" s="56" customFormat="1" x14ac:dyDescent="0.2">
      <c r="A143" s="67"/>
      <c r="B143" s="66"/>
      <c r="C143" s="65">
        <f t="shared" si="22"/>
        <v>0</v>
      </c>
      <c r="D143" s="49"/>
      <c r="E143" s="65">
        <f t="shared" si="21"/>
        <v>0</v>
      </c>
    </row>
    <row r="144" spans="1:5" s="56" customFormat="1" x14ac:dyDescent="0.2">
      <c r="A144" s="67"/>
      <c r="B144" s="66"/>
      <c r="C144" s="65">
        <f t="shared" si="22"/>
        <v>0</v>
      </c>
      <c r="D144" s="49"/>
      <c r="E144" s="65">
        <f t="shared" si="21"/>
        <v>0</v>
      </c>
    </row>
    <row r="145" spans="1:5" s="56" customFormat="1" x14ac:dyDescent="0.2">
      <c r="A145" s="67"/>
      <c r="B145" s="66"/>
      <c r="C145" s="65">
        <f t="shared" si="22"/>
        <v>0</v>
      </c>
      <c r="D145" s="49"/>
      <c r="E145" s="65">
        <f t="shared" si="21"/>
        <v>0</v>
      </c>
    </row>
    <row r="146" spans="1:5" s="56" customFormat="1" x14ac:dyDescent="0.2">
      <c r="A146" s="67"/>
      <c r="B146" s="66"/>
      <c r="C146" s="65">
        <f t="shared" si="22"/>
        <v>0</v>
      </c>
      <c r="D146" s="49"/>
      <c r="E146" s="65">
        <f t="shared" si="21"/>
        <v>0</v>
      </c>
    </row>
    <row r="147" spans="1:5" s="56" customFormat="1" x14ac:dyDescent="0.2">
      <c r="A147" s="67"/>
      <c r="B147" s="66"/>
      <c r="C147" s="65">
        <f t="shared" si="22"/>
        <v>0</v>
      </c>
      <c r="D147" s="49"/>
      <c r="E147" s="65">
        <f t="shared" si="21"/>
        <v>0</v>
      </c>
    </row>
    <row r="148" spans="1:5" s="56" customFormat="1" x14ac:dyDescent="0.2">
      <c r="A148" s="67"/>
      <c r="B148" s="66"/>
      <c r="C148" s="65">
        <f t="shared" si="22"/>
        <v>0</v>
      </c>
      <c r="D148" s="49"/>
      <c r="E148" s="65">
        <f t="shared" ref="E148:E177" si="23">SUM(G148:HF148)</f>
        <v>0</v>
      </c>
    </row>
    <row r="149" spans="1:5" s="56" customFormat="1" x14ac:dyDescent="0.2">
      <c r="A149" s="67"/>
      <c r="B149" s="66"/>
      <c r="C149" s="65">
        <f t="shared" si="22"/>
        <v>0</v>
      </c>
      <c r="D149" s="49"/>
      <c r="E149" s="65">
        <f t="shared" si="23"/>
        <v>0</v>
      </c>
    </row>
    <row r="150" spans="1:5" s="56" customFormat="1" x14ac:dyDescent="0.2">
      <c r="A150" s="67"/>
      <c r="B150" s="66"/>
      <c r="C150" s="65">
        <f t="shared" si="22"/>
        <v>0</v>
      </c>
      <c r="D150" s="49"/>
      <c r="E150" s="65">
        <f t="shared" si="23"/>
        <v>0</v>
      </c>
    </row>
    <row r="151" spans="1:5" s="56" customFormat="1" x14ac:dyDescent="0.2">
      <c r="A151" s="67"/>
      <c r="B151" s="66"/>
      <c r="C151" s="65">
        <f t="shared" si="22"/>
        <v>0</v>
      </c>
      <c r="D151" s="49"/>
      <c r="E151" s="65">
        <f t="shared" si="23"/>
        <v>0</v>
      </c>
    </row>
    <row r="152" spans="1:5" s="56" customFormat="1" x14ac:dyDescent="0.2">
      <c r="A152" s="67"/>
      <c r="B152" s="66"/>
      <c r="C152" s="65">
        <f t="shared" si="22"/>
        <v>0</v>
      </c>
      <c r="D152" s="49"/>
      <c r="E152" s="65">
        <f t="shared" si="23"/>
        <v>0</v>
      </c>
    </row>
    <row r="153" spans="1:5" s="56" customFormat="1" x14ac:dyDescent="0.2">
      <c r="A153" s="67"/>
      <c r="B153" s="66"/>
      <c r="C153" s="65">
        <f t="shared" si="22"/>
        <v>0</v>
      </c>
      <c r="D153" s="49"/>
      <c r="E153" s="65">
        <f t="shared" si="23"/>
        <v>0</v>
      </c>
    </row>
    <row r="154" spans="1:5" s="56" customFormat="1" x14ac:dyDescent="0.2">
      <c r="A154" s="67"/>
      <c r="B154" s="66"/>
      <c r="C154" s="65">
        <f t="shared" si="22"/>
        <v>0</v>
      </c>
      <c r="D154" s="49"/>
      <c r="E154" s="65">
        <f t="shared" si="23"/>
        <v>0</v>
      </c>
    </row>
    <row r="155" spans="1:5" s="56" customFormat="1" x14ac:dyDescent="0.2">
      <c r="A155" s="67"/>
      <c r="B155" s="66"/>
      <c r="C155" s="65">
        <f t="shared" si="22"/>
        <v>0</v>
      </c>
      <c r="D155" s="49"/>
      <c r="E155" s="65">
        <f t="shared" si="23"/>
        <v>0</v>
      </c>
    </row>
    <row r="156" spans="1:5" s="56" customFormat="1" x14ac:dyDescent="0.2">
      <c r="A156" s="67"/>
      <c r="B156" s="66"/>
      <c r="C156" s="65">
        <f t="shared" si="22"/>
        <v>0</v>
      </c>
      <c r="D156" s="49"/>
      <c r="E156" s="65">
        <f t="shared" si="23"/>
        <v>0</v>
      </c>
    </row>
    <row r="157" spans="1:5" s="56" customFormat="1" x14ac:dyDescent="0.2">
      <c r="A157" s="67"/>
      <c r="B157" s="66"/>
      <c r="C157" s="65">
        <f t="shared" si="22"/>
        <v>0</v>
      </c>
      <c r="D157" s="49"/>
      <c r="E157" s="65">
        <f t="shared" si="23"/>
        <v>0</v>
      </c>
    </row>
    <row r="158" spans="1:5" s="56" customFormat="1" x14ac:dyDescent="0.2">
      <c r="A158" s="67"/>
      <c r="B158" s="66"/>
      <c r="C158" s="65">
        <f t="shared" si="22"/>
        <v>0</v>
      </c>
      <c r="D158" s="49"/>
      <c r="E158" s="65">
        <f t="shared" si="23"/>
        <v>0</v>
      </c>
    </row>
    <row r="159" spans="1:5" s="56" customFormat="1" x14ac:dyDescent="0.2">
      <c r="A159" s="67"/>
      <c r="B159" s="66"/>
      <c r="C159" s="65">
        <f t="shared" si="22"/>
        <v>0</v>
      </c>
      <c r="D159" s="49"/>
      <c r="E159" s="65">
        <f t="shared" si="23"/>
        <v>0</v>
      </c>
    </row>
    <row r="160" spans="1:5" s="56" customFormat="1" x14ac:dyDescent="0.2">
      <c r="A160" s="67"/>
      <c r="B160" s="66"/>
      <c r="C160" s="65">
        <f t="shared" si="22"/>
        <v>0</v>
      </c>
      <c r="D160" s="49"/>
      <c r="E160" s="65">
        <f t="shared" si="23"/>
        <v>0</v>
      </c>
    </row>
    <row r="161" spans="1:5" s="56" customFormat="1" x14ac:dyDescent="0.2">
      <c r="A161" s="67"/>
      <c r="B161" s="66"/>
      <c r="C161" s="65">
        <f t="shared" si="22"/>
        <v>0</v>
      </c>
      <c r="D161" s="49"/>
      <c r="E161" s="65">
        <f t="shared" si="23"/>
        <v>0</v>
      </c>
    </row>
    <row r="162" spans="1:5" s="56" customFormat="1" x14ac:dyDescent="0.2">
      <c r="A162" s="67"/>
      <c r="B162" s="66"/>
      <c r="C162" s="65">
        <f t="shared" si="22"/>
        <v>0</v>
      </c>
      <c r="D162" s="49"/>
      <c r="E162" s="65">
        <f t="shared" si="23"/>
        <v>0</v>
      </c>
    </row>
    <row r="163" spans="1:5" s="56" customFormat="1" x14ac:dyDescent="0.2">
      <c r="A163" s="67"/>
      <c r="B163" s="66"/>
      <c r="C163" s="65">
        <f t="shared" si="22"/>
        <v>0</v>
      </c>
      <c r="D163" s="49"/>
      <c r="E163" s="65">
        <f t="shared" si="23"/>
        <v>0</v>
      </c>
    </row>
    <row r="164" spans="1:5" s="56" customFormat="1" x14ac:dyDescent="0.2">
      <c r="A164" s="67"/>
      <c r="B164" s="66"/>
      <c r="C164" s="65">
        <f t="shared" si="22"/>
        <v>0</v>
      </c>
      <c r="D164" s="49"/>
      <c r="E164" s="65">
        <f t="shared" si="23"/>
        <v>0</v>
      </c>
    </row>
    <row r="165" spans="1:5" s="56" customFormat="1" x14ac:dyDescent="0.2">
      <c r="A165" s="67"/>
      <c r="B165" s="66"/>
      <c r="C165" s="65">
        <f t="shared" si="22"/>
        <v>0</v>
      </c>
      <c r="D165" s="49"/>
      <c r="E165" s="65">
        <f t="shared" si="23"/>
        <v>0</v>
      </c>
    </row>
    <row r="166" spans="1:5" s="56" customFormat="1" x14ac:dyDescent="0.2">
      <c r="A166" s="67"/>
      <c r="B166" s="66"/>
      <c r="C166" s="65">
        <f t="shared" si="22"/>
        <v>0</v>
      </c>
      <c r="D166" s="49"/>
      <c r="E166" s="65">
        <f t="shared" si="23"/>
        <v>0</v>
      </c>
    </row>
    <row r="167" spans="1:5" s="56" customFormat="1" x14ac:dyDescent="0.2">
      <c r="A167" s="67"/>
      <c r="B167" s="66"/>
      <c r="C167" s="65">
        <f t="shared" ref="C167:C177" si="24">E167*D$5</f>
        <v>0</v>
      </c>
      <c r="D167" s="49"/>
      <c r="E167" s="65">
        <f t="shared" si="23"/>
        <v>0</v>
      </c>
    </row>
    <row r="168" spans="1:5" s="56" customFormat="1" x14ac:dyDescent="0.2">
      <c r="A168" s="67"/>
      <c r="B168" s="66"/>
      <c r="C168" s="65">
        <f t="shared" si="24"/>
        <v>0</v>
      </c>
      <c r="D168" s="49"/>
      <c r="E168" s="65">
        <f t="shared" si="23"/>
        <v>0</v>
      </c>
    </row>
    <row r="169" spans="1:5" s="56" customFormat="1" x14ac:dyDescent="0.2">
      <c r="A169" s="67"/>
      <c r="B169" s="66"/>
      <c r="C169" s="65">
        <f t="shared" si="24"/>
        <v>0</v>
      </c>
      <c r="D169" s="49"/>
      <c r="E169" s="65">
        <f t="shared" si="23"/>
        <v>0</v>
      </c>
    </row>
    <row r="170" spans="1:5" s="56" customFormat="1" x14ac:dyDescent="0.2">
      <c r="A170" s="67"/>
      <c r="B170" s="66"/>
      <c r="C170" s="65">
        <f t="shared" si="24"/>
        <v>0</v>
      </c>
      <c r="D170" s="49"/>
      <c r="E170" s="65">
        <f t="shared" si="23"/>
        <v>0</v>
      </c>
    </row>
    <row r="171" spans="1:5" s="56" customFormat="1" x14ac:dyDescent="0.2">
      <c r="A171" s="67"/>
      <c r="B171" s="66"/>
      <c r="C171" s="65">
        <f t="shared" si="24"/>
        <v>0</v>
      </c>
      <c r="D171" s="49"/>
      <c r="E171" s="65">
        <f t="shared" si="23"/>
        <v>0</v>
      </c>
    </row>
    <row r="172" spans="1:5" s="56" customFormat="1" x14ac:dyDescent="0.2">
      <c r="A172" s="67"/>
      <c r="B172" s="66"/>
      <c r="C172" s="65">
        <f t="shared" si="24"/>
        <v>0</v>
      </c>
      <c r="D172" s="49"/>
      <c r="E172" s="65">
        <f t="shared" si="23"/>
        <v>0</v>
      </c>
    </row>
    <row r="173" spans="1:5" s="56" customFormat="1" x14ac:dyDescent="0.2">
      <c r="A173" s="67"/>
      <c r="B173" s="66"/>
      <c r="C173" s="65">
        <f t="shared" si="24"/>
        <v>0</v>
      </c>
      <c r="D173" s="49"/>
      <c r="E173" s="65">
        <f t="shared" si="23"/>
        <v>0</v>
      </c>
    </row>
    <row r="174" spans="1:5" s="56" customFormat="1" x14ac:dyDescent="0.2">
      <c r="A174" s="67"/>
      <c r="B174" s="66"/>
      <c r="C174" s="65">
        <f t="shared" si="24"/>
        <v>0</v>
      </c>
      <c r="D174" s="49"/>
      <c r="E174" s="65">
        <f t="shared" si="23"/>
        <v>0</v>
      </c>
    </row>
    <row r="175" spans="1:5" s="56" customFormat="1" x14ac:dyDescent="0.2">
      <c r="A175" s="67"/>
      <c r="B175" s="66"/>
      <c r="C175" s="65">
        <f t="shared" si="24"/>
        <v>0</v>
      </c>
      <c r="D175" s="49"/>
      <c r="E175" s="65">
        <f t="shared" si="23"/>
        <v>0</v>
      </c>
    </row>
    <row r="176" spans="1:5" s="56" customFormat="1" x14ac:dyDescent="0.2">
      <c r="A176" s="67"/>
      <c r="B176" s="66"/>
      <c r="C176" s="65">
        <f t="shared" si="24"/>
        <v>0</v>
      </c>
      <c r="D176" s="49"/>
      <c r="E176" s="65">
        <f t="shared" si="23"/>
        <v>0</v>
      </c>
    </row>
    <row r="177" spans="1:29" s="56" customFormat="1" x14ac:dyDescent="0.2">
      <c r="A177" s="67"/>
      <c r="B177" s="66"/>
      <c r="C177" s="65">
        <f t="shared" si="24"/>
        <v>0</v>
      </c>
      <c r="D177" s="49"/>
      <c r="E177" s="65">
        <f t="shared" si="23"/>
        <v>0</v>
      </c>
    </row>
    <row r="178" spans="1:29" s="58" customFormat="1" x14ac:dyDescent="0.2">
      <c r="A178" s="63"/>
      <c r="B178" s="62"/>
      <c r="C178" s="61"/>
      <c r="D178" s="60"/>
      <c r="E178" s="59"/>
      <c r="U178" s="56"/>
      <c r="AB178" s="56"/>
      <c r="AC178" s="56"/>
    </row>
    <row r="179" spans="1:29" s="55" customFormat="1" x14ac:dyDescent="0.2">
      <c r="A179" s="54"/>
      <c r="B179" s="53"/>
      <c r="C179" s="52"/>
      <c r="D179" s="51"/>
      <c r="E179" s="50"/>
      <c r="U179" s="56"/>
      <c r="AB179" s="56"/>
      <c r="AC179" s="56"/>
    </row>
    <row r="180" spans="1:29" x14ac:dyDescent="0.2">
      <c r="A180" s="54"/>
      <c r="B180" s="53"/>
      <c r="C180" s="52"/>
      <c r="D180" s="51"/>
      <c r="E180" s="50"/>
      <c r="U180" s="56"/>
      <c r="AB180" s="56"/>
      <c r="AC180" s="56"/>
    </row>
    <row r="181" spans="1:29" x14ac:dyDescent="0.2">
      <c r="U181" s="58"/>
      <c r="AB181" s="58"/>
      <c r="AC181" s="58"/>
    </row>
    <row r="182" spans="1:29" x14ac:dyDescent="0.2">
      <c r="U182" s="55"/>
      <c r="AB182" s="55"/>
      <c r="AC182" s="55"/>
    </row>
  </sheetData>
  <mergeCells count="179">
    <mergeCell ref="FH7:FH8"/>
    <mergeCell ref="FK7:FK8"/>
    <mergeCell ref="CD7:CD8"/>
    <mergeCell ref="EE7:EE8"/>
    <mergeCell ref="FM7:FM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 ref="DZ7:DZ8"/>
    <mergeCell ref="BS7:BS8"/>
    <mergeCell ref="EJ7:EJ8"/>
    <mergeCell ref="BU7:BU8"/>
    <mergeCell ref="E4:F4"/>
    <mergeCell ref="FL7:FL8"/>
    <mergeCell ref="W7:W8"/>
    <mergeCell ref="ET7:ET8"/>
    <mergeCell ref="EV7:EV8"/>
    <mergeCell ref="EA7:EA8"/>
    <mergeCell ref="DJ7:DJ8"/>
    <mergeCell ref="BT7:BT8"/>
    <mergeCell ref="DL7:DL8"/>
    <mergeCell ref="DD7:DD8"/>
    <mergeCell ref="DF7:DF8"/>
    <mergeCell ref="EQ7:EQ8"/>
    <mergeCell ref="FI7:FI8"/>
    <mergeCell ref="FA7:FA8"/>
    <mergeCell ref="FC7:FC8"/>
    <mergeCell ref="EN7:EN8"/>
    <mergeCell ref="DK7:DK8"/>
    <mergeCell ref="DM7:DM8"/>
    <mergeCell ref="AQ7:AQ8"/>
    <mergeCell ref="BY7:BY8"/>
    <mergeCell ref="ER7:ER8"/>
    <mergeCell ref="CS7:CS8"/>
    <mergeCell ref="FJ7:FJ8"/>
    <mergeCell ref="DE7:DE8"/>
    <mergeCell ref="X7:X8"/>
    <mergeCell ref="C6:C7"/>
    <mergeCell ref="BF7:BF8"/>
    <mergeCell ref="BH7:BH8"/>
    <mergeCell ref="E3:F3"/>
    <mergeCell ref="DY7:DY8"/>
    <mergeCell ref="B5:C5"/>
    <mergeCell ref="DW7:DW8"/>
    <mergeCell ref="AR7:AR8"/>
    <mergeCell ref="EI7:EI8"/>
    <mergeCell ref="ED7:ED8"/>
    <mergeCell ref="D6:D7"/>
    <mergeCell ref="AO7:AO8"/>
    <mergeCell ref="B4:C4"/>
    <mergeCell ref="B6:B8"/>
    <mergeCell ref="Z7:Z8"/>
    <mergeCell ref="CQ7:CQ8"/>
    <mergeCell ref="BM7:BM8"/>
    <mergeCell ref="AZ7:AZ8"/>
    <mergeCell ref="E6:E7"/>
    <mergeCell ref="DQ7:DQ8"/>
    <mergeCell ref="J7:J8"/>
    <mergeCell ref="H7:H8"/>
    <mergeCell ref="BJ7:BJ8"/>
    <mergeCell ref="AB7:AB8"/>
    <mergeCell ref="AI7:AI8"/>
    <mergeCell ref="Y7:Y8"/>
    <mergeCell ref="EH7:EH8"/>
    <mergeCell ref="CZ7:CZ8"/>
    <mergeCell ref="AA7:AA8"/>
    <mergeCell ref="CR7:CR8"/>
    <mergeCell ref="AS7:AS8"/>
    <mergeCell ref="AU7:AU8"/>
    <mergeCell ref="F6:F8"/>
    <mergeCell ref="CC7:CC8"/>
    <mergeCell ref="CW7:CW8"/>
    <mergeCell ref="CO7:CO8"/>
    <mergeCell ref="DI7:DI8"/>
    <mergeCell ref="AY7:AY8"/>
    <mergeCell ref="BL7:BL8"/>
    <mergeCell ref="EC7:EC8"/>
    <mergeCell ref="EG7:EG8"/>
    <mergeCell ref="A2:A6"/>
    <mergeCell ref="E5:F5"/>
    <mergeCell ref="G7:G8"/>
    <mergeCell ref="DP7:DP8"/>
    <mergeCell ref="I7:I8"/>
    <mergeCell ref="BI7:BI8"/>
    <mergeCell ref="S7:S8"/>
    <mergeCell ref="EB7:EB8"/>
    <mergeCell ref="U7:U8"/>
    <mergeCell ref="AD7:AD8"/>
    <mergeCell ref="CU7:CU8"/>
    <mergeCell ref="DR7:DR8"/>
    <mergeCell ref="BK7:BK8"/>
    <mergeCell ref="DO7:DO8"/>
    <mergeCell ref="BQ7:BQ8"/>
    <mergeCell ref="DA7:DA8"/>
    <mergeCell ref="L7:L8"/>
    <mergeCell ref="DU7:DU8"/>
    <mergeCell ref="N7:N8"/>
    <mergeCell ref="BN7:BN8"/>
    <mergeCell ref="BP7:BP8"/>
    <mergeCell ref="BZ7:BZ8"/>
    <mergeCell ref="CB7:CB8"/>
    <mergeCell ref="R7:R8"/>
    <mergeCell ref="B3:C3"/>
    <mergeCell ref="AJ7:AJ8"/>
    <mergeCell ref="CK7:CK8"/>
    <mergeCell ref="AL7:AL8"/>
    <mergeCell ref="DC7:DC8"/>
    <mergeCell ref="CN7:CN8"/>
    <mergeCell ref="AX7:AX8"/>
    <mergeCell ref="DB7:DB8"/>
    <mergeCell ref="CL7:CL8"/>
    <mergeCell ref="AG7:AG8"/>
    <mergeCell ref="BV7:BV8"/>
    <mergeCell ref="BE7:BE8"/>
    <mergeCell ref="BG7:BG8"/>
    <mergeCell ref="D2:D4"/>
    <mergeCell ref="AH7:AH8"/>
    <mergeCell ref="BB7:BB8"/>
    <mergeCell ref="CJ7:CJ8"/>
    <mergeCell ref="BD7:BD8"/>
    <mergeCell ref="AT7:AT8"/>
    <mergeCell ref="AV7:AV8"/>
    <mergeCell ref="CP7:CP8"/>
    <mergeCell ref="BO7:BO8"/>
    <mergeCell ref="CI7:CI8"/>
    <mergeCell ref="B2:C2"/>
    <mergeCell ref="BR7:BR8"/>
    <mergeCell ref="BA7:BA8"/>
    <mergeCell ref="BC7:BC8"/>
    <mergeCell ref="EK7:EK8"/>
    <mergeCell ref="EM7:EM8"/>
    <mergeCell ref="FE7:FE8"/>
    <mergeCell ref="EW7:EW8"/>
    <mergeCell ref="FG7:FG8"/>
    <mergeCell ref="EY7:EY8"/>
    <mergeCell ref="EP7:EP8"/>
    <mergeCell ref="FB7:FB8"/>
    <mergeCell ref="FD7:FD8"/>
    <mergeCell ref="CT7:CT8"/>
    <mergeCell ref="BW7:BW8"/>
    <mergeCell ref="CF7:CF8"/>
    <mergeCell ref="EF7:EF8"/>
    <mergeCell ref="ES7:ES8"/>
    <mergeCell ref="EU7:EU8"/>
    <mergeCell ref="DT7:DT8"/>
    <mergeCell ref="M7:M8"/>
    <mergeCell ref="DV7:DV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O7:O8"/>
    <mergeCell ref="DX7:DX8"/>
    <mergeCell ref="Q7:Q8"/>
    <mergeCell ref="CG7:CG8"/>
    <mergeCell ref="EX7:EX8"/>
    <mergeCell ref="EZ7:EZ8"/>
    <mergeCell ref="DH7:DH8"/>
  </mergeCell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C212"/>
  <sheetViews>
    <sheetView zoomScaleNormal="120" workbookViewId="0">
      <pane xSplit="6" topLeftCell="G1" activePane="topRight" state="frozen"/>
      <selection pane="topRight" activeCell="G20" sqref="G20"/>
    </sheetView>
  </sheetViews>
  <sheetFormatPr defaultColWidth="14.42578125" defaultRowHeight="12.75" x14ac:dyDescent="0.2"/>
  <cols>
    <col min="1" max="1" width="20.140625" style="48" customWidth="1"/>
    <col min="2" max="2" width="9" style="47" customWidth="1"/>
    <col min="3" max="3" width="17.28515625" style="46" customWidth="1"/>
    <col min="4" max="4" width="38.140625" style="45" bestFit="1" customWidth="1"/>
    <col min="5" max="5" width="15" style="44" customWidth="1"/>
    <col min="6" max="6" width="5.140625" style="42" customWidth="1"/>
    <col min="7" max="7" width="14.42578125" style="42" customWidth="1"/>
    <col min="8" max="10" width="11.5703125" style="42" bestFit="1" customWidth="1"/>
    <col min="11" max="11" width="14.140625" style="42" bestFit="1" customWidth="1"/>
    <col min="12" max="12" width="20.42578125" style="42" bestFit="1" customWidth="1"/>
    <col min="13" max="14" width="12.5703125" style="42" bestFit="1" customWidth="1"/>
    <col min="15" max="15" width="11.5703125" style="42" bestFit="1" customWidth="1"/>
    <col min="16" max="16" width="14.140625" style="42" bestFit="1" customWidth="1"/>
    <col min="17" max="17" width="24.140625" style="42" bestFit="1" customWidth="1"/>
    <col min="18" max="18" width="11.5703125" style="42" bestFit="1" customWidth="1"/>
    <col min="19" max="19" width="12.5703125" style="42" bestFit="1" customWidth="1"/>
    <col min="20" max="20" width="14.140625" style="42" bestFit="1" customWidth="1"/>
    <col min="21" max="26" width="11.5703125" style="42" bestFit="1" customWidth="1"/>
    <col min="27" max="28" width="11.5703125" style="139" bestFit="1" customWidth="1"/>
    <col min="29" max="29" width="14.140625" style="139" bestFit="1" customWidth="1"/>
    <col min="30" max="30" width="20.42578125" style="139" bestFit="1" customWidth="1"/>
    <col min="31" max="31" width="11.5703125" style="139" bestFit="1" customWidth="1"/>
    <col min="32" max="32" width="12.5703125" style="139" bestFit="1" customWidth="1"/>
    <col min="33" max="33" width="11.5703125" style="139" bestFit="1" customWidth="1"/>
    <col min="34" max="34" width="14.140625" style="42" bestFit="1" customWidth="1"/>
    <col min="35" max="35" width="12.5703125" style="139" bestFit="1" customWidth="1"/>
    <col min="36" max="36" width="11.5703125" style="42" bestFit="1" customWidth="1"/>
    <col min="37" max="37" width="11.5703125" style="139" bestFit="1" customWidth="1"/>
    <col min="38" max="38" width="21.5703125" style="42" bestFit="1" customWidth="1"/>
    <col min="39" max="39" width="11.85546875" style="42" bestFit="1" customWidth="1"/>
    <col min="40" max="40" width="21.5703125" style="42" bestFit="1" customWidth="1"/>
    <col min="41" max="41" width="26" style="42" bestFit="1" customWidth="1"/>
    <col min="42" max="42" width="13.5703125" style="42" bestFit="1" customWidth="1"/>
    <col min="43" max="43" width="14.7109375" style="42" bestFit="1" customWidth="1"/>
    <col min="44" max="45" width="21.5703125" style="42" bestFit="1" customWidth="1"/>
    <col min="46" max="46" width="34" style="42" bestFit="1" customWidth="1"/>
    <col min="47" max="47" width="13.5703125" style="42" bestFit="1" customWidth="1"/>
    <col min="48" max="49" width="11.85546875" style="42" bestFit="1" customWidth="1"/>
    <col min="50" max="50" width="11.5703125" style="42" bestFit="1" customWidth="1"/>
    <col min="51" max="176" width="14.42578125" style="42" customWidth="1"/>
    <col min="177" max="177" width="3" style="43" customWidth="1"/>
    <col min="178" max="180" width="14.42578125" style="42" customWidth="1"/>
    <col min="181" max="16384" width="14.42578125" style="42"/>
  </cols>
  <sheetData>
    <row r="1" spans="1:177" ht="13.5" customHeight="1" thickBot="1" x14ac:dyDescent="0.3">
      <c r="E1" s="530" t="s">
        <v>221</v>
      </c>
      <c r="F1" s="495"/>
      <c r="G1" s="90"/>
      <c r="H1" s="304" t="s">
        <v>981</v>
      </c>
      <c r="I1" s="304" t="s">
        <v>969</v>
      </c>
      <c r="J1" s="304" t="s">
        <v>1274</v>
      </c>
      <c r="K1" s="305" t="s">
        <v>2506</v>
      </c>
      <c r="L1" s="305" t="s">
        <v>82</v>
      </c>
      <c r="M1" s="305" t="s">
        <v>2430</v>
      </c>
      <c r="N1" s="170" t="s">
        <v>2430</v>
      </c>
      <c r="O1" s="170" t="s">
        <v>2619</v>
      </c>
      <c r="P1" s="170" t="s">
        <v>2506</v>
      </c>
      <c r="Q1" s="170" t="s">
        <v>2827</v>
      </c>
      <c r="R1" s="170" t="s">
        <v>1623</v>
      </c>
      <c r="S1" s="170" t="s">
        <v>2430</v>
      </c>
      <c r="T1" s="170" t="s">
        <v>2506</v>
      </c>
      <c r="U1" s="170" t="s">
        <v>1623</v>
      </c>
      <c r="V1" s="170" t="s">
        <v>1623</v>
      </c>
      <c r="W1" s="170" t="s">
        <v>1623</v>
      </c>
      <c r="X1" s="170" t="s">
        <v>969</v>
      </c>
      <c r="Y1" s="170" t="s">
        <v>2619</v>
      </c>
      <c r="Z1" s="170" t="s">
        <v>1623</v>
      </c>
      <c r="AA1" s="170" t="s">
        <v>1623</v>
      </c>
      <c r="AB1" s="170" t="s">
        <v>1623</v>
      </c>
      <c r="AC1" s="170" t="s">
        <v>2506</v>
      </c>
      <c r="AD1" s="170" t="s">
        <v>82</v>
      </c>
      <c r="AE1" s="170" t="s">
        <v>1623</v>
      </c>
      <c r="AF1" s="170" t="s">
        <v>2430</v>
      </c>
      <c r="AG1" s="170" t="s">
        <v>3392</v>
      </c>
      <c r="AH1" s="170" t="s">
        <v>2506</v>
      </c>
      <c r="AI1" s="170" t="s">
        <v>2430</v>
      </c>
      <c r="AJ1" s="170" t="s">
        <v>1623</v>
      </c>
      <c r="AK1" s="170" t="s">
        <v>1274</v>
      </c>
      <c r="AL1" s="139" t="s">
        <v>82</v>
      </c>
      <c r="AM1" s="139" t="s">
        <v>1623</v>
      </c>
      <c r="AN1" s="139" t="s">
        <v>82</v>
      </c>
      <c r="AO1" s="139" t="s">
        <v>2827</v>
      </c>
      <c r="AP1" s="139" t="s">
        <v>3622</v>
      </c>
      <c r="AQ1" s="139" t="s">
        <v>2506</v>
      </c>
      <c r="AR1" s="139" t="s">
        <v>82</v>
      </c>
      <c r="AS1" s="139" t="s">
        <v>82</v>
      </c>
      <c r="AT1" s="139" t="s">
        <v>3925</v>
      </c>
      <c r="AU1" s="139" t="s">
        <v>2430</v>
      </c>
      <c r="AV1" s="139" t="s">
        <v>1623</v>
      </c>
      <c r="AW1" s="139" t="s">
        <v>1623</v>
      </c>
      <c r="AX1" s="139" t="s">
        <v>1274</v>
      </c>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4348</v>
      </c>
      <c r="B2" s="551" t="s">
        <v>4144</v>
      </c>
      <c r="C2" s="542"/>
      <c r="D2" s="531" t="s">
        <v>93</v>
      </c>
      <c r="E2" s="558" t="s">
        <v>4146</v>
      </c>
      <c r="F2" s="540"/>
      <c r="G2" s="90"/>
      <c r="H2" s="302" t="s">
        <v>980</v>
      </c>
      <c r="I2" s="434" t="s">
        <v>2137</v>
      </c>
      <c r="J2" s="434" t="s">
        <v>2487</v>
      </c>
      <c r="K2" s="446" t="s">
        <v>2523</v>
      </c>
      <c r="L2" s="446" t="s">
        <v>2535</v>
      </c>
      <c r="M2" s="446" t="s">
        <v>2550</v>
      </c>
      <c r="N2" s="435" t="s">
        <v>2565</v>
      </c>
      <c r="O2" s="171" t="s">
        <v>2618</v>
      </c>
      <c r="P2" s="435" t="s">
        <v>2814</v>
      </c>
      <c r="Q2" s="435" t="s">
        <v>2826</v>
      </c>
      <c r="R2" s="171" t="s">
        <v>2875</v>
      </c>
      <c r="S2" s="435" t="s">
        <v>2921</v>
      </c>
      <c r="T2" s="435" t="s">
        <v>2942</v>
      </c>
      <c r="U2" s="171" t="s">
        <v>3020</v>
      </c>
      <c r="V2" s="171" t="s">
        <v>3024</v>
      </c>
      <c r="W2" s="171" t="s">
        <v>3030</v>
      </c>
      <c r="X2" s="435" t="s">
        <v>3038</v>
      </c>
      <c r="Y2" s="171" t="s">
        <v>3057</v>
      </c>
      <c r="Z2" s="171" t="s">
        <v>3094</v>
      </c>
      <c r="AA2" s="171" t="s">
        <v>3101</v>
      </c>
      <c r="AB2" s="171" t="s">
        <v>3126</v>
      </c>
      <c r="AC2" s="435" t="s">
        <v>3317</v>
      </c>
      <c r="AD2" s="435" t="s">
        <v>3349</v>
      </c>
      <c r="AE2" s="171" t="s">
        <v>3353</v>
      </c>
      <c r="AF2" s="435" t="s">
        <v>3386</v>
      </c>
      <c r="AG2" s="435" t="s">
        <v>3391</v>
      </c>
      <c r="AH2" s="435" t="s">
        <v>3397</v>
      </c>
      <c r="AI2" s="435" t="s">
        <v>3402</v>
      </c>
      <c r="AJ2" s="171" t="s">
        <v>3490</v>
      </c>
      <c r="AK2" s="171" t="s">
        <v>3512</v>
      </c>
      <c r="AL2" s="140" t="s">
        <v>3562</v>
      </c>
      <c r="AM2" s="140" t="s">
        <v>3572</v>
      </c>
      <c r="AN2" s="140" t="s">
        <v>3577</v>
      </c>
      <c r="AO2" s="443" t="s">
        <v>3583</v>
      </c>
      <c r="AP2" s="140" t="s">
        <v>3621</v>
      </c>
      <c r="AQ2" s="443" t="s">
        <v>3695</v>
      </c>
      <c r="AR2" s="443" t="s">
        <v>3700</v>
      </c>
      <c r="AS2" s="443" t="s">
        <v>3786</v>
      </c>
      <c r="AT2" s="443" t="s">
        <v>3924</v>
      </c>
      <c r="AU2" s="443" t="s">
        <v>3942</v>
      </c>
      <c r="AV2" s="443" t="s">
        <v>3964</v>
      </c>
      <c r="AW2" s="443" t="s">
        <v>3969</v>
      </c>
      <c r="AX2" s="443" t="s">
        <v>4023</v>
      </c>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40" t="s">
        <v>4338</v>
      </c>
      <c r="I3" s="40" t="s">
        <v>4150</v>
      </c>
      <c r="J3" s="40" t="s">
        <v>4349</v>
      </c>
      <c r="K3" s="40" t="s">
        <v>4350</v>
      </c>
      <c r="L3" s="40" t="s">
        <v>4351</v>
      </c>
      <c r="M3" s="40" t="s">
        <v>4153</v>
      </c>
      <c r="N3" s="40" t="s">
        <v>4352</v>
      </c>
      <c r="O3" s="40" t="s">
        <v>4353</v>
      </c>
      <c r="P3" s="40" t="s">
        <v>4354</v>
      </c>
      <c r="Q3" s="40" t="s">
        <v>4355</v>
      </c>
      <c r="R3" s="40" t="s">
        <v>4356</v>
      </c>
      <c r="S3" s="40" t="s">
        <v>4357</v>
      </c>
      <c r="T3" s="40" t="s">
        <v>4358</v>
      </c>
      <c r="U3" s="40" t="s">
        <v>4359</v>
      </c>
      <c r="V3" s="40" t="s">
        <v>4360</v>
      </c>
      <c r="W3" s="40" t="s">
        <v>4361</v>
      </c>
      <c r="X3" s="171" t="s">
        <v>4239</v>
      </c>
      <c r="Y3" s="171" t="s">
        <v>4362</v>
      </c>
      <c r="Z3" s="40" t="s">
        <v>4363</v>
      </c>
      <c r="AA3" s="40" t="s">
        <v>4364</v>
      </c>
      <c r="AB3" s="40" t="s">
        <v>4365</v>
      </c>
      <c r="AC3" s="40" t="s">
        <v>4167</v>
      </c>
      <c r="AD3" s="40" t="s">
        <v>4366</v>
      </c>
      <c r="AE3" s="40" t="s">
        <v>4367</v>
      </c>
      <c r="AF3" s="40" t="s">
        <v>4368</v>
      </c>
      <c r="AG3" s="40" t="s">
        <v>4369</v>
      </c>
      <c r="AH3" s="171" t="s">
        <v>4370</v>
      </c>
      <c r="AI3" s="39" t="s">
        <v>4371</v>
      </c>
      <c r="AJ3" s="171" t="s">
        <v>4372</v>
      </c>
      <c r="AK3" s="171" t="s">
        <v>4373</v>
      </c>
      <c r="AL3" s="151" t="s">
        <v>4374</v>
      </c>
      <c r="AM3" s="151" t="s">
        <v>4375</v>
      </c>
      <c r="AN3" s="140" t="s">
        <v>4376</v>
      </c>
      <c r="AO3" s="140" t="s">
        <v>4377</v>
      </c>
      <c r="AP3" s="140" t="s">
        <v>4378</v>
      </c>
      <c r="AQ3" s="140" t="s">
        <v>4379</v>
      </c>
      <c r="AR3" s="140" t="s">
        <v>4175</v>
      </c>
      <c r="AS3" s="140" t="s">
        <v>4380</v>
      </c>
      <c r="AT3" s="140" t="s">
        <v>4381</v>
      </c>
      <c r="AU3" s="140" t="s">
        <v>4382</v>
      </c>
      <c r="AV3" s="140" t="s">
        <v>4383</v>
      </c>
      <c r="AW3" s="140" t="s">
        <v>4384</v>
      </c>
      <c r="AX3" s="140" t="s">
        <v>4385</v>
      </c>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31">
        <v>2752</v>
      </c>
      <c r="I4" s="331">
        <v>32329</v>
      </c>
      <c r="J4" s="331">
        <v>34032</v>
      </c>
      <c r="K4" s="331">
        <v>34778</v>
      </c>
      <c r="L4" s="331">
        <v>34950</v>
      </c>
      <c r="M4" s="331">
        <v>35429</v>
      </c>
      <c r="N4" s="331">
        <v>35479</v>
      </c>
      <c r="O4" s="331">
        <v>36511</v>
      </c>
      <c r="P4" s="331">
        <v>37029</v>
      </c>
      <c r="Q4" s="331">
        <v>37041</v>
      </c>
      <c r="R4" s="331">
        <v>37505</v>
      </c>
      <c r="S4" s="331">
        <v>37881</v>
      </c>
      <c r="T4" s="331">
        <v>38008</v>
      </c>
      <c r="U4" s="331">
        <v>38274</v>
      </c>
      <c r="V4" s="331">
        <v>38274</v>
      </c>
      <c r="W4" s="331">
        <v>38308</v>
      </c>
      <c r="X4" s="332">
        <v>38376</v>
      </c>
      <c r="Y4" s="332">
        <v>38455</v>
      </c>
      <c r="Z4" s="331">
        <v>38517</v>
      </c>
      <c r="AA4" s="331">
        <v>38548</v>
      </c>
      <c r="AB4" s="331">
        <v>38573</v>
      </c>
      <c r="AC4" s="331">
        <v>39197</v>
      </c>
      <c r="AD4" s="331">
        <v>39652</v>
      </c>
      <c r="AE4" s="331">
        <v>39748</v>
      </c>
      <c r="AF4" s="331">
        <v>39941</v>
      </c>
      <c r="AG4" s="331">
        <v>39947</v>
      </c>
      <c r="AH4" s="332">
        <v>40001</v>
      </c>
      <c r="AI4" s="331">
        <v>40011</v>
      </c>
      <c r="AJ4" s="332">
        <v>40876</v>
      </c>
      <c r="AK4" s="332">
        <v>40990</v>
      </c>
      <c r="AL4" s="333">
        <v>41372</v>
      </c>
      <c r="AM4" s="333">
        <v>41495</v>
      </c>
      <c r="AN4" s="334">
        <v>41596</v>
      </c>
      <c r="AO4" s="334">
        <v>41619</v>
      </c>
      <c r="AP4" s="334">
        <v>41834</v>
      </c>
      <c r="AQ4" s="334">
        <v>42556</v>
      </c>
      <c r="AR4" s="334">
        <v>42593</v>
      </c>
      <c r="AS4" s="334">
        <v>44076</v>
      </c>
      <c r="AT4" s="334">
        <v>45728</v>
      </c>
      <c r="AU4" s="334">
        <v>45840</v>
      </c>
      <c r="AV4" s="334">
        <v>46062</v>
      </c>
      <c r="AW4" s="334">
        <v>46092</v>
      </c>
      <c r="AX4" s="334">
        <v>46160</v>
      </c>
      <c r="AY4" s="334"/>
      <c r="AZ4" s="334"/>
      <c r="BA4" s="334"/>
      <c r="BB4" s="334"/>
      <c r="BC4" s="334"/>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c r="FT4" s="141"/>
    </row>
    <row r="5" spans="1:177" s="85" customFormat="1" ht="27.75" customHeight="1" x14ac:dyDescent="0.25">
      <c r="A5" s="544"/>
      <c r="B5" s="552" t="s">
        <v>4179</v>
      </c>
      <c r="C5" s="553"/>
      <c r="D5" s="92"/>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c r="D6" s="554" t="s">
        <v>165</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7" s="82" customFormat="1" ht="14.25" customHeight="1" thickTop="1" thickBot="1" x14ac:dyDescent="0.25">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74"/>
      <c r="D9" s="75"/>
      <c r="E9" s="74"/>
      <c r="F9" s="73"/>
      <c r="G9" s="72"/>
      <c r="H9" s="71"/>
      <c r="I9" s="71"/>
      <c r="J9" s="71"/>
      <c r="K9" s="70"/>
      <c r="L9" s="70"/>
      <c r="M9" s="70"/>
      <c r="N9" s="70"/>
      <c r="O9" s="70"/>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row>
    <row r="10" spans="1:177" s="56" customFormat="1" x14ac:dyDescent="0.2">
      <c r="A10" s="67"/>
      <c r="B10" s="66"/>
      <c r="C10" s="65">
        <f t="shared" ref="C10:C41" si="13">E10*D$5</f>
        <v>0</v>
      </c>
      <c r="D10" s="147" t="s">
        <v>983</v>
      </c>
      <c r="E10" s="65">
        <f t="shared" ref="E10:E15" si="14">SUM(G10:HM10)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101">
        <f t="shared" si="13"/>
        <v>0</v>
      </c>
      <c r="D11" s="147" t="s">
        <v>971</v>
      </c>
      <c r="E11" s="101">
        <f t="shared" si="14"/>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101">
        <f t="shared" si="13"/>
        <v>0</v>
      </c>
      <c r="D12" s="147" t="s">
        <v>1747</v>
      </c>
      <c r="E12" s="101">
        <f t="shared" si="14"/>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B13" s="96"/>
      <c r="C13" s="65">
        <f t="shared" si="13"/>
        <v>0</v>
      </c>
      <c r="D13" s="147" t="s">
        <v>4187</v>
      </c>
      <c r="E13" s="65">
        <f t="shared" si="14"/>
        <v>0</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65">
        <f t="shared" si="13"/>
        <v>0</v>
      </c>
      <c r="D14" s="147" t="s">
        <v>8639</v>
      </c>
      <c r="E14" s="65">
        <f t="shared" si="14"/>
        <v>0</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67"/>
      <c r="B15" s="66"/>
      <c r="C15" s="65">
        <f t="shared" si="13"/>
        <v>0</v>
      </c>
      <c r="D15" s="147" t="s">
        <v>2489</v>
      </c>
      <c r="E15" s="65">
        <f t="shared" si="14"/>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65">
        <f t="shared" si="13"/>
        <v>0</v>
      </c>
      <c r="D16" s="147" t="s">
        <v>1110</v>
      </c>
      <c r="E16" s="65">
        <f>SUM(G16:HN16)</f>
        <v>3</v>
      </c>
      <c r="F16" s="64"/>
      <c r="G16" s="173"/>
      <c r="H16" s="173"/>
      <c r="I16" s="173"/>
      <c r="J16" s="173"/>
      <c r="K16" s="173"/>
      <c r="L16" s="173"/>
      <c r="M16" s="173"/>
      <c r="N16" s="175"/>
      <c r="O16" s="445">
        <v>1</v>
      </c>
      <c r="P16" s="173"/>
      <c r="Q16" s="173"/>
      <c r="R16" s="173"/>
      <c r="S16" s="173"/>
      <c r="T16" s="173"/>
      <c r="U16" s="173"/>
      <c r="V16" s="173"/>
      <c r="W16" s="173"/>
      <c r="X16" s="173"/>
      <c r="Y16" s="437">
        <v>1</v>
      </c>
      <c r="Z16" s="173"/>
      <c r="AA16" s="175"/>
      <c r="AB16" s="175"/>
      <c r="AC16" s="175"/>
      <c r="AD16" s="174"/>
      <c r="AE16" s="174"/>
      <c r="AF16" s="174"/>
      <c r="AG16" s="174"/>
      <c r="AH16" s="173"/>
      <c r="AI16" s="175"/>
      <c r="AJ16" s="173"/>
      <c r="AK16" s="432">
        <v>1</v>
      </c>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65">
        <f t="shared" si="13"/>
        <v>0</v>
      </c>
      <c r="D17" s="148" t="s">
        <v>4386</v>
      </c>
      <c r="E17" s="65">
        <f>SUM(G17:HN17)</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101">
        <f t="shared" si="13"/>
        <v>0</v>
      </c>
      <c r="D18" s="148" t="s">
        <v>566</v>
      </c>
      <c r="E18" s="101">
        <f>SUM(G18:HN18)</f>
        <v>1</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438">
        <v>1</v>
      </c>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65">
        <f t="shared" si="13"/>
        <v>0</v>
      </c>
      <c r="D19" s="38" t="s">
        <v>2525</v>
      </c>
      <c r="E19" s="65">
        <f>SUM(G19:HN19)</f>
        <v>0</v>
      </c>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f t="shared" si="13"/>
        <v>0</v>
      </c>
      <c r="D20" s="147" t="s">
        <v>4387</v>
      </c>
      <c r="E20" s="101">
        <f>SUM(G20:HN20)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67"/>
      <c r="B21" s="66"/>
      <c r="C21" s="65">
        <f t="shared" si="13"/>
        <v>0</v>
      </c>
      <c r="D21" s="147" t="s">
        <v>454</v>
      </c>
      <c r="E21" s="65">
        <f t="shared" ref="E21:E26" si="15">SUM(G21:HM21)</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f t="shared" si="13"/>
        <v>0</v>
      </c>
      <c r="D22" s="38" t="s">
        <v>4388</v>
      </c>
      <c r="E22" s="101">
        <f t="shared" si="15"/>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f t="shared" si="13"/>
        <v>0</v>
      </c>
      <c r="D23" s="38" t="s">
        <v>436</v>
      </c>
      <c r="E23" s="101">
        <f t="shared" si="15"/>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7" s="56" customFormat="1" x14ac:dyDescent="0.2">
      <c r="A24" s="177"/>
      <c r="B24" s="68"/>
      <c r="C24" s="101">
        <f t="shared" si="13"/>
        <v>0</v>
      </c>
      <c r="D24" s="147" t="s">
        <v>4188</v>
      </c>
      <c r="E24" s="101">
        <f t="shared" si="15"/>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7" s="56" customFormat="1" x14ac:dyDescent="0.2">
      <c r="A25" s="177"/>
      <c r="B25" s="68"/>
      <c r="C25" s="101">
        <f t="shared" si="13"/>
        <v>0</v>
      </c>
      <c r="D25" s="148" t="s">
        <v>4189</v>
      </c>
      <c r="E25" s="101">
        <f t="shared" si="15"/>
        <v>0</v>
      </c>
      <c r="F25" s="64"/>
      <c r="G25" s="173"/>
      <c r="H25" s="173"/>
      <c r="I25" s="173"/>
      <c r="J25" s="173"/>
      <c r="K25" s="173"/>
      <c r="L25" s="173"/>
      <c r="M25" s="173"/>
      <c r="N25" s="173"/>
      <c r="O25" s="173"/>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7" s="56" customFormat="1" x14ac:dyDescent="0.2">
      <c r="A26" s="177"/>
      <c r="B26" s="68"/>
      <c r="C26" s="101">
        <f t="shared" si="13"/>
        <v>0</v>
      </c>
      <c r="D26" s="148" t="s">
        <v>4389</v>
      </c>
      <c r="E26" s="101">
        <f t="shared" si="15"/>
        <v>0</v>
      </c>
      <c r="F26" s="64"/>
      <c r="G26" s="173"/>
      <c r="H26" s="173"/>
      <c r="I26" s="173"/>
      <c r="J26" s="173"/>
      <c r="K26" s="173"/>
      <c r="L26" s="173"/>
      <c r="M26" s="173"/>
      <c r="N26" s="173"/>
      <c r="O26" s="173"/>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7" s="56" customFormat="1" x14ac:dyDescent="0.2">
      <c r="A27" s="177"/>
      <c r="B27" s="68"/>
      <c r="C27" s="65">
        <f t="shared" si="13"/>
        <v>0</v>
      </c>
      <c r="D27" s="37" t="s">
        <v>4390</v>
      </c>
      <c r="E27" s="65">
        <f>SUM(G27:HQ27)</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row>
    <row r="28" spans="1:177" s="56" customFormat="1" x14ac:dyDescent="0.2">
      <c r="A28" s="177"/>
      <c r="B28" s="68"/>
      <c r="C28" s="65">
        <f t="shared" si="13"/>
        <v>0</v>
      </c>
      <c r="D28" s="38" t="s">
        <v>2621</v>
      </c>
      <c r="E28" s="65">
        <f>SUM(G28:HQ28)</f>
        <v>-1</v>
      </c>
      <c r="F28" s="64"/>
      <c r="G28" s="173"/>
      <c r="H28" s="173"/>
      <c r="I28" s="173"/>
      <c r="J28" s="173"/>
      <c r="K28" s="173"/>
      <c r="L28" s="173"/>
      <c r="M28" s="173"/>
      <c r="N28" s="173"/>
      <c r="O28" s="432">
        <v>-1</v>
      </c>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row>
    <row r="29" spans="1:177" s="56" customFormat="1" x14ac:dyDescent="0.2">
      <c r="A29" s="177"/>
      <c r="B29" s="68"/>
      <c r="C29" s="101">
        <f t="shared" si="13"/>
        <v>0</v>
      </c>
      <c r="D29" s="38" t="s">
        <v>4391</v>
      </c>
      <c r="E29" s="101">
        <f>SUM(G29:HQ29)</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row>
    <row r="30" spans="1:177" s="56" customFormat="1" x14ac:dyDescent="0.2">
      <c r="A30" s="177"/>
      <c r="B30" s="68"/>
      <c r="C30" s="65">
        <f t="shared" si="13"/>
        <v>0</v>
      </c>
      <c r="D30" s="147" t="s">
        <v>2817</v>
      </c>
      <c r="E30" s="65">
        <f t="shared" ref="E30:E36" si="16">SUM(G30:HM30)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row>
    <row r="31" spans="1:177" s="56" customFormat="1" x14ac:dyDescent="0.2">
      <c r="A31" s="177"/>
      <c r="B31" s="68"/>
      <c r="C31" s="101">
        <f t="shared" si="13"/>
        <v>0</v>
      </c>
      <c r="D31" s="147" t="s">
        <v>4392</v>
      </c>
      <c r="E31" s="101">
        <f t="shared" si="16"/>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row>
    <row r="32" spans="1:177" s="56" customFormat="1" x14ac:dyDescent="0.2">
      <c r="A32" s="177"/>
      <c r="B32" s="68"/>
      <c r="C32" s="101">
        <f t="shared" si="13"/>
        <v>0</v>
      </c>
      <c r="D32" s="147" t="s">
        <v>4393</v>
      </c>
      <c r="E32" s="101">
        <f t="shared" si="16"/>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row>
    <row r="33" spans="1:185" s="56" customFormat="1" x14ac:dyDescent="0.2">
      <c r="A33" s="177"/>
      <c r="B33" s="68"/>
      <c r="C33" s="65">
        <f t="shared" si="13"/>
        <v>0</v>
      </c>
      <c r="D33" s="147" t="s">
        <v>2877</v>
      </c>
      <c r="E33" s="65">
        <f t="shared" si="16"/>
        <v>-1</v>
      </c>
      <c r="F33" s="64"/>
      <c r="G33" s="173"/>
      <c r="H33" s="173"/>
      <c r="I33" s="173"/>
      <c r="J33" s="173"/>
      <c r="K33" s="173"/>
      <c r="L33" s="173"/>
      <c r="M33" s="173"/>
      <c r="N33" s="173"/>
      <c r="O33" s="173"/>
      <c r="P33" s="173"/>
      <c r="Q33" s="173"/>
      <c r="R33" s="437">
        <v>-1</v>
      </c>
      <c r="S33" s="173"/>
      <c r="T33" s="181"/>
      <c r="U33" s="173"/>
      <c r="V33" s="173"/>
      <c r="W33" s="181"/>
      <c r="X33" s="173"/>
      <c r="Y33" s="173"/>
      <c r="Z33" s="173"/>
      <c r="AA33" s="175"/>
      <c r="AB33" s="175"/>
      <c r="AC33" s="175"/>
      <c r="AD33" s="175"/>
      <c r="AE33" s="175"/>
      <c r="AF33" s="175"/>
      <c r="AG33" s="175"/>
      <c r="AH33" s="173"/>
      <c r="AI33" s="175"/>
      <c r="AJ33" s="173"/>
      <c r="AK33" s="175"/>
      <c r="AL33" s="57"/>
      <c r="AM33" s="57"/>
    </row>
    <row r="34" spans="1:185" s="56" customFormat="1" x14ac:dyDescent="0.2">
      <c r="A34" s="177"/>
      <c r="B34" s="68"/>
      <c r="C34" s="65">
        <f t="shared" si="13"/>
        <v>0</v>
      </c>
      <c r="D34" s="147" t="s">
        <v>944</v>
      </c>
      <c r="E34" s="65">
        <f t="shared" si="16"/>
        <v>0</v>
      </c>
      <c r="F34" s="64"/>
      <c r="G34" s="173"/>
      <c r="H34" s="173"/>
      <c r="I34" s="173"/>
      <c r="J34" s="173"/>
      <c r="K34" s="173"/>
      <c r="L34" s="173"/>
      <c r="M34" s="173"/>
      <c r="N34" s="173"/>
      <c r="O34" s="173"/>
      <c r="P34" s="173"/>
      <c r="Q34" s="173"/>
      <c r="R34" s="437">
        <v>1</v>
      </c>
      <c r="S34" s="173"/>
      <c r="T34" s="181"/>
      <c r="U34" s="173"/>
      <c r="V34" s="173"/>
      <c r="W34" s="437">
        <v>1</v>
      </c>
      <c r="X34" s="181"/>
      <c r="Y34" s="173"/>
      <c r="Z34" s="173"/>
      <c r="AA34" s="437">
        <v>-1</v>
      </c>
      <c r="AB34" s="432">
        <v>-1</v>
      </c>
      <c r="AC34" s="175"/>
      <c r="AD34" s="175"/>
      <c r="AE34" s="175"/>
      <c r="AF34" s="175"/>
      <c r="AG34" s="175"/>
      <c r="AH34" s="173"/>
      <c r="AI34" s="175"/>
      <c r="AJ34" s="173"/>
      <c r="AK34" s="175"/>
      <c r="AL34" s="57"/>
      <c r="AM34" s="57"/>
    </row>
    <row r="35" spans="1:185" s="56" customFormat="1" x14ac:dyDescent="0.2">
      <c r="A35" s="177"/>
      <c r="B35" s="68"/>
      <c r="C35" s="65">
        <f t="shared" si="13"/>
        <v>0</v>
      </c>
      <c r="D35" s="147" t="s">
        <v>4394</v>
      </c>
      <c r="E35" s="65">
        <f t="shared" si="16"/>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row>
    <row r="36" spans="1:185" s="56" customFormat="1" x14ac:dyDescent="0.2">
      <c r="A36" s="177"/>
      <c r="B36" s="68"/>
      <c r="C36" s="65">
        <f t="shared" si="13"/>
        <v>0</v>
      </c>
      <c r="D36" s="147" t="s">
        <v>4395</v>
      </c>
      <c r="E36" s="65">
        <f t="shared" si="16"/>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row>
    <row r="37" spans="1:185" s="56" customFormat="1" x14ac:dyDescent="0.2">
      <c r="A37" s="177"/>
      <c r="B37" s="68"/>
      <c r="C37" s="101">
        <f t="shared" si="13"/>
        <v>0</v>
      </c>
      <c r="D37" s="147" t="s">
        <v>2944</v>
      </c>
      <c r="E37" s="101">
        <f>SUM(G37:HV37)</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c r="FY37" s="144"/>
      <c r="FZ37" s="144"/>
      <c r="GA37" s="144"/>
      <c r="GB37" s="144"/>
      <c r="GC37" s="144"/>
    </row>
    <row r="38" spans="1:185" s="56" customFormat="1" x14ac:dyDescent="0.2">
      <c r="A38" s="177"/>
      <c r="B38" s="68"/>
      <c r="C38" s="101">
        <f t="shared" si="13"/>
        <v>0</v>
      </c>
      <c r="D38" s="38" t="s">
        <v>3022</v>
      </c>
      <c r="E38" s="101">
        <f>SUM(G38:HP38)</f>
        <v>-2</v>
      </c>
      <c r="F38" s="64"/>
      <c r="G38" s="173"/>
      <c r="H38" s="173"/>
      <c r="I38" s="173"/>
      <c r="J38" s="173"/>
      <c r="K38" s="173"/>
      <c r="L38" s="173"/>
      <c r="M38" s="173"/>
      <c r="N38" s="173"/>
      <c r="O38" s="181"/>
      <c r="P38" s="173"/>
      <c r="Q38" s="173"/>
      <c r="R38" s="173"/>
      <c r="S38" s="173"/>
      <c r="T38" s="173"/>
      <c r="U38" s="437">
        <v>-1</v>
      </c>
      <c r="V38" s="432">
        <v>-1</v>
      </c>
      <c r="W38" s="173"/>
      <c r="X38" s="173"/>
      <c r="Y38" s="173"/>
      <c r="Z38" s="173"/>
      <c r="AA38" s="173"/>
      <c r="AB38" s="173"/>
      <c r="AC38" s="176"/>
      <c r="AD38" s="176"/>
      <c r="AE38" s="175"/>
      <c r="AF38" s="175"/>
      <c r="AG38" s="176"/>
      <c r="AH38" s="173"/>
      <c r="AI38" s="173"/>
      <c r="AJ38" s="173"/>
      <c r="AK38" s="176"/>
      <c r="AL38" s="57"/>
      <c r="AM38" s="57"/>
      <c r="AN38" s="57"/>
      <c r="AO38" s="57"/>
      <c r="AP38" s="57"/>
    </row>
    <row r="39" spans="1:185" s="56" customFormat="1" x14ac:dyDescent="0.2">
      <c r="A39" s="177"/>
      <c r="B39" s="68"/>
      <c r="C39" s="65">
        <f t="shared" si="13"/>
        <v>0</v>
      </c>
      <c r="D39" s="147" t="s">
        <v>3023</v>
      </c>
      <c r="E39" s="65">
        <f>SUM(G39:HE39)</f>
        <v>1</v>
      </c>
      <c r="F39" s="64"/>
      <c r="G39" s="173"/>
      <c r="H39" s="174"/>
      <c r="I39" s="174"/>
      <c r="J39" s="174"/>
      <c r="K39" s="174"/>
      <c r="L39" s="174"/>
      <c r="M39" s="175"/>
      <c r="N39" s="175"/>
      <c r="O39" s="175"/>
      <c r="P39" s="175"/>
      <c r="Q39" s="175"/>
      <c r="R39" s="175"/>
      <c r="S39" s="175"/>
      <c r="T39" s="175"/>
      <c r="U39" s="432">
        <v>1</v>
      </c>
      <c r="V39" s="432">
        <v>1</v>
      </c>
      <c r="W39" s="175"/>
      <c r="X39" s="175"/>
      <c r="Y39" s="175"/>
      <c r="Z39" s="175"/>
      <c r="AA39" s="175"/>
      <c r="AB39" s="175"/>
      <c r="AC39" s="176"/>
      <c r="AD39" s="176"/>
      <c r="AE39" s="433">
        <v>-1</v>
      </c>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f t="shared" si="13"/>
        <v>0</v>
      </c>
      <c r="D40" s="147" t="s">
        <v>3032</v>
      </c>
      <c r="E40" s="101">
        <f>SUM(G40:HE40)</f>
        <v>-1</v>
      </c>
      <c r="F40" s="64"/>
      <c r="G40" s="173"/>
      <c r="H40" s="174"/>
      <c r="I40" s="174"/>
      <c r="J40" s="174"/>
      <c r="K40" s="174"/>
      <c r="L40" s="174"/>
      <c r="M40" s="175"/>
      <c r="N40" s="175"/>
      <c r="O40" s="175"/>
      <c r="P40" s="175"/>
      <c r="Q40" s="175"/>
      <c r="R40" s="175"/>
      <c r="S40" s="175"/>
      <c r="T40" s="175"/>
      <c r="U40" s="175"/>
      <c r="V40" s="175"/>
      <c r="W40" s="432">
        <v>-1</v>
      </c>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row>
    <row r="41" spans="1:185" s="56" customFormat="1" x14ac:dyDescent="0.2">
      <c r="A41" s="177"/>
      <c r="B41" s="68"/>
      <c r="C41" s="65">
        <f t="shared" si="13"/>
        <v>0</v>
      </c>
      <c r="D41" s="38" t="s">
        <v>4288</v>
      </c>
      <c r="E41" s="65">
        <f>SUM(G41:HE41)</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row>
    <row r="42" spans="1:185" s="56" customFormat="1" x14ac:dyDescent="0.2">
      <c r="A42" s="177"/>
      <c r="B42" s="68"/>
      <c r="C42" s="101">
        <f t="shared" ref="C42:C73" si="17">E42*D$5</f>
        <v>0</v>
      </c>
      <c r="D42" s="37" t="s">
        <v>4289</v>
      </c>
      <c r="E42" s="101">
        <f>SUM(G42:HE42)</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row>
    <row r="43" spans="1:185" s="56" customFormat="1" x14ac:dyDescent="0.2">
      <c r="A43" s="177"/>
      <c r="B43" s="68"/>
      <c r="C43" s="101">
        <f t="shared" si="17"/>
        <v>0</v>
      </c>
      <c r="D43" s="37" t="s">
        <v>3041</v>
      </c>
      <c r="E43" s="101">
        <f>SUM(G43:HE43)</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row>
    <row r="44" spans="1:185" s="56" customFormat="1" x14ac:dyDescent="0.2">
      <c r="A44" s="177"/>
      <c r="B44" s="68"/>
      <c r="C44" s="101">
        <f t="shared" si="17"/>
        <v>0</v>
      </c>
      <c r="D44" s="38" t="s">
        <v>4396</v>
      </c>
      <c r="E44" s="101">
        <f t="shared" ref="E44:E75" si="18">SUM(G44:HM44)</f>
        <v>-1</v>
      </c>
      <c r="F44" s="64"/>
      <c r="G44" s="173"/>
      <c r="H44" s="173"/>
      <c r="I44" s="173"/>
      <c r="J44" s="173"/>
      <c r="K44" s="173"/>
      <c r="L44" s="173"/>
      <c r="M44" s="173"/>
      <c r="N44" s="173"/>
      <c r="O44" s="173"/>
      <c r="P44" s="173"/>
      <c r="Q44" s="173"/>
      <c r="R44" s="173"/>
      <c r="S44" s="173"/>
      <c r="T44" s="173"/>
      <c r="U44" s="173"/>
      <c r="V44" s="173"/>
      <c r="W44" s="173"/>
      <c r="X44" s="173"/>
      <c r="Y44" s="437">
        <v>-1</v>
      </c>
      <c r="Z44" s="173"/>
      <c r="AA44" s="173"/>
      <c r="AB44" s="175"/>
      <c r="AC44" s="175"/>
      <c r="AD44" s="175"/>
      <c r="AE44" s="176"/>
      <c r="AF44" s="176"/>
      <c r="AG44" s="175"/>
      <c r="AH44" s="173"/>
      <c r="AI44" s="175"/>
      <c r="AJ44" s="173"/>
      <c r="AK44" s="175"/>
      <c r="AL44" s="57"/>
      <c r="AM44" s="57"/>
    </row>
    <row r="45" spans="1:185" s="56" customFormat="1" x14ac:dyDescent="0.2">
      <c r="A45" s="177"/>
      <c r="B45" s="68"/>
      <c r="C45" s="101">
        <f t="shared" si="17"/>
        <v>0</v>
      </c>
      <c r="D45" s="37" t="s">
        <v>3096</v>
      </c>
      <c r="E45" s="101">
        <f t="shared" si="18"/>
        <v>-1</v>
      </c>
      <c r="F45" s="64"/>
      <c r="G45" s="173"/>
      <c r="H45" s="175"/>
      <c r="I45" s="175"/>
      <c r="J45" s="175"/>
      <c r="K45" s="175"/>
      <c r="L45" s="175"/>
      <c r="M45" s="175"/>
      <c r="N45" s="175"/>
      <c r="O45" s="175"/>
      <c r="P45" s="175"/>
      <c r="Q45" s="175"/>
      <c r="R45" s="175"/>
      <c r="S45" s="175"/>
      <c r="T45" s="175"/>
      <c r="U45" s="175"/>
      <c r="V45" s="175"/>
      <c r="W45" s="175"/>
      <c r="X45" s="175"/>
      <c r="Y45" s="175"/>
      <c r="Z45" s="437">
        <v>-1</v>
      </c>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85" s="56" customFormat="1" x14ac:dyDescent="0.2">
      <c r="A46" s="177"/>
      <c r="B46" s="68"/>
      <c r="C46" s="101">
        <f t="shared" si="17"/>
        <v>0</v>
      </c>
      <c r="D46" s="38" t="s">
        <v>3097</v>
      </c>
      <c r="E46" s="101">
        <f t="shared" si="18"/>
        <v>1</v>
      </c>
      <c r="F46" s="64"/>
      <c r="G46" s="173"/>
      <c r="H46" s="173"/>
      <c r="I46" s="173"/>
      <c r="J46" s="173"/>
      <c r="K46" s="173"/>
      <c r="L46" s="173"/>
      <c r="M46" s="173"/>
      <c r="N46" s="173"/>
      <c r="O46" s="173"/>
      <c r="P46" s="173"/>
      <c r="Q46" s="173"/>
      <c r="R46" s="173"/>
      <c r="S46" s="173"/>
      <c r="T46" s="173"/>
      <c r="U46" s="173"/>
      <c r="V46" s="173"/>
      <c r="W46" s="173"/>
      <c r="X46" s="173"/>
      <c r="Y46" s="173"/>
      <c r="Z46" s="437">
        <v>1</v>
      </c>
      <c r="AA46" s="175"/>
      <c r="AB46" s="175"/>
      <c r="AC46" s="175"/>
      <c r="AD46" s="175"/>
      <c r="AE46" s="175"/>
      <c r="AF46" s="175"/>
      <c r="AG46" s="176"/>
      <c r="AH46" s="173"/>
      <c r="AI46" s="175"/>
      <c r="AJ46" s="181"/>
      <c r="AK46" s="175"/>
      <c r="AL46" s="57"/>
      <c r="AM46" s="57"/>
    </row>
    <row r="47" spans="1:185" s="56" customFormat="1" x14ac:dyDescent="0.2">
      <c r="A47" s="177"/>
      <c r="B47" s="68"/>
      <c r="C47" s="101">
        <f t="shared" si="17"/>
        <v>0</v>
      </c>
      <c r="D47" s="37" t="s">
        <v>3103</v>
      </c>
      <c r="E47" s="101">
        <f t="shared" si="18"/>
        <v>2</v>
      </c>
      <c r="F47" s="64"/>
      <c r="G47" s="173"/>
      <c r="H47" s="173"/>
      <c r="I47" s="173"/>
      <c r="J47" s="173"/>
      <c r="K47" s="173"/>
      <c r="L47" s="173"/>
      <c r="M47" s="173"/>
      <c r="N47" s="173"/>
      <c r="O47" s="173"/>
      <c r="P47" s="173"/>
      <c r="Q47" s="173"/>
      <c r="R47" s="173"/>
      <c r="S47" s="173"/>
      <c r="T47" s="173"/>
      <c r="U47" s="173"/>
      <c r="V47" s="173"/>
      <c r="W47" s="173"/>
      <c r="X47" s="173"/>
      <c r="Y47" s="173"/>
      <c r="Z47" s="173"/>
      <c r="AA47" s="432">
        <v>1</v>
      </c>
      <c r="AB47" s="432">
        <v>1</v>
      </c>
      <c r="AC47" s="175"/>
      <c r="AD47" s="175"/>
      <c r="AE47" s="175"/>
      <c r="AF47" s="175"/>
      <c r="AG47" s="175"/>
      <c r="AH47" s="173"/>
      <c r="AI47" s="175"/>
      <c r="AJ47" s="181"/>
      <c r="AK47" s="176"/>
      <c r="AL47" s="57"/>
      <c r="AM47" s="57"/>
    </row>
    <row r="48" spans="1:185" s="56" customFormat="1" x14ac:dyDescent="0.2">
      <c r="A48" s="177"/>
      <c r="B48" s="68"/>
      <c r="C48" s="65">
        <f t="shared" si="17"/>
        <v>0</v>
      </c>
      <c r="D48" s="38" t="s">
        <v>4197</v>
      </c>
      <c r="E48" s="65">
        <f t="shared" si="18"/>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row>
    <row r="49" spans="1:39" s="56" customFormat="1" x14ac:dyDescent="0.2">
      <c r="A49" s="67"/>
      <c r="B49" s="68"/>
      <c r="C49" s="101">
        <f t="shared" si="17"/>
        <v>0</v>
      </c>
      <c r="D49" s="37" t="s">
        <v>4198</v>
      </c>
      <c r="E49" s="65">
        <f t="shared" si="18"/>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row>
    <row r="50" spans="1:39" s="56" customFormat="1" x14ac:dyDescent="0.2">
      <c r="A50" s="67"/>
      <c r="B50" s="66"/>
      <c r="C50" s="65">
        <f t="shared" si="17"/>
        <v>0</v>
      </c>
      <c r="D50" s="38" t="s">
        <v>8640</v>
      </c>
      <c r="E50" s="65">
        <f t="shared" si="18"/>
        <v>0</v>
      </c>
      <c r="H50" s="57"/>
      <c r="I50" s="57"/>
      <c r="J50" s="57"/>
      <c r="K50" s="57"/>
      <c r="L50" s="57"/>
      <c r="M50" s="57"/>
      <c r="N50" s="57"/>
      <c r="O50" s="57"/>
      <c r="P50" s="57"/>
      <c r="Q50" s="57"/>
      <c r="R50" s="57"/>
      <c r="S50" s="57"/>
      <c r="T50" s="57"/>
      <c r="U50" s="57"/>
      <c r="V50" s="57"/>
      <c r="X50" s="57"/>
      <c r="Y50" s="57"/>
      <c r="Z50" s="57"/>
      <c r="AA50" s="144"/>
      <c r="AB50" s="144"/>
      <c r="AC50" s="144"/>
      <c r="AD50" s="144"/>
      <c r="AE50" s="144"/>
      <c r="AF50" s="144"/>
      <c r="AG50" s="144"/>
      <c r="AH50" s="57"/>
      <c r="AI50" s="144"/>
      <c r="AJ50" s="154"/>
      <c r="AK50" s="175"/>
      <c r="AL50" s="57"/>
      <c r="AM50" s="57"/>
    </row>
    <row r="51" spans="1:39" s="56" customFormat="1" x14ac:dyDescent="0.2">
      <c r="A51" s="67"/>
      <c r="B51" s="66"/>
      <c r="C51" s="65">
        <f t="shared" si="17"/>
        <v>0</v>
      </c>
      <c r="D51" s="38" t="s">
        <v>283</v>
      </c>
      <c r="E51" s="65">
        <f t="shared" si="18"/>
        <v>0</v>
      </c>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row>
    <row r="52" spans="1:39" s="56" customFormat="1" x14ac:dyDescent="0.2">
      <c r="A52" s="67"/>
      <c r="B52" s="66"/>
      <c r="C52" s="101">
        <f t="shared" si="17"/>
        <v>0</v>
      </c>
      <c r="D52" s="38" t="s">
        <v>4397</v>
      </c>
      <c r="E52" s="101">
        <f t="shared" si="18"/>
        <v>0</v>
      </c>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x14ac:dyDescent="0.2">
      <c r="A53" s="67"/>
      <c r="B53" s="66"/>
      <c r="C53" s="101">
        <f t="shared" si="17"/>
        <v>0</v>
      </c>
      <c r="D53" s="38" t="s">
        <v>4398</v>
      </c>
      <c r="E53" s="101">
        <f t="shared" si="18"/>
        <v>0</v>
      </c>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2.95" customHeight="1" x14ac:dyDescent="0.2">
      <c r="A54" s="67"/>
      <c r="B54" s="66"/>
      <c r="C54" s="65">
        <f t="shared" si="17"/>
        <v>0</v>
      </c>
      <c r="D54" s="38" t="s">
        <v>4399</v>
      </c>
      <c r="E54" s="65">
        <f t="shared" si="18"/>
        <v>0</v>
      </c>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4.1" customHeight="1" x14ac:dyDescent="0.2">
      <c r="A55" s="67"/>
      <c r="B55" s="66"/>
      <c r="C55" s="65">
        <f t="shared" si="17"/>
        <v>0</v>
      </c>
      <c r="D55" s="38" t="s">
        <v>3355</v>
      </c>
      <c r="E55" s="65">
        <f t="shared" si="18"/>
        <v>0</v>
      </c>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row>
    <row r="56" spans="1:39" s="56" customFormat="1" ht="17.45" customHeight="1" x14ac:dyDescent="0.2">
      <c r="A56" s="67"/>
      <c r="B56" s="66"/>
      <c r="C56" s="65">
        <f t="shared" si="17"/>
        <v>0</v>
      </c>
      <c r="D56" s="102" t="s">
        <v>611</v>
      </c>
      <c r="E56" s="65">
        <f t="shared" si="18"/>
        <v>-2</v>
      </c>
      <c r="H56" s="57"/>
      <c r="I56" s="57"/>
      <c r="J56" s="57"/>
      <c r="K56" s="57"/>
      <c r="L56" s="57"/>
      <c r="M56" s="57"/>
      <c r="N56" s="57"/>
      <c r="O56" s="57"/>
      <c r="P56" s="57"/>
      <c r="Q56" s="57"/>
      <c r="R56" s="57"/>
      <c r="S56" s="57"/>
      <c r="T56" s="57"/>
      <c r="U56" s="57"/>
      <c r="V56" s="57"/>
      <c r="W56" s="57"/>
      <c r="X56" s="57"/>
      <c r="Y56" s="57"/>
      <c r="Z56" s="57"/>
      <c r="AA56" s="144"/>
      <c r="AB56" s="144"/>
      <c r="AC56" s="144"/>
      <c r="AD56" s="144"/>
      <c r="AE56" s="439">
        <v>1</v>
      </c>
      <c r="AF56" s="144"/>
      <c r="AG56" s="144"/>
      <c r="AH56" s="57"/>
      <c r="AI56" s="144"/>
      <c r="AJ56" s="438">
        <v>-1</v>
      </c>
      <c r="AK56" s="175"/>
      <c r="AL56" s="438">
        <v>-1</v>
      </c>
      <c r="AM56" s="438">
        <v>-1</v>
      </c>
    </row>
    <row r="57" spans="1:39" s="56" customFormat="1" ht="17.45" customHeight="1" x14ac:dyDescent="0.2">
      <c r="A57" s="67"/>
      <c r="B57" s="66"/>
      <c r="C57" s="65">
        <f t="shared" si="17"/>
        <v>0</v>
      </c>
      <c r="D57" s="104" t="s">
        <v>4400</v>
      </c>
      <c r="E57" s="65">
        <f t="shared" si="18"/>
        <v>0</v>
      </c>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ht="17.45" customHeight="1" x14ac:dyDescent="0.2">
      <c r="A58" s="67"/>
      <c r="B58" s="66"/>
      <c r="C58" s="65">
        <f t="shared" si="17"/>
        <v>0</v>
      </c>
      <c r="D58" s="102" t="s">
        <v>4401</v>
      </c>
      <c r="E58" s="65">
        <f t="shared" si="18"/>
        <v>0</v>
      </c>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ht="17.45" customHeight="1" x14ac:dyDescent="0.2">
      <c r="A59" s="67" t="s">
        <v>58</v>
      </c>
      <c r="B59" s="66"/>
      <c r="C59" s="65">
        <f t="shared" si="17"/>
        <v>0</v>
      </c>
      <c r="D59" s="102" t="s">
        <v>4402</v>
      </c>
      <c r="E59" s="65">
        <f t="shared" si="18"/>
        <v>0</v>
      </c>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ht="16.5" customHeight="1" x14ac:dyDescent="0.2">
      <c r="A60" s="67"/>
      <c r="B60" s="66"/>
      <c r="C60" s="65">
        <f t="shared" si="17"/>
        <v>0</v>
      </c>
      <c r="D60" s="104" t="s">
        <v>8649</v>
      </c>
      <c r="E60" s="65">
        <f t="shared" si="18"/>
        <v>0</v>
      </c>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65">
        <f t="shared" si="17"/>
        <v>0</v>
      </c>
      <c r="D61" s="38" t="s">
        <v>4403</v>
      </c>
      <c r="E61" s="65">
        <f t="shared" si="18"/>
        <v>0</v>
      </c>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f t="shared" si="17"/>
        <v>0</v>
      </c>
      <c r="D62" s="37" t="s">
        <v>4404</v>
      </c>
      <c r="E62" s="101">
        <f t="shared" si="18"/>
        <v>0</v>
      </c>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row>
    <row r="63" spans="1:39" s="56" customFormat="1" x14ac:dyDescent="0.2">
      <c r="A63" s="67"/>
      <c r="B63" s="66"/>
      <c r="C63" s="101">
        <f t="shared" si="17"/>
        <v>0</v>
      </c>
      <c r="D63" s="37" t="s">
        <v>8650</v>
      </c>
      <c r="E63" s="101">
        <f t="shared" si="18"/>
        <v>0</v>
      </c>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row>
    <row r="64" spans="1:39" s="56" customFormat="1" x14ac:dyDescent="0.2">
      <c r="A64" s="67"/>
      <c r="B64" s="66"/>
      <c r="C64" s="65">
        <f t="shared" si="17"/>
        <v>0</v>
      </c>
      <c r="D64" s="38" t="s">
        <v>4405</v>
      </c>
      <c r="E64" s="65">
        <f t="shared" si="18"/>
        <v>0</v>
      </c>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row>
    <row r="65" spans="1:40" s="56" customFormat="1" x14ac:dyDescent="0.2">
      <c r="A65" s="67"/>
      <c r="B65" s="66"/>
      <c r="C65" s="101">
        <f t="shared" si="17"/>
        <v>0</v>
      </c>
      <c r="D65" s="37" t="s">
        <v>4406</v>
      </c>
      <c r="E65" s="101">
        <f t="shared" si="18"/>
        <v>0</v>
      </c>
      <c r="H65" s="57"/>
      <c r="I65" s="57"/>
      <c r="J65" s="57"/>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row>
    <row r="66" spans="1:40" s="56" customFormat="1" x14ac:dyDescent="0.2">
      <c r="A66" s="67"/>
      <c r="B66" s="66"/>
      <c r="C66" s="101">
        <f t="shared" si="17"/>
        <v>0</v>
      </c>
      <c r="D66" s="37" t="s">
        <v>4407</v>
      </c>
      <c r="E66" s="101">
        <f t="shared" si="18"/>
        <v>0</v>
      </c>
      <c r="H66" s="57"/>
      <c r="I66" s="57"/>
      <c r="J66" s="57"/>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row>
    <row r="67" spans="1:40" s="56" customFormat="1" x14ac:dyDescent="0.2">
      <c r="A67" s="67"/>
      <c r="B67" s="66"/>
      <c r="C67" s="65">
        <f t="shared" si="17"/>
        <v>0</v>
      </c>
      <c r="D67" s="38" t="s">
        <v>4408</v>
      </c>
      <c r="E67" s="65">
        <f t="shared" si="18"/>
        <v>0</v>
      </c>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row>
    <row r="68" spans="1:40" s="56" customFormat="1" x14ac:dyDescent="0.2">
      <c r="A68" s="67"/>
      <c r="B68" s="66"/>
      <c r="C68" s="65">
        <f t="shared" si="17"/>
        <v>0</v>
      </c>
      <c r="D68" s="38" t="s">
        <v>3400</v>
      </c>
      <c r="E68" s="65">
        <f t="shared" si="18"/>
        <v>0</v>
      </c>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row>
    <row r="69" spans="1:40" s="56" customFormat="1" x14ac:dyDescent="0.2">
      <c r="A69" s="67"/>
      <c r="B69" s="66"/>
      <c r="C69" s="65">
        <f t="shared" si="17"/>
        <v>0</v>
      </c>
      <c r="D69" s="38" t="s">
        <v>4409</v>
      </c>
      <c r="E69" s="65">
        <f t="shared" si="18"/>
        <v>0</v>
      </c>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row>
    <row r="70" spans="1:40" s="56" customFormat="1" x14ac:dyDescent="0.2">
      <c r="A70" s="67"/>
      <c r="B70" s="66"/>
      <c r="C70" s="65">
        <f t="shared" si="17"/>
        <v>0</v>
      </c>
      <c r="D70" s="104" t="s">
        <v>4410</v>
      </c>
      <c r="E70" s="65">
        <f t="shared" si="18"/>
        <v>0</v>
      </c>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row>
    <row r="71" spans="1:40" s="56" customFormat="1" x14ac:dyDescent="0.2">
      <c r="A71" s="67"/>
      <c r="B71" s="66"/>
      <c r="C71" s="65">
        <f t="shared" si="17"/>
        <v>0</v>
      </c>
      <c r="D71" s="93" t="s">
        <v>4411</v>
      </c>
      <c r="E71" s="65">
        <f t="shared" si="18"/>
        <v>0</v>
      </c>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row>
    <row r="72" spans="1:40" s="56" customFormat="1" x14ac:dyDescent="0.2">
      <c r="A72" s="67"/>
      <c r="B72" s="66"/>
      <c r="C72" s="65">
        <f t="shared" si="17"/>
        <v>0</v>
      </c>
      <c r="D72" s="93" t="s">
        <v>4412</v>
      </c>
      <c r="E72" s="65">
        <f t="shared" si="18"/>
        <v>0</v>
      </c>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row>
    <row r="73" spans="1:40" s="56" customFormat="1" x14ac:dyDescent="0.2">
      <c r="A73" s="67"/>
      <c r="B73" s="66"/>
      <c r="C73" s="101">
        <f t="shared" si="17"/>
        <v>0</v>
      </c>
      <c r="D73" s="93" t="s">
        <v>3492</v>
      </c>
      <c r="E73" s="101">
        <f t="shared" si="18"/>
        <v>0</v>
      </c>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row>
    <row r="74" spans="1:40" s="56" customFormat="1" x14ac:dyDescent="0.2">
      <c r="A74" s="67"/>
      <c r="B74" s="66"/>
      <c r="C74" s="101">
        <f t="shared" ref="C74:C105" si="19">E74*D$5</f>
        <v>0</v>
      </c>
      <c r="D74" s="93" t="s">
        <v>3493</v>
      </c>
      <c r="E74" s="101">
        <f t="shared" si="18"/>
        <v>3</v>
      </c>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438">
        <v>1</v>
      </c>
      <c r="AK74" s="175"/>
      <c r="AL74" s="438">
        <v>1</v>
      </c>
      <c r="AM74" s="438">
        <v>1</v>
      </c>
    </row>
    <row r="75" spans="1:40" s="56" customFormat="1" x14ac:dyDescent="0.2">
      <c r="A75" s="67"/>
      <c r="B75" s="66"/>
      <c r="C75" s="65">
        <f t="shared" si="19"/>
        <v>0</v>
      </c>
      <c r="D75" s="93" t="s">
        <v>3514</v>
      </c>
      <c r="E75" s="65">
        <f t="shared" si="18"/>
        <v>-1</v>
      </c>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439">
        <v>-1</v>
      </c>
      <c r="AL75" s="57"/>
      <c r="AM75" s="57"/>
    </row>
    <row r="76" spans="1:40" s="56" customFormat="1" x14ac:dyDescent="0.2">
      <c r="A76" s="67"/>
      <c r="B76" s="66"/>
      <c r="C76" s="65">
        <f t="shared" si="19"/>
        <v>0</v>
      </c>
      <c r="D76" s="93" t="s">
        <v>274</v>
      </c>
      <c r="E76" s="65">
        <f t="shared" ref="E76:E107" si="20">SUM(G76:HM76)</f>
        <v>-1</v>
      </c>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440">
        <v>-1</v>
      </c>
    </row>
    <row r="77" spans="1:40" s="56" customFormat="1" x14ac:dyDescent="0.2">
      <c r="A77" s="67"/>
      <c r="B77" s="66"/>
      <c r="C77" s="65">
        <f t="shared" si="19"/>
        <v>0</v>
      </c>
      <c r="D77" s="103" t="s">
        <v>3579</v>
      </c>
      <c r="E77" s="65">
        <f t="shared" si="20"/>
        <v>0</v>
      </c>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40" s="56" customFormat="1" x14ac:dyDescent="0.2">
      <c r="A78" s="67"/>
      <c r="B78" s="66"/>
      <c r="C78" s="65">
        <f t="shared" si="19"/>
        <v>0</v>
      </c>
      <c r="D78" s="93" t="s">
        <v>4413</v>
      </c>
      <c r="E78" s="65">
        <f t="shared" si="20"/>
        <v>0</v>
      </c>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40" s="56" customFormat="1" x14ac:dyDescent="0.2">
      <c r="A79" s="67"/>
      <c r="B79" s="66"/>
      <c r="C79" s="101">
        <f t="shared" si="19"/>
        <v>0</v>
      </c>
      <c r="D79" s="37" t="s">
        <v>4414</v>
      </c>
      <c r="E79" s="101">
        <f t="shared" si="20"/>
        <v>0</v>
      </c>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40" s="56" customFormat="1" x14ac:dyDescent="0.2">
      <c r="A80" s="67"/>
      <c r="B80" s="66"/>
      <c r="C80" s="65">
        <f t="shared" si="19"/>
        <v>0</v>
      </c>
      <c r="D80" s="93" t="s">
        <v>8651</v>
      </c>
      <c r="E80" s="65">
        <f t="shared" si="20"/>
        <v>0</v>
      </c>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42" s="56" customFormat="1" x14ac:dyDescent="0.2">
      <c r="A81" s="67"/>
      <c r="B81" s="66"/>
      <c r="C81" s="101">
        <f t="shared" si="19"/>
        <v>0</v>
      </c>
      <c r="D81" s="37" t="s">
        <v>3624</v>
      </c>
      <c r="E81" s="101">
        <f t="shared" si="20"/>
        <v>-1</v>
      </c>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P81" s="440">
        <v>-1</v>
      </c>
    </row>
    <row r="82" spans="1:42" s="56" customFormat="1" x14ac:dyDescent="0.2">
      <c r="A82" s="67"/>
      <c r="B82" s="66"/>
      <c r="C82" s="65">
        <f t="shared" si="19"/>
        <v>0</v>
      </c>
      <c r="D82" s="93" t="s">
        <v>3625</v>
      </c>
      <c r="E82" s="65">
        <f t="shared" si="20"/>
        <v>1</v>
      </c>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P82" s="440">
        <v>1</v>
      </c>
    </row>
    <row r="83" spans="1:42" s="56" customFormat="1" x14ac:dyDescent="0.2">
      <c r="A83" s="67"/>
      <c r="B83" s="66"/>
      <c r="C83" s="101">
        <f t="shared" si="19"/>
        <v>0</v>
      </c>
      <c r="D83" s="37" t="s">
        <v>8652</v>
      </c>
      <c r="E83" s="101">
        <f t="shared" si="20"/>
        <v>0</v>
      </c>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row>
    <row r="84" spans="1:42" s="56" customFormat="1" x14ac:dyDescent="0.2">
      <c r="A84" s="67"/>
      <c r="B84" s="66"/>
      <c r="C84" s="65">
        <f t="shared" si="19"/>
        <v>0</v>
      </c>
      <c r="D84" s="93" t="s">
        <v>4415</v>
      </c>
      <c r="E84" s="65">
        <f t="shared" si="20"/>
        <v>0</v>
      </c>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row>
    <row r="85" spans="1:42" s="56" customFormat="1" x14ac:dyDescent="0.2">
      <c r="A85" s="67"/>
      <c r="B85" s="66"/>
      <c r="C85" s="65">
        <f t="shared" si="19"/>
        <v>0</v>
      </c>
      <c r="D85" s="93" t="s">
        <v>4416</v>
      </c>
      <c r="E85" s="65">
        <f t="shared" si="20"/>
        <v>0</v>
      </c>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row>
    <row r="86" spans="1:42" s="56" customFormat="1" x14ac:dyDescent="0.2">
      <c r="A86" s="67"/>
      <c r="B86" s="66"/>
      <c r="C86" s="65">
        <f t="shared" si="19"/>
        <v>0</v>
      </c>
      <c r="D86" s="93" t="s">
        <v>3567</v>
      </c>
      <c r="E86" s="65">
        <f t="shared" si="20"/>
        <v>0</v>
      </c>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row>
    <row r="87" spans="1:42" s="56" customFormat="1" x14ac:dyDescent="0.2">
      <c r="A87" s="67"/>
      <c r="B87" s="66"/>
      <c r="C87" s="65">
        <f t="shared" si="19"/>
        <v>0</v>
      </c>
      <c r="D87" s="93" t="s">
        <v>3702</v>
      </c>
      <c r="E87" s="65">
        <f t="shared" si="20"/>
        <v>0</v>
      </c>
      <c r="S87" s="57"/>
      <c r="Z87" s="57"/>
      <c r="AA87" s="144"/>
      <c r="AB87" s="144"/>
      <c r="AC87" s="144"/>
      <c r="AD87" s="144"/>
      <c r="AE87" s="144"/>
      <c r="AF87" s="144"/>
      <c r="AG87" s="144"/>
      <c r="AH87" s="57"/>
      <c r="AI87" s="144"/>
      <c r="AJ87" s="57"/>
      <c r="AK87" s="144"/>
    </row>
    <row r="88" spans="1:42" s="56" customFormat="1" x14ac:dyDescent="0.2">
      <c r="A88" s="67"/>
      <c r="B88" s="66"/>
      <c r="C88" s="101">
        <f t="shared" si="19"/>
        <v>0</v>
      </c>
      <c r="D88" s="37" t="s">
        <v>3788</v>
      </c>
      <c r="E88" s="101">
        <f t="shared" si="20"/>
        <v>0</v>
      </c>
      <c r="S88" s="57"/>
      <c r="Z88" s="57"/>
      <c r="AA88" s="144"/>
      <c r="AB88" s="144"/>
      <c r="AC88" s="144"/>
      <c r="AD88" s="144"/>
      <c r="AE88" s="144"/>
      <c r="AF88" s="144"/>
      <c r="AG88" s="144"/>
      <c r="AH88" s="57"/>
      <c r="AI88" s="144"/>
      <c r="AJ88" s="57"/>
      <c r="AK88" s="144"/>
    </row>
    <row r="89" spans="1:42" s="56" customFormat="1" x14ac:dyDescent="0.2">
      <c r="A89" s="67"/>
      <c r="B89" s="66"/>
      <c r="C89" s="65">
        <f t="shared" si="19"/>
        <v>0</v>
      </c>
      <c r="D89" s="93" t="s">
        <v>3789</v>
      </c>
      <c r="E89" s="65">
        <f t="shared" si="20"/>
        <v>0</v>
      </c>
      <c r="S89" s="57"/>
      <c r="Z89" s="57"/>
      <c r="AA89" s="144"/>
      <c r="AB89" s="144"/>
      <c r="AC89" s="144"/>
      <c r="AD89" s="144"/>
      <c r="AE89" s="144"/>
      <c r="AF89" s="144"/>
      <c r="AG89" s="144"/>
      <c r="AH89" s="57"/>
      <c r="AI89" s="144"/>
      <c r="AJ89" s="57"/>
      <c r="AK89" s="144"/>
    </row>
    <row r="90" spans="1:42" s="56" customFormat="1" x14ac:dyDescent="0.2">
      <c r="A90" s="67"/>
      <c r="B90" s="66"/>
      <c r="C90" s="65">
        <f t="shared" si="19"/>
        <v>0</v>
      </c>
      <c r="D90" s="93" t="s">
        <v>4417</v>
      </c>
      <c r="E90" s="101">
        <f t="shared" si="20"/>
        <v>0</v>
      </c>
      <c r="AA90" s="144"/>
      <c r="AB90" s="144"/>
      <c r="AC90" s="144"/>
      <c r="AD90" s="144"/>
      <c r="AE90" s="144"/>
      <c r="AF90" s="144"/>
      <c r="AG90" s="144"/>
      <c r="AI90" s="144"/>
      <c r="AK90" s="144"/>
    </row>
    <row r="91" spans="1:42" s="56" customFormat="1" x14ac:dyDescent="0.2">
      <c r="A91" s="67"/>
      <c r="B91" s="66"/>
      <c r="C91" s="101">
        <f t="shared" si="19"/>
        <v>0</v>
      </c>
      <c r="D91" s="93" t="s">
        <v>515</v>
      </c>
      <c r="E91" s="101">
        <f t="shared" si="20"/>
        <v>0</v>
      </c>
      <c r="AA91" s="144"/>
      <c r="AB91" s="144"/>
      <c r="AC91" s="144"/>
      <c r="AD91" s="144"/>
      <c r="AE91" s="144"/>
      <c r="AF91" s="144"/>
      <c r="AG91" s="144"/>
      <c r="AI91" s="144"/>
      <c r="AK91" s="144"/>
    </row>
    <row r="92" spans="1:42" s="56" customFormat="1" x14ac:dyDescent="0.2">
      <c r="A92" s="67"/>
      <c r="B92" s="66"/>
      <c r="C92" s="65">
        <f t="shared" si="19"/>
        <v>0</v>
      </c>
      <c r="D92" s="93" t="s">
        <v>4418</v>
      </c>
      <c r="E92" s="101">
        <f t="shared" si="20"/>
        <v>0</v>
      </c>
      <c r="AA92" s="144"/>
      <c r="AB92" s="144"/>
      <c r="AC92" s="144"/>
      <c r="AD92" s="144"/>
      <c r="AE92" s="144"/>
      <c r="AF92" s="144"/>
      <c r="AG92" s="144"/>
      <c r="AI92" s="144"/>
      <c r="AK92" s="144"/>
    </row>
    <row r="93" spans="1:42" s="56" customFormat="1" x14ac:dyDescent="0.2">
      <c r="A93" s="67"/>
      <c r="B93" s="66"/>
      <c r="C93" s="101">
        <f t="shared" si="19"/>
        <v>0</v>
      </c>
      <c r="D93" s="93" t="s">
        <v>4419</v>
      </c>
      <c r="E93" s="101">
        <f t="shared" si="20"/>
        <v>0</v>
      </c>
      <c r="AA93" s="144"/>
      <c r="AB93" s="144"/>
      <c r="AC93" s="144"/>
      <c r="AD93" s="144"/>
      <c r="AE93" s="144"/>
      <c r="AF93" s="144"/>
      <c r="AG93" s="144"/>
      <c r="AI93" s="144"/>
      <c r="AK93" s="144"/>
    </row>
    <row r="94" spans="1:42" s="56" customFormat="1" x14ac:dyDescent="0.2">
      <c r="A94" s="67"/>
      <c r="B94" s="66"/>
      <c r="C94" s="65">
        <f t="shared" si="19"/>
        <v>0</v>
      </c>
      <c r="D94" s="93" t="s">
        <v>4420</v>
      </c>
      <c r="E94" s="101">
        <f t="shared" si="20"/>
        <v>0</v>
      </c>
      <c r="AA94" s="144"/>
      <c r="AB94" s="144"/>
      <c r="AC94" s="144"/>
      <c r="AD94" s="144"/>
      <c r="AE94" s="144"/>
      <c r="AF94" s="144"/>
      <c r="AG94" s="144"/>
      <c r="AI94" s="144"/>
      <c r="AK94" s="144"/>
    </row>
    <row r="95" spans="1:42" s="56" customFormat="1" x14ac:dyDescent="0.2">
      <c r="A95" s="67"/>
      <c r="B95" s="66"/>
      <c r="C95" s="101">
        <f t="shared" si="19"/>
        <v>0</v>
      </c>
      <c r="D95" s="93" t="s">
        <v>8653</v>
      </c>
      <c r="E95" s="101">
        <f t="shared" si="20"/>
        <v>0</v>
      </c>
      <c r="AA95" s="144"/>
      <c r="AB95" s="144"/>
      <c r="AC95" s="144"/>
      <c r="AD95" s="144"/>
      <c r="AE95" s="144"/>
      <c r="AF95" s="144"/>
      <c r="AG95" s="144"/>
      <c r="AI95" s="144"/>
      <c r="AK95" s="144"/>
    </row>
    <row r="96" spans="1:42" s="56" customFormat="1" x14ac:dyDescent="0.2">
      <c r="A96" s="67"/>
      <c r="B96" s="66"/>
      <c r="C96" s="65">
        <f t="shared" si="19"/>
        <v>0</v>
      </c>
      <c r="D96" s="93" t="s">
        <v>3966</v>
      </c>
      <c r="E96" s="65">
        <f t="shared" si="20"/>
        <v>0</v>
      </c>
      <c r="AA96" s="144"/>
      <c r="AB96" s="144"/>
      <c r="AC96" s="144"/>
      <c r="AD96" s="144"/>
      <c r="AE96" s="144"/>
      <c r="AF96" s="144"/>
      <c r="AG96" s="144"/>
      <c r="AI96" s="144"/>
      <c r="AK96" s="144"/>
    </row>
    <row r="97" spans="1:37" s="56" customFormat="1" x14ac:dyDescent="0.2">
      <c r="A97" s="67"/>
      <c r="B97" s="66"/>
      <c r="C97" s="65">
        <f t="shared" si="19"/>
        <v>0</v>
      </c>
      <c r="D97" s="93" t="s">
        <v>3967</v>
      </c>
      <c r="E97" s="65">
        <f t="shared" si="20"/>
        <v>0</v>
      </c>
      <c r="AA97" s="144"/>
      <c r="AB97" s="144"/>
      <c r="AC97" s="144"/>
      <c r="AD97" s="144"/>
      <c r="AE97" s="144"/>
      <c r="AF97" s="144"/>
      <c r="AG97" s="144"/>
      <c r="AI97" s="144"/>
      <c r="AK97" s="144"/>
    </row>
    <row r="98" spans="1:37" s="56" customFormat="1" x14ac:dyDescent="0.2">
      <c r="A98" s="67"/>
      <c r="B98" s="66"/>
      <c r="C98" s="65">
        <f t="shared" si="19"/>
        <v>0</v>
      </c>
      <c r="D98" s="93" t="s">
        <v>3971</v>
      </c>
      <c r="E98" s="65">
        <f t="shared" si="20"/>
        <v>0</v>
      </c>
      <c r="AA98" s="144"/>
      <c r="AB98" s="144"/>
      <c r="AC98" s="144"/>
      <c r="AD98" s="144"/>
      <c r="AE98" s="144"/>
      <c r="AF98" s="144"/>
      <c r="AG98" s="144"/>
      <c r="AI98" s="144"/>
      <c r="AK98" s="144"/>
    </row>
    <row r="99" spans="1:37" s="56" customFormat="1" x14ac:dyDescent="0.2">
      <c r="A99" s="67"/>
      <c r="B99" s="66"/>
      <c r="C99" s="65">
        <f t="shared" si="19"/>
        <v>0</v>
      </c>
      <c r="D99" s="37" t="s">
        <v>3972</v>
      </c>
      <c r="E99" s="65">
        <f t="shared" si="20"/>
        <v>0</v>
      </c>
      <c r="AA99" s="144"/>
      <c r="AB99" s="144"/>
      <c r="AC99" s="144"/>
      <c r="AD99" s="144"/>
      <c r="AE99" s="144"/>
      <c r="AF99" s="144"/>
      <c r="AG99" s="144"/>
      <c r="AI99" s="144"/>
      <c r="AK99" s="144"/>
    </row>
    <row r="100" spans="1:37" s="56" customFormat="1" x14ac:dyDescent="0.2">
      <c r="A100" s="67"/>
      <c r="B100" s="66"/>
      <c r="C100" s="65">
        <f t="shared" si="19"/>
        <v>0</v>
      </c>
      <c r="D100" s="37" t="s">
        <v>4020</v>
      </c>
      <c r="E100" s="65">
        <f t="shared" si="20"/>
        <v>0</v>
      </c>
      <c r="AA100" s="144"/>
      <c r="AB100" s="144"/>
      <c r="AC100" s="144"/>
      <c r="AD100" s="144"/>
      <c r="AE100" s="144"/>
      <c r="AF100" s="144"/>
      <c r="AG100" s="144"/>
      <c r="AI100" s="144"/>
      <c r="AK100" s="144"/>
    </row>
    <row r="101" spans="1:37" s="56" customFormat="1" x14ac:dyDescent="0.2">
      <c r="A101" s="67"/>
      <c r="B101" s="66"/>
      <c r="C101" s="65">
        <f t="shared" si="19"/>
        <v>0</v>
      </c>
      <c r="D101" s="49"/>
      <c r="E101" s="65">
        <f t="shared" si="20"/>
        <v>0</v>
      </c>
      <c r="AA101" s="144"/>
      <c r="AB101" s="144"/>
      <c r="AC101" s="144"/>
      <c r="AD101" s="144"/>
      <c r="AE101" s="144"/>
      <c r="AF101" s="144"/>
      <c r="AG101" s="144"/>
      <c r="AI101" s="144"/>
      <c r="AK101" s="144"/>
    </row>
    <row r="102" spans="1:37" s="56" customFormat="1" x14ac:dyDescent="0.2">
      <c r="A102" s="67"/>
      <c r="B102" s="66"/>
      <c r="C102" s="65">
        <f t="shared" si="19"/>
        <v>0</v>
      </c>
      <c r="D102" s="49"/>
      <c r="E102" s="65">
        <f t="shared" si="20"/>
        <v>0</v>
      </c>
      <c r="AA102" s="144"/>
      <c r="AB102" s="144"/>
      <c r="AC102" s="144"/>
      <c r="AD102" s="144"/>
      <c r="AE102" s="144"/>
      <c r="AF102" s="144"/>
      <c r="AG102" s="144"/>
      <c r="AI102" s="144"/>
      <c r="AK102" s="144"/>
    </row>
    <row r="103" spans="1:37" s="56" customFormat="1" x14ac:dyDescent="0.2">
      <c r="A103" s="67"/>
      <c r="B103" s="66"/>
      <c r="C103" s="65">
        <f t="shared" si="19"/>
        <v>0</v>
      </c>
      <c r="D103" s="49"/>
      <c r="E103" s="65">
        <f t="shared" si="20"/>
        <v>0</v>
      </c>
      <c r="AA103" s="144"/>
      <c r="AB103" s="144"/>
      <c r="AC103" s="144"/>
      <c r="AD103" s="144"/>
      <c r="AE103" s="144"/>
      <c r="AF103" s="144"/>
      <c r="AG103" s="144"/>
      <c r="AI103" s="144"/>
      <c r="AK103" s="144"/>
    </row>
    <row r="104" spans="1:37" s="56" customFormat="1" x14ac:dyDescent="0.2">
      <c r="A104" s="67"/>
      <c r="B104" s="66"/>
      <c r="C104" s="65">
        <f t="shared" si="19"/>
        <v>0</v>
      </c>
      <c r="D104" s="49"/>
      <c r="E104" s="65">
        <f t="shared" si="20"/>
        <v>0</v>
      </c>
      <c r="AA104" s="144"/>
      <c r="AB104" s="144"/>
      <c r="AC104" s="144"/>
      <c r="AD104" s="144"/>
      <c r="AE104" s="144"/>
      <c r="AF104" s="144"/>
      <c r="AG104" s="144"/>
      <c r="AI104" s="144"/>
      <c r="AK104" s="144"/>
    </row>
    <row r="105" spans="1:37" s="56" customFormat="1" x14ac:dyDescent="0.2">
      <c r="A105" s="67"/>
      <c r="B105" s="66"/>
      <c r="C105" s="65">
        <f t="shared" si="19"/>
        <v>0</v>
      </c>
      <c r="D105" s="49"/>
      <c r="E105" s="65">
        <f t="shared" si="20"/>
        <v>0</v>
      </c>
      <c r="AA105" s="144"/>
      <c r="AB105" s="144"/>
      <c r="AC105" s="144"/>
      <c r="AD105" s="144"/>
      <c r="AE105" s="144"/>
      <c r="AF105" s="144"/>
      <c r="AG105" s="144"/>
      <c r="AI105" s="144"/>
      <c r="AK105" s="144"/>
    </row>
    <row r="106" spans="1:37" s="56" customFormat="1" x14ac:dyDescent="0.2">
      <c r="A106" s="67"/>
      <c r="B106" s="66"/>
      <c r="C106" s="65">
        <f t="shared" ref="C106:C137" si="21">E106*D$5</f>
        <v>0</v>
      </c>
      <c r="D106" s="49"/>
      <c r="E106" s="65">
        <f t="shared" si="20"/>
        <v>0</v>
      </c>
      <c r="AA106" s="144"/>
      <c r="AB106" s="144"/>
      <c r="AC106" s="144"/>
      <c r="AD106" s="144"/>
      <c r="AE106" s="144"/>
      <c r="AF106" s="144"/>
      <c r="AG106" s="144"/>
      <c r="AI106" s="144"/>
      <c r="AK106" s="144"/>
    </row>
    <row r="107" spans="1:37" s="56" customFormat="1" x14ac:dyDescent="0.2">
      <c r="A107" s="67"/>
      <c r="B107" s="66"/>
      <c r="C107" s="65">
        <f t="shared" si="21"/>
        <v>0</v>
      </c>
      <c r="D107" s="49"/>
      <c r="E107" s="65">
        <f t="shared" si="20"/>
        <v>0</v>
      </c>
      <c r="AA107" s="144"/>
      <c r="AB107" s="144"/>
      <c r="AC107" s="144"/>
      <c r="AD107" s="144"/>
      <c r="AE107" s="144"/>
      <c r="AF107" s="144"/>
      <c r="AG107" s="144"/>
      <c r="AI107" s="144"/>
      <c r="AK107" s="144"/>
    </row>
    <row r="108" spans="1:37" s="56" customFormat="1" x14ac:dyDescent="0.2">
      <c r="A108" s="67"/>
      <c r="B108" s="66"/>
      <c r="C108" s="65">
        <f t="shared" si="21"/>
        <v>0</v>
      </c>
      <c r="D108" s="49"/>
      <c r="E108" s="65">
        <f t="shared" ref="E108:E139" si="22">SUM(G108:HM108)</f>
        <v>0</v>
      </c>
      <c r="AA108" s="144"/>
      <c r="AB108" s="144"/>
      <c r="AC108" s="144"/>
      <c r="AD108" s="144"/>
      <c r="AE108" s="144"/>
      <c r="AF108" s="144"/>
      <c r="AG108" s="144"/>
      <c r="AI108" s="144"/>
      <c r="AK108" s="144"/>
    </row>
    <row r="109" spans="1:37" s="56" customFormat="1" x14ac:dyDescent="0.2">
      <c r="A109" s="67"/>
      <c r="B109" s="66"/>
      <c r="C109" s="65">
        <f t="shared" si="21"/>
        <v>0</v>
      </c>
      <c r="D109" s="49"/>
      <c r="E109" s="65">
        <f t="shared" si="22"/>
        <v>0</v>
      </c>
      <c r="AA109" s="144"/>
      <c r="AB109" s="144"/>
      <c r="AC109" s="144"/>
      <c r="AD109" s="144"/>
      <c r="AE109" s="144"/>
      <c r="AF109" s="144"/>
      <c r="AG109" s="144"/>
      <c r="AI109" s="144"/>
      <c r="AK109" s="144"/>
    </row>
    <row r="110" spans="1:37" s="56" customFormat="1" x14ac:dyDescent="0.2">
      <c r="A110" s="67"/>
      <c r="B110" s="66"/>
      <c r="C110" s="65">
        <f t="shared" si="21"/>
        <v>0</v>
      </c>
      <c r="D110" s="49"/>
      <c r="E110" s="65">
        <f t="shared" si="22"/>
        <v>0</v>
      </c>
      <c r="AA110" s="144"/>
      <c r="AB110" s="144"/>
      <c r="AC110" s="144"/>
      <c r="AD110" s="144"/>
      <c r="AE110" s="144"/>
      <c r="AF110" s="144"/>
      <c r="AG110" s="144"/>
      <c r="AI110" s="144"/>
      <c r="AK110" s="144"/>
    </row>
    <row r="111" spans="1:37" s="56" customFormat="1" x14ac:dyDescent="0.2">
      <c r="A111" s="67"/>
      <c r="B111" s="66"/>
      <c r="C111" s="65">
        <f t="shared" si="21"/>
        <v>0</v>
      </c>
      <c r="D111" s="49"/>
      <c r="E111" s="65">
        <f t="shared" si="22"/>
        <v>0</v>
      </c>
      <c r="AA111" s="144"/>
      <c r="AB111" s="144"/>
      <c r="AC111" s="144"/>
      <c r="AD111" s="144"/>
      <c r="AE111" s="144"/>
      <c r="AF111" s="144"/>
      <c r="AG111" s="144"/>
      <c r="AI111" s="144"/>
      <c r="AK111" s="144"/>
    </row>
    <row r="112" spans="1:37" s="56" customFormat="1" x14ac:dyDescent="0.2">
      <c r="A112" s="67"/>
      <c r="B112" s="66"/>
      <c r="C112" s="65">
        <f t="shared" si="21"/>
        <v>0</v>
      </c>
      <c r="D112" s="49"/>
      <c r="E112" s="65">
        <f t="shared" si="22"/>
        <v>0</v>
      </c>
      <c r="AA112" s="144"/>
      <c r="AB112" s="144"/>
      <c r="AC112" s="144"/>
      <c r="AD112" s="144"/>
      <c r="AE112" s="144"/>
      <c r="AF112" s="144"/>
      <c r="AG112" s="144"/>
      <c r="AI112" s="144"/>
      <c r="AK112" s="144"/>
    </row>
    <row r="113" spans="1:37" s="56" customFormat="1" x14ac:dyDescent="0.2">
      <c r="A113" s="67"/>
      <c r="B113" s="66"/>
      <c r="C113" s="65">
        <f t="shared" si="21"/>
        <v>0</v>
      </c>
      <c r="D113" s="49"/>
      <c r="E113" s="65">
        <f t="shared" si="22"/>
        <v>0</v>
      </c>
      <c r="AA113" s="144"/>
      <c r="AB113" s="144"/>
      <c r="AC113" s="144"/>
      <c r="AD113" s="144"/>
      <c r="AE113" s="144"/>
      <c r="AF113" s="144"/>
      <c r="AG113" s="144"/>
      <c r="AI113" s="144"/>
      <c r="AK113" s="144"/>
    </row>
    <row r="114" spans="1:37" s="56" customFormat="1" x14ac:dyDescent="0.2">
      <c r="A114" s="67"/>
      <c r="B114" s="66"/>
      <c r="C114" s="65">
        <f t="shared" si="21"/>
        <v>0</v>
      </c>
      <c r="D114" s="49"/>
      <c r="E114" s="65">
        <f t="shared" si="22"/>
        <v>0</v>
      </c>
      <c r="AA114" s="144"/>
      <c r="AB114" s="144"/>
      <c r="AC114" s="144"/>
      <c r="AD114" s="144"/>
      <c r="AE114" s="144"/>
      <c r="AF114" s="144"/>
      <c r="AG114" s="144"/>
      <c r="AI114" s="144"/>
      <c r="AK114" s="144"/>
    </row>
    <row r="115" spans="1:37" s="56" customFormat="1" x14ac:dyDescent="0.2">
      <c r="A115" s="67"/>
      <c r="B115" s="66"/>
      <c r="C115" s="65">
        <f t="shared" si="21"/>
        <v>0</v>
      </c>
      <c r="D115" s="49"/>
      <c r="E115" s="65">
        <f t="shared" si="22"/>
        <v>0</v>
      </c>
      <c r="AA115" s="144"/>
      <c r="AB115" s="144"/>
      <c r="AC115" s="144"/>
      <c r="AD115" s="144"/>
      <c r="AE115" s="144"/>
      <c r="AF115" s="144"/>
      <c r="AG115" s="144"/>
      <c r="AI115" s="144"/>
      <c r="AK115" s="144"/>
    </row>
    <row r="116" spans="1:37" s="56" customFormat="1" x14ac:dyDescent="0.2">
      <c r="A116" s="67"/>
      <c r="B116" s="66"/>
      <c r="C116" s="65">
        <f t="shared" si="21"/>
        <v>0</v>
      </c>
      <c r="D116" s="49"/>
      <c r="E116" s="65">
        <f t="shared" si="22"/>
        <v>0</v>
      </c>
      <c r="AA116" s="144"/>
      <c r="AB116" s="144"/>
      <c r="AC116" s="144"/>
      <c r="AD116" s="144"/>
      <c r="AE116" s="144"/>
      <c r="AF116" s="144"/>
      <c r="AG116" s="144"/>
      <c r="AI116" s="144"/>
      <c r="AK116" s="144"/>
    </row>
    <row r="117" spans="1:37" s="56" customFormat="1" x14ac:dyDescent="0.2">
      <c r="A117" s="67"/>
      <c r="B117" s="66"/>
      <c r="C117" s="65">
        <f t="shared" si="21"/>
        <v>0</v>
      </c>
      <c r="D117" s="49"/>
      <c r="E117" s="65">
        <f t="shared" si="22"/>
        <v>0</v>
      </c>
      <c r="AA117" s="144"/>
      <c r="AB117" s="144"/>
      <c r="AC117" s="144"/>
      <c r="AD117" s="144"/>
      <c r="AE117" s="144"/>
      <c r="AF117" s="144"/>
      <c r="AG117" s="144"/>
      <c r="AI117" s="144"/>
      <c r="AK117" s="144"/>
    </row>
    <row r="118" spans="1:37" s="56" customFormat="1" x14ac:dyDescent="0.2">
      <c r="A118" s="67"/>
      <c r="B118" s="66"/>
      <c r="C118" s="65">
        <f t="shared" si="21"/>
        <v>0</v>
      </c>
      <c r="D118" s="49"/>
      <c r="E118" s="65">
        <f t="shared" si="22"/>
        <v>0</v>
      </c>
      <c r="AA118" s="144"/>
      <c r="AB118" s="144"/>
      <c r="AC118" s="144"/>
      <c r="AD118" s="144"/>
      <c r="AE118" s="144"/>
      <c r="AF118" s="144"/>
      <c r="AG118" s="144"/>
      <c r="AI118" s="144"/>
      <c r="AK118" s="144"/>
    </row>
    <row r="119" spans="1:37" s="56" customFormat="1" x14ac:dyDescent="0.2">
      <c r="A119" s="67"/>
      <c r="B119" s="66"/>
      <c r="C119" s="65">
        <f t="shared" si="21"/>
        <v>0</v>
      </c>
      <c r="D119" s="49"/>
      <c r="E119" s="65">
        <f t="shared" si="22"/>
        <v>0</v>
      </c>
      <c r="AA119" s="144"/>
      <c r="AB119" s="144"/>
      <c r="AC119" s="144"/>
      <c r="AD119" s="144"/>
      <c r="AE119" s="144"/>
      <c r="AF119" s="144"/>
      <c r="AG119" s="144"/>
      <c r="AI119" s="144"/>
      <c r="AK119" s="144"/>
    </row>
    <row r="120" spans="1:37" s="56" customFormat="1" x14ac:dyDescent="0.2">
      <c r="A120" s="67"/>
      <c r="B120" s="66"/>
      <c r="C120" s="65">
        <f t="shared" si="21"/>
        <v>0</v>
      </c>
      <c r="D120" s="49"/>
      <c r="E120" s="65">
        <f t="shared" si="22"/>
        <v>0</v>
      </c>
      <c r="AA120" s="144"/>
      <c r="AB120" s="144"/>
      <c r="AC120" s="144"/>
      <c r="AD120" s="144"/>
      <c r="AE120" s="144"/>
      <c r="AF120" s="144"/>
      <c r="AG120" s="144"/>
      <c r="AI120" s="144"/>
      <c r="AK120" s="144"/>
    </row>
    <row r="121" spans="1:37" s="56" customFormat="1" x14ac:dyDescent="0.2">
      <c r="A121" s="67"/>
      <c r="B121" s="66"/>
      <c r="C121" s="65">
        <f t="shared" si="21"/>
        <v>0</v>
      </c>
      <c r="D121" s="49"/>
      <c r="E121" s="65">
        <f t="shared" si="22"/>
        <v>0</v>
      </c>
      <c r="AA121" s="144"/>
      <c r="AB121" s="144"/>
      <c r="AC121" s="144"/>
      <c r="AD121" s="144"/>
      <c r="AE121" s="144"/>
      <c r="AF121" s="144"/>
      <c r="AG121" s="144"/>
      <c r="AI121" s="144"/>
      <c r="AK121" s="144"/>
    </row>
    <row r="122" spans="1:37" s="56" customFormat="1" x14ac:dyDescent="0.2">
      <c r="A122" s="67"/>
      <c r="B122" s="66"/>
      <c r="C122" s="65">
        <f t="shared" si="21"/>
        <v>0</v>
      </c>
      <c r="D122" s="49"/>
      <c r="E122" s="65">
        <f t="shared" si="22"/>
        <v>0</v>
      </c>
      <c r="AA122" s="144"/>
      <c r="AB122" s="144"/>
      <c r="AC122" s="144"/>
      <c r="AD122" s="144"/>
      <c r="AE122" s="144"/>
      <c r="AF122" s="144"/>
      <c r="AG122" s="144"/>
      <c r="AI122" s="144"/>
      <c r="AK122" s="144"/>
    </row>
    <row r="123" spans="1:37" s="56" customFormat="1" x14ac:dyDescent="0.2">
      <c r="A123" s="67"/>
      <c r="B123" s="66"/>
      <c r="C123" s="65">
        <f t="shared" si="21"/>
        <v>0</v>
      </c>
      <c r="D123" s="49"/>
      <c r="E123" s="65">
        <f t="shared" si="22"/>
        <v>0</v>
      </c>
      <c r="AA123" s="144"/>
      <c r="AB123" s="144"/>
      <c r="AC123" s="144"/>
      <c r="AD123" s="144"/>
      <c r="AE123" s="144"/>
      <c r="AF123" s="144"/>
      <c r="AG123" s="144"/>
      <c r="AI123" s="144"/>
      <c r="AK123" s="144"/>
    </row>
    <row r="124" spans="1:37" s="56" customFormat="1" x14ac:dyDescent="0.2">
      <c r="A124" s="67"/>
      <c r="B124" s="66"/>
      <c r="C124" s="65">
        <f t="shared" si="21"/>
        <v>0</v>
      </c>
      <c r="D124" s="49"/>
      <c r="E124" s="65">
        <f t="shared" si="22"/>
        <v>0</v>
      </c>
      <c r="AA124" s="144"/>
      <c r="AB124" s="144"/>
      <c r="AC124" s="144"/>
      <c r="AD124" s="144"/>
      <c r="AE124" s="144"/>
      <c r="AF124" s="144"/>
      <c r="AG124" s="144"/>
      <c r="AI124" s="144"/>
      <c r="AK124" s="144"/>
    </row>
    <row r="125" spans="1:37" s="56" customFormat="1" x14ac:dyDescent="0.2">
      <c r="A125" s="67"/>
      <c r="B125" s="66"/>
      <c r="C125" s="65">
        <f t="shared" si="21"/>
        <v>0</v>
      </c>
      <c r="D125" s="49"/>
      <c r="E125" s="65">
        <f t="shared" si="22"/>
        <v>0</v>
      </c>
      <c r="AA125" s="144"/>
      <c r="AB125" s="144"/>
      <c r="AC125" s="144"/>
      <c r="AD125" s="144"/>
      <c r="AE125" s="144"/>
      <c r="AF125" s="144"/>
      <c r="AG125" s="144"/>
      <c r="AI125" s="144"/>
      <c r="AK125" s="144"/>
    </row>
    <row r="126" spans="1:37" s="56" customFormat="1" x14ac:dyDescent="0.2">
      <c r="A126" s="67"/>
      <c r="B126" s="66"/>
      <c r="C126" s="65">
        <f t="shared" si="21"/>
        <v>0</v>
      </c>
      <c r="D126" s="49"/>
      <c r="E126" s="65">
        <f t="shared" si="22"/>
        <v>0</v>
      </c>
      <c r="AA126" s="144"/>
      <c r="AB126" s="144"/>
      <c r="AC126" s="144"/>
      <c r="AD126" s="144"/>
      <c r="AE126" s="144"/>
      <c r="AF126" s="144"/>
      <c r="AG126" s="144"/>
      <c r="AI126" s="144"/>
      <c r="AK126" s="144"/>
    </row>
    <row r="127" spans="1:37" s="56" customFormat="1" x14ac:dyDescent="0.2">
      <c r="A127" s="67"/>
      <c r="B127" s="66"/>
      <c r="C127" s="65">
        <f t="shared" si="21"/>
        <v>0</v>
      </c>
      <c r="D127" s="49"/>
      <c r="E127" s="65">
        <f t="shared" si="22"/>
        <v>0</v>
      </c>
      <c r="AA127" s="144"/>
      <c r="AB127" s="144"/>
      <c r="AC127" s="144"/>
      <c r="AD127" s="144"/>
      <c r="AE127" s="144"/>
      <c r="AF127" s="144"/>
      <c r="AG127" s="144"/>
      <c r="AI127" s="144"/>
      <c r="AK127" s="144"/>
    </row>
    <row r="128" spans="1:37" s="56" customFormat="1" x14ac:dyDescent="0.2">
      <c r="A128" s="67"/>
      <c r="B128" s="66"/>
      <c r="C128" s="65">
        <f t="shared" si="21"/>
        <v>0</v>
      </c>
      <c r="D128" s="49"/>
      <c r="E128" s="65">
        <f t="shared" si="22"/>
        <v>0</v>
      </c>
      <c r="AA128" s="144"/>
      <c r="AB128" s="144"/>
      <c r="AC128" s="144"/>
      <c r="AD128" s="144"/>
      <c r="AE128" s="144"/>
      <c r="AF128" s="144"/>
      <c r="AG128" s="144"/>
      <c r="AI128" s="144"/>
      <c r="AK128" s="144"/>
    </row>
    <row r="129" spans="1:37" s="56" customFormat="1" x14ac:dyDescent="0.2">
      <c r="A129" s="67"/>
      <c r="B129" s="66"/>
      <c r="C129" s="65">
        <f t="shared" si="21"/>
        <v>0</v>
      </c>
      <c r="D129" s="49"/>
      <c r="E129" s="65">
        <f t="shared" si="22"/>
        <v>0</v>
      </c>
      <c r="AA129" s="144"/>
      <c r="AB129" s="144"/>
      <c r="AC129" s="144"/>
      <c r="AD129" s="144"/>
      <c r="AE129" s="144"/>
      <c r="AF129" s="144"/>
      <c r="AG129" s="144"/>
      <c r="AI129" s="144"/>
      <c r="AK129" s="144"/>
    </row>
    <row r="130" spans="1:37" s="56" customFormat="1" x14ac:dyDescent="0.2">
      <c r="A130" s="67"/>
      <c r="B130" s="66"/>
      <c r="C130" s="65">
        <f t="shared" si="21"/>
        <v>0</v>
      </c>
      <c r="D130" s="49"/>
      <c r="E130" s="65">
        <f t="shared" si="22"/>
        <v>0</v>
      </c>
      <c r="AA130" s="144"/>
      <c r="AB130" s="144"/>
      <c r="AC130" s="144"/>
      <c r="AD130" s="144"/>
      <c r="AE130" s="144"/>
      <c r="AF130" s="144"/>
      <c r="AG130" s="144"/>
      <c r="AI130" s="144"/>
      <c r="AK130" s="144"/>
    </row>
    <row r="131" spans="1:37" s="56" customFormat="1" x14ac:dyDescent="0.2">
      <c r="A131" s="67"/>
      <c r="B131" s="66"/>
      <c r="C131" s="65">
        <f t="shared" si="21"/>
        <v>0</v>
      </c>
      <c r="D131" s="49"/>
      <c r="E131" s="65">
        <f t="shared" si="22"/>
        <v>0</v>
      </c>
      <c r="AA131" s="144"/>
      <c r="AB131" s="144"/>
      <c r="AC131" s="144"/>
      <c r="AD131" s="144"/>
      <c r="AE131" s="144"/>
      <c r="AF131" s="144"/>
      <c r="AG131" s="144"/>
      <c r="AI131" s="144"/>
      <c r="AK131" s="144"/>
    </row>
    <row r="132" spans="1:37" s="56" customFormat="1" x14ac:dyDescent="0.2">
      <c r="A132" s="67"/>
      <c r="B132" s="66"/>
      <c r="C132" s="65">
        <f t="shared" si="21"/>
        <v>0</v>
      </c>
      <c r="D132" s="49"/>
      <c r="E132" s="65">
        <f t="shared" si="22"/>
        <v>0</v>
      </c>
      <c r="AA132" s="144"/>
      <c r="AB132" s="144"/>
      <c r="AC132" s="144"/>
      <c r="AD132" s="144"/>
      <c r="AE132" s="144"/>
      <c r="AF132" s="144"/>
      <c r="AG132" s="144"/>
      <c r="AI132" s="144"/>
      <c r="AK132" s="144"/>
    </row>
    <row r="133" spans="1:37" s="56" customFormat="1" x14ac:dyDescent="0.2">
      <c r="A133" s="67"/>
      <c r="B133" s="66"/>
      <c r="C133" s="65">
        <f t="shared" si="21"/>
        <v>0</v>
      </c>
      <c r="D133" s="49"/>
      <c r="E133" s="65">
        <f t="shared" si="22"/>
        <v>0</v>
      </c>
      <c r="AA133" s="144"/>
      <c r="AB133" s="144"/>
      <c r="AC133" s="144"/>
      <c r="AD133" s="144"/>
      <c r="AE133" s="144"/>
      <c r="AF133" s="144"/>
      <c r="AG133" s="144"/>
      <c r="AI133" s="144"/>
      <c r="AK133" s="144"/>
    </row>
    <row r="134" spans="1:37" s="56" customFormat="1" x14ac:dyDescent="0.2">
      <c r="A134" s="67"/>
      <c r="B134" s="66"/>
      <c r="C134" s="65">
        <f t="shared" si="21"/>
        <v>0</v>
      </c>
      <c r="D134" s="49"/>
      <c r="E134" s="65">
        <f t="shared" si="22"/>
        <v>0</v>
      </c>
      <c r="AA134" s="144"/>
      <c r="AB134" s="144"/>
      <c r="AC134" s="144"/>
      <c r="AD134" s="144"/>
      <c r="AE134" s="144"/>
      <c r="AF134" s="144"/>
      <c r="AG134" s="144"/>
      <c r="AI134" s="144"/>
      <c r="AK134" s="144"/>
    </row>
    <row r="135" spans="1:37" s="56" customFormat="1" x14ac:dyDescent="0.2">
      <c r="A135" s="67"/>
      <c r="B135" s="66"/>
      <c r="C135" s="65">
        <f t="shared" si="21"/>
        <v>0</v>
      </c>
      <c r="D135" s="49"/>
      <c r="E135" s="65">
        <f t="shared" si="22"/>
        <v>0</v>
      </c>
      <c r="AA135" s="144"/>
      <c r="AB135" s="144"/>
      <c r="AC135" s="144"/>
      <c r="AD135" s="144"/>
      <c r="AE135" s="144"/>
      <c r="AF135" s="144"/>
      <c r="AG135" s="144"/>
      <c r="AI135" s="144"/>
      <c r="AK135" s="144"/>
    </row>
    <row r="136" spans="1:37" s="56" customFormat="1" x14ac:dyDescent="0.2">
      <c r="A136" s="67"/>
      <c r="B136" s="66"/>
      <c r="C136" s="65">
        <f t="shared" si="21"/>
        <v>0</v>
      </c>
      <c r="D136" s="49"/>
      <c r="E136" s="65">
        <f t="shared" si="22"/>
        <v>0</v>
      </c>
      <c r="AA136" s="144"/>
      <c r="AB136" s="144"/>
      <c r="AC136" s="144"/>
      <c r="AD136" s="144"/>
      <c r="AE136" s="144"/>
      <c r="AF136" s="144"/>
      <c r="AG136" s="144"/>
      <c r="AI136" s="144"/>
      <c r="AK136" s="144"/>
    </row>
    <row r="137" spans="1:37" s="56" customFormat="1" x14ac:dyDescent="0.2">
      <c r="A137" s="67"/>
      <c r="B137" s="66"/>
      <c r="C137" s="65">
        <f t="shared" si="21"/>
        <v>0</v>
      </c>
      <c r="D137" s="49"/>
      <c r="E137" s="65">
        <f t="shared" si="22"/>
        <v>0</v>
      </c>
      <c r="AA137" s="144"/>
      <c r="AB137" s="144"/>
      <c r="AC137" s="144"/>
      <c r="AD137" s="144"/>
      <c r="AE137" s="144"/>
      <c r="AF137" s="144"/>
      <c r="AG137" s="144"/>
      <c r="AI137" s="144"/>
      <c r="AK137" s="144"/>
    </row>
    <row r="138" spans="1:37" s="56" customFormat="1" x14ac:dyDescent="0.2">
      <c r="A138" s="67"/>
      <c r="B138" s="66"/>
      <c r="C138" s="65">
        <f t="shared" ref="C138:C169" si="23">E138*D$5</f>
        <v>0</v>
      </c>
      <c r="D138" s="49"/>
      <c r="E138" s="65">
        <f t="shared" si="22"/>
        <v>0</v>
      </c>
      <c r="AA138" s="144"/>
      <c r="AB138" s="144"/>
      <c r="AC138" s="144"/>
      <c r="AD138" s="144"/>
      <c r="AE138" s="144"/>
      <c r="AF138" s="144"/>
      <c r="AG138" s="144"/>
      <c r="AI138" s="144"/>
      <c r="AK138" s="144"/>
    </row>
    <row r="139" spans="1:37" s="56" customFormat="1" x14ac:dyDescent="0.2">
      <c r="A139" s="67"/>
      <c r="B139" s="66"/>
      <c r="C139" s="65">
        <f t="shared" si="23"/>
        <v>0</v>
      </c>
      <c r="D139" s="49"/>
      <c r="E139" s="65">
        <f t="shared" si="22"/>
        <v>0</v>
      </c>
      <c r="AA139" s="144"/>
      <c r="AB139" s="144"/>
      <c r="AC139" s="144"/>
      <c r="AD139" s="144"/>
      <c r="AE139" s="144"/>
      <c r="AF139" s="144"/>
      <c r="AG139" s="144"/>
      <c r="AI139" s="144"/>
      <c r="AK139" s="144"/>
    </row>
    <row r="140" spans="1:37" s="56" customFormat="1" x14ac:dyDescent="0.2">
      <c r="A140" s="67"/>
      <c r="B140" s="66"/>
      <c r="C140" s="65">
        <f t="shared" si="23"/>
        <v>0</v>
      </c>
      <c r="D140" s="49"/>
      <c r="E140" s="65">
        <f t="shared" ref="E140:E171" si="24">SUM(G140:HM140)</f>
        <v>0</v>
      </c>
      <c r="AA140" s="144"/>
      <c r="AB140" s="144"/>
      <c r="AC140" s="144"/>
      <c r="AD140" s="144"/>
      <c r="AE140" s="144"/>
      <c r="AF140" s="144"/>
      <c r="AG140" s="144"/>
      <c r="AI140" s="144"/>
      <c r="AK140" s="144"/>
    </row>
    <row r="141" spans="1:37" s="56" customFormat="1" x14ac:dyDescent="0.2">
      <c r="A141" s="67"/>
      <c r="B141" s="66"/>
      <c r="C141" s="65">
        <f t="shared" si="23"/>
        <v>0</v>
      </c>
      <c r="D141" s="49"/>
      <c r="E141" s="65">
        <f t="shared" si="24"/>
        <v>0</v>
      </c>
      <c r="AA141" s="144"/>
      <c r="AB141" s="144"/>
      <c r="AC141" s="144"/>
      <c r="AD141" s="144"/>
      <c r="AE141" s="144"/>
      <c r="AF141" s="144"/>
      <c r="AG141" s="144"/>
      <c r="AI141" s="144"/>
      <c r="AK141" s="144"/>
    </row>
    <row r="142" spans="1:37" s="56" customFormat="1" x14ac:dyDescent="0.2">
      <c r="A142" s="67"/>
      <c r="B142" s="66"/>
      <c r="C142" s="65">
        <f t="shared" si="23"/>
        <v>0</v>
      </c>
      <c r="D142" s="49"/>
      <c r="E142" s="65">
        <f t="shared" si="24"/>
        <v>0</v>
      </c>
      <c r="AA142" s="144"/>
      <c r="AB142" s="144"/>
      <c r="AC142" s="144"/>
      <c r="AD142" s="144"/>
      <c r="AE142" s="144"/>
      <c r="AF142" s="144"/>
      <c r="AG142" s="144"/>
      <c r="AI142" s="144"/>
      <c r="AK142" s="144"/>
    </row>
    <row r="143" spans="1:37" s="56" customFormat="1" x14ac:dyDescent="0.2">
      <c r="A143" s="67"/>
      <c r="B143" s="66"/>
      <c r="C143" s="65">
        <f t="shared" si="23"/>
        <v>0</v>
      </c>
      <c r="D143" s="49"/>
      <c r="E143" s="65">
        <f t="shared" si="24"/>
        <v>0</v>
      </c>
      <c r="AA143" s="144"/>
      <c r="AB143" s="144"/>
      <c r="AC143" s="144"/>
      <c r="AD143" s="144"/>
      <c r="AE143" s="144"/>
      <c r="AF143" s="144"/>
      <c r="AG143" s="144"/>
      <c r="AI143" s="144"/>
      <c r="AK143" s="144"/>
    </row>
    <row r="144" spans="1:37" s="56" customFormat="1" x14ac:dyDescent="0.2">
      <c r="A144" s="67"/>
      <c r="B144" s="66"/>
      <c r="C144" s="65">
        <f t="shared" si="23"/>
        <v>0</v>
      </c>
      <c r="D144" s="49"/>
      <c r="E144" s="65">
        <f t="shared" si="24"/>
        <v>0</v>
      </c>
      <c r="AA144" s="144"/>
      <c r="AB144" s="144"/>
      <c r="AC144" s="144"/>
      <c r="AD144" s="144"/>
      <c r="AE144" s="144"/>
      <c r="AF144" s="144"/>
      <c r="AG144" s="144"/>
      <c r="AI144" s="144"/>
      <c r="AK144" s="144"/>
    </row>
    <row r="145" spans="1:37" s="56" customFormat="1" x14ac:dyDescent="0.2">
      <c r="A145" s="67"/>
      <c r="B145" s="66"/>
      <c r="C145" s="65">
        <f t="shared" si="23"/>
        <v>0</v>
      </c>
      <c r="D145" s="49"/>
      <c r="E145" s="65">
        <f t="shared" si="24"/>
        <v>0</v>
      </c>
      <c r="AA145" s="144"/>
      <c r="AB145" s="144"/>
      <c r="AC145" s="144"/>
      <c r="AD145" s="144"/>
      <c r="AE145" s="144"/>
      <c r="AF145" s="144"/>
      <c r="AG145" s="144"/>
      <c r="AI145" s="144"/>
      <c r="AK145" s="144"/>
    </row>
    <row r="146" spans="1:37" s="56" customFormat="1" x14ac:dyDescent="0.2">
      <c r="A146" s="67"/>
      <c r="B146" s="66"/>
      <c r="C146" s="65">
        <f t="shared" si="23"/>
        <v>0</v>
      </c>
      <c r="D146" s="49"/>
      <c r="E146" s="65">
        <f t="shared" si="24"/>
        <v>0</v>
      </c>
      <c r="AA146" s="144"/>
      <c r="AB146" s="144"/>
      <c r="AC146" s="144"/>
      <c r="AD146" s="144"/>
      <c r="AE146" s="144"/>
      <c r="AF146" s="144"/>
      <c r="AG146" s="144"/>
      <c r="AI146" s="144"/>
      <c r="AK146" s="144"/>
    </row>
    <row r="147" spans="1:37" s="56" customFormat="1" x14ac:dyDescent="0.2">
      <c r="A147" s="67"/>
      <c r="B147" s="66"/>
      <c r="C147" s="65">
        <f t="shared" si="23"/>
        <v>0</v>
      </c>
      <c r="D147" s="49"/>
      <c r="E147" s="65">
        <f t="shared" si="24"/>
        <v>0</v>
      </c>
      <c r="AA147" s="144"/>
      <c r="AB147" s="144"/>
      <c r="AC147" s="144"/>
      <c r="AD147" s="144"/>
      <c r="AE147" s="144"/>
      <c r="AF147" s="144"/>
      <c r="AG147" s="144"/>
      <c r="AI147" s="144"/>
      <c r="AK147" s="144"/>
    </row>
    <row r="148" spans="1:37" s="56" customFormat="1" x14ac:dyDescent="0.2">
      <c r="A148" s="67"/>
      <c r="B148" s="66"/>
      <c r="C148" s="65">
        <f t="shared" si="23"/>
        <v>0</v>
      </c>
      <c r="D148" s="49"/>
      <c r="E148" s="65">
        <f t="shared" si="24"/>
        <v>0</v>
      </c>
      <c r="AA148" s="144"/>
      <c r="AB148" s="144"/>
      <c r="AC148" s="144"/>
      <c r="AD148" s="144"/>
      <c r="AE148" s="144"/>
      <c r="AF148" s="144"/>
      <c r="AG148" s="144"/>
      <c r="AI148" s="144"/>
      <c r="AK148" s="144"/>
    </row>
    <row r="149" spans="1:37" s="56" customFormat="1" x14ac:dyDescent="0.2">
      <c r="A149" s="67"/>
      <c r="B149" s="66"/>
      <c r="C149" s="65">
        <f t="shared" si="23"/>
        <v>0</v>
      </c>
      <c r="D149" s="49"/>
      <c r="E149" s="65">
        <f t="shared" si="24"/>
        <v>0</v>
      </c>
      <c r="AA149" s="144"/>
      <c r="AB149" s="144"/>
      <c r="AC149" s="144"/>
      <c r="AD149" s="144"/>
      <c r="AE149" s="144"/>
      <c r="AF149" s="144"/>
      <c r="AG149" s="144"/>
      <c r="AI149" s="144"/>
      <c r="AK149" s="144"/>
    </row>
    <row r="150" spans="1:37" s="56" customFormat="1" x14ac:dyDescent="0.2">
      <c r="A150" s="67"/>
      <c r="B150" s="66"/>
      <c r="C150" s="65">
        <f t="shared" si="23"/>
        <v>0</v>
      </c>
      <c r="D150" s="49"/>
      <c r="E150" s="65">
        <f t="shared" si="24"/>
        <v>0</v>
      </c>
      <c r="AA150" s="144"/>
      <c r="AB150" s="144"/>
      <c r="AC150" s="144"/>
      <c r="AD150" s="144"/>
      <c r="AE150" s="144"/>
      <c r="AF150" s="144"/>
      <c r="AG150" s="144"/>
      <c r="AI150" s="144"/>
      <c r="AK150" s="144"/>
    </row>
    <row r="151" spans="1:37" s="56" customFormat="1" x14ac:dyDescent="0.2">
      <c r="A151" s="67"/>
      <c r="B151" s="66"/>
      <c r="C151" s="65">
        <f t="shared" si="23"/>
        <v>0</v>
      </c>
      <c r="D151" s="49"/>
      <c r="E151" s="65">
        <f t="shared" si="24"/>
        <v>0</v>
      </c>
      <c r="AA151" s="144"/>
      <c r="AB151" s="144"/>
      <c r="AC151" s="144"/>
      <c r="AD151" s="144"/>
      <c r="AE151" s="144"/>
      <c r="AF151" s="144"/>
      <c r="AG151" s="144"/>
      <c r="AI151" s="144"/>
      <c r="AK151" s="144"/>
    </row>
    <row r="152" spans="1:37" s="56" customFormat="1" x14ac:dyDescent="0.2">
      <c r="A152" s="67"/>
      <c r="B152" s="66"/>
      <c r="C152" s="65">
        <f t="shared" si="23"/>
        <v>0</v>
      </c>
      <c r="D152" s="49"/>
      <c r="E152" s="65">
        <f t="shared" si="24"/>
        <v>0</v>
      </c>
      <c r="AA152" s="144"/>
      <c r="AB152" s="144"/>
      <c r="AC152" s="144"/>
      <c r="AD152" s="144"/>
      <c r="AE152" s="144"/>
      <c r="AF152" s="144"/>
      <c r="AG152" s="144"/>
      <c r="AI152" s="144"/>
      <c r="AK152" s="144"/>
    </row>
    <row r="153" spans="1:37" s="56" customFormat="1" x14ac:dyDescent="0.2">
      <c r="A153" s="67"/>
      <c r="B153" s="66"/>
      <c r="C153" s="65">
        <f t="shared" si="23"/>
        <v>0</v>
      </c>
      <c r="D153" s="49"/>
      <c r="E153" s="65">
        <f t="shared" si="24"/>
        <v>0</v>
      </c>
      <c r="AA153" s="144"/>
      <c r="AB153" s="144"/>
      <c r="AC153" s="144"/>
      <c r="AD153" s="144"/>
      <c r="AE153" s="144"/>
      <c r="AF153" s="144"/>
      <c r="AG153" s="144"/>
      <c r="AI153" s="144"/>
      <c r="AK153" s="144"/>
    </row>
    <row r="154" spans="1:37" s="56" customFormat="1" x14ac:dyDescent="0.2">
      <c r="A154" s="67"/>
      <c r="B154" s="66"/>
      <c r="C154" s="65">
        <f t="shared" si="23"/>
        <v>0</v>
      </c>
      <c r="D154" s="49"/>
      <c r="E154" s="65">
        <f t="shared" si="24"/>
        <v>0</v>
      </c>
      <c r="AA154" s="144"/>
      <c r="AB154" s="144"/>
      <c r="AC154" s="144"/>
      <c r="AD154" s="144"/>
      <c r="AE154" s="144"/>
      <c r="AF154" s="144"/>
      <c r="AG154" s="144"/>
      <c r="AI154" s="144"/>
      <c r="AK154" s="144"/>
    </row>
    <row r="155" spans="1:37" s="56" customFormat="1" x14ac:dyDescent="0.2">
      <c r="A155" s="67"/>
      <c r="B155" s="66"/>
      <c r="C155" s="65">
        <f t="shared" si="23"/>
        <v>0</v>
      </c>
      <c r="D155" s="49"/>
      <c r="E155" s="65">
        <f t="shared" si="24"/>
        <v>0</v>
      </c>
      <c r="AA155" s="144"/>
      <c r="AB155" s="144"/>
      <c r="AC155" s="144"/>
      <c r="AD155" s="144"/>
      <c r="AE155" s="144"/>
      <c r="AF155" s="144"/>
      <c r="AG155" s="144"/>
      <c r="AI155" s="144"/>
      <c r="AK155" s="144"/>
    </row>
    <row r="156" spans="1:37" s="56" customFormat="1" x14ac:dyDescent="0.2">
      <c r="A156" s="67"/>
      <c r="B156" s="66"/>
      <c r="C156" s="65">
        <f t="shared" si="23"/>
        <v>0</v>
      </c>
      <c r="D156" s="49"/>
      <c r="E156" s="65">
        <f t="shared" si="24"/>
        <v>0</v>
      </c>
      <c r="AA156" s="144"/>
      <c r="AB156" s="144"/>
      <c r="AC156" s="144"/>
      <c r="AD156" s="144"/>
      <c r="AE156" s="144"/>
      <c r="AF156" s="144"/>
      <c r="AG156" s="144"/>
      <c r="AI156" s="144"/>
      <c r="AK156" s="144"/>
    </row>
    <row r="157" spans="1:37" s="56" customFormat="1" x14ac:dyDescent="0.2">
      <c r="A157" s="67"/>
      <c r="B157" s="66"/>
      <c r="C157" s="65">
        <f t="shared" si="23"/>
        <v>0</v>
      </c>
      <c r="D157" s="49"/>
      <c r="E157" s="65">
        <f t="shared" si="24"/>
        <v>0</v>
      </c>
      <c r="AA157" s="144"/>
      <c r="AB157" s="144"/>
      <c r="AC157" s="144"/>
      <c r="AD157" s="144"/>
      <c r="AE157" s="144"/>
      <c r="AF157" s="144"/>
      <c r="AG157" s="144"/>
      <c r="AI157" s="144"/>
      <c r="AK157" s="144"/>
    </row>
    <row r="158" spans="1:37" s="56" customFormat="1" x14ac:dyDescent="0.2">
      <c r="A158" s="67"/>
      <c r="B158" s="66"/>
      <c r="C158" s="65">
        <f t="shared" si="23"/>
        <v>0</v>
      </c>
      <c r="D158" s="49"/>
      <c r="E158" s="65">
        <f t="shared" si="24"/>
        <v>0</v>
      </c>
      <c r="AA158" s="144"/>
      <c r="AB158" s="144"/>
      <c r="AC158" s="144"/>
      <c r="AD158" s="144"/>
      <c r="AE158" s="144"/>
      <c r="AF158" s="144"/>
      <c r="AG158" s="144"/>
      <c r="AI158" s="144"/>
      <c r="AK158" s="144"/>
    </row>
    <row r="159" spans="1:37" s="56" customFormat="1" x14ac:dyDescent="0.2">
      <c r="A159" s="67"/>
      <c r="B159" s="66"/>
      <c r="C159" s="65">
        <f t="shared" si="23"/>
        <v>0</v>
      </c>
      <c r="D159" s="49"/>
      <c r="E159" s="65">
        <f t="shared" si="24"/>
        <v>0</v>
      </c>
      <c r="AA159" s="144"/>
      <c r="AB159" s="144"/>
      <c r="AC159" s="144"/>
      <c r="AD159" s="144"/>
      <c r="AE159" s="144"/>
      <c r="AF159" s="144"/>
      <c r="AG159" s="144"/>
      <c r="AI159" s="144"/>
      <c r="AK159" s="144"/>
    </row>
    <row r="160" spans="1:37" s="56" customFormat="1" x14ac:dyDescent="0.2">
      <c r="A160" s="67"/>
      <c r="B160" s="66"/>
      <c r="C160" s="65">
        <f t="shared" si="23"/>
        <v>0</v>
      </c>
      <c r="D160" s="49"/>
      <c r="E160" s="65">
        <f t="shared" si="24"/>
        <v>0</v>
      </c>
      <c r="AA160" s="144"/>
      <c r="AB160" s="144"/>
      <c r="AC160" s="144"/>
      <c r="AD160" s="144"/>
      <c r="AE160" s="144"/>
      <c r="AF160" s="144"/>
      <c r="AG160" s="144"/>
      <c r="AI160" s="144"/>
      <c r="AK160" s="144"/>
    </row>
    <row r="161" spans="1:37" s="56" customFormat="1" x14ac:dyDescent="0.2">
      <c r="A161" s="67"/>
      <c r="B161" s="66"/>
      <c r="C161" s="65">
        <f t="shared" si="23"/>
        <v>0</v>
      </c>
      <c r="D161" s="49"/>
      <c r="E161" s="65">
        <f t="shared" si="24"/>
        <v>0</v>
      </c>
      <c r="AA161" s="144"/>
      <c r="AB161" s="144"/>
      <c r="AC161" s="144"/>
      <c r="AD161" s="144"/>
      <c r="AE161" s="144"/>
      <c r="AF161" s="144"/>
      <c r="AG161" s="144"/>
      <c r="AI161" s="144"/>
      <c r="AK161" s="144"/>
    </row>
    <row r="162" spans="1:37" s="56" customFormat="1" x14ac:dyDescent="0.2">
      <c r="A162" s="67"/>
      <c r="B162" s="66"/>
      <c r="C162" s="65">
        <f t="shared" si="23"/>
        <v>0</v>
      </c>
      <c r="D162" s="49"/>
      <c r="E162" s="65">
        <f t="shared" si="24"/>
        <v>0</v>
      </c>
      <c r="AA162" s="144"/>
      <c r="AB162" s="144"/>
      <c r="AC162" s="144"/>
      <c r="AD162" s="144"/>
      <c r="AE162" s="144"/>
      <c r="AF162" s="144"/>
      <c r="AG162" s="144"/>
      <c r="AI162" s="144"/>
      <c r="AK162" s="144"/>
    </row>
    <row r="163" spans="1:37" s="56" customFormat="1" x14ac:dyDescent="0.2">
      <c r="A163" s="67"/>
      <c r="B163" s="66"/>
      <c r="C163" s="65">
        <f t="shared" si="23"/>
        <v>0</v>
      </c>
      <c r="D163" s="49"/>
      <c r="E163" s="65">
        <f t="shared" si="24"/>
        <v>0</v>
      </c>
      <c r="AA163" s="144"/>
      <c r="AB163" s="144"/>
      <c r="AC163" s="144"/>
      <c r="AD163" s="144"/>
      <c r="AE163" s="144"/>
      <c r="AF163" s="144"/>
      <c r="AG163" s="144"/>
      <c r="AI163" s="144"/>
      <c r="AK163" s="144"/>
    </row>
    <row r="164" spans="1:37" s="56" customFormat="1" x14ac:dyDescent="0.2">
      <c r="A164" s="67"/>
      <c r="B164" s="66"/>
      <c r="C164" s="65">
        <f t="shared" si="23"/>
        <v>0</v>
      </c>
      <c r="D164" s="49"/>
      <c r="E164" s="65">
        <f t="shared" si="24"/>
        <v>0</v>
      </c>
      <c r="AA164" s="144"/>
      <c r="AB164" s="144"/>
      <c r="AC164" s="144"/>
      <c r="AD164" s="144"/>
      <c r="AE164" s="144"/>
      <c r="AF164" s="144"/>
      <c r="AG164" s="144"/>
      <c r="AI164" s="144"/>
      <c r="AK164" s="144"/>
    </row>
    <row r="165" spans="1:37" s="56" customFormat="1" x14ac:dyDescent="0.2">
      <c r="A165" s="67"/>
      <c r="B165" s="66"/>
      <c r="C165" s="65">
        <f t="shared" si="23"/>
        <v>0</v>
      </c>
      <c r="D165" s="49"/>
      <c r="E165" s="65">
        <f t="shared" si="24"/>
        <v>0</v>
      </c>
      <c r="AA165" s="144"/>
      <c r="AB165" s="144"/>
      <c r="AC165" s="144"/>
      <c r="AD165" s="144"/>
      <c r="AE165" s="144"/>
      <c r="AF165" s="144"/>
      <c r="AG165" s="144"/>
      <c r="AI165" s="144"/>
      <c r="AK165" s="144"/>
    </row>
    <row r="166" spans="1:37" s="56" customFormat="1" x14ac:dyDescent="0.2">
      <c r="A166" s="67"/>
      <c r="B166" s="66"/>
      <c r="C166" s="65">
        <f t="shared" si="23"/>
        <v>0</v>
      </c>
      <c r="D166" s="49"/>
      <c r="E166" s="65">
        <f t="shared" si="24"/>
        <v>0</v>
      </c>
      <c r="AA166" s="144"/>
      <c r="AB166" s="144"/>
      <c r="AC166" s="144"/>
      <c r="AD166" s="144"/>
      <c r="AE166" s="144"/>
      <c r="AF166" s="144"/>
      <c r="AG166" s="144"/>
      <c r="AI166" s="144"/>
      <c r="AK166" s="144"/>
    </row>
    <row r="167" spans="1:37" s="56" customFormat="1" x14ac:dyDescent="0.2">
      <c r="A167" s="67"/>
      <c r="B167" s="66"/>
      <c r="C167" s="65">
        <f t="shared" si="23"/>
        <v>0</v>
      </c>
      <c r="D167" s="49"/>
      <c r="E167" s="65">
        <f t="shared" si="24"/>
        <v>0</v>
      </c>
      <c r="AA167" s="144"/>
      <c r="AB167" s="144"/>
      <c r="AC167" s="144"/>
      <c r="AD167" s="144"/>
      <c r="AE167" s="144"/>
      <c r="AF167" s="144"/>
      <c r="AG167" s="144"/>
      <c r="AI167" s="144"/>
      <c r="AK167" s="144"/>
    </row>
    <row r="168" spans="1:37" s="56" customFormat="1" x14ac:dyDescent="0.2">
      <c r="A168" s="67"/>
      <c r="B168" s="66"/>
      <c r="C168" s="65">
        <f t="shared" si="23"/>
        <v>0</v>
      </c>
      <c r="D168" s="49"/>
      <c r="E168" s="65">
        <f t="shared" si="24"/>
        <v>0</v>
      </c>
      <c r="AA168" s="144"/>
      <c r="AB168" s="144"/>
      <c r="AC168" s="144"/>
      <c r="AD168" s="144"/>
      <c r="AE168" s="144"/>
      <c r="AF168" s="144"/>
      <c r="AG168" s="144"/>
      <c r="AI168" s="144"/>
      <c r="AK168" s="144"/>
    </row>
    <row r="169" spans="1:37" s="56" customFormat="1" x14ac:dyDescent="0.2">
      <c r="A169" s="67"/>
      <c r="B169" s="66"/>
      <c r="C169" s="65">
        <f t="shared" si="23"/>
        <v>0</v>
      </c>
      <c r="D169" s="49"/>
      <c r="E169" s="65">
        <f t="shared" si="24"/>
        <v>0</v>
      </c>
      <c r="AA169" s="144"/>
      <c r="AB169" s="144"/>
      <c r="AC169" s="144"/>
      <c r="AD169" s="144"/>
      <c r="AE169" s="144"/>
      <c r="AF169" s="144"/>
      <c r="AG169" s="144"/>
      <c r="AI169" s="144"/>
      <c r="AK169" s="144"/>
    </row>
    <row r="170" spans="1:37" s="56" customFormat="1" x14ac:dyDescent="0.2">
      <c r="A170" s="67"/>
      <c r="B170" s="66"/>
      <c r="C170" s="65">
        <f t="shared" ref="C170:C201" si="25">E170*D$5</f>
        <v>0</v>
      </c>
      <c r="D170" s="49"/>
      <c r="E170" s="65">
        <f t="shared" si="24"/>
        <v>0</v>
      </c>
      <c r="AA170" s="144"/>
      <c r="AB170" s="144"/>
      <c r="AC170" s="144"/>
      <c r="AD170" s="144"/>
      <c r="AE170" s="144"/>
      <c r="AF170" s="144"/>
      <c r="AG170" s="144"/>
      <c r="AI170" s="144"/>
      <c r="AK170" s="144"/>
    </row>
    <row r="171" spans="1:37" s="56" customFormat="1" x14ac:dyDescent="0.2">
      <c r="A171" s="67"/>
      <c r="B171" s="66"/>
      <c r="C171" s="65">
        <f t="shared" si="25"/>
        <v>0</v>
      </c>
      <c r="D171" s="49"/>
      <c r="E171" s="65">
        <f t="shared" si="24"/>
        <v>0</v>
      </c>
      <c r="AA171" s="144"/>
      <c r="AB171" s="144"/>
      <c r="AC171" s="144"/>
      <c r="AD171" s="144"/>
      <c r="AE171" s="144"/>
      <c r="AF171" s="144"/>
      <c r="AG171" s="144"/>
      <c r="AI171" s="144"/>
      <c r="AK171" s="144"/>
    </row>
    <row r="172" spans="1:37" s="56" customFormat="1" x14ac:dyDescent="0.2">
      <c r="A172" s="67"/>
      <c r="B172" s="66"/>
      <c r="C172" s="65">
        <f t="shared" si="25"/>
        <v>0</v>
      </c>
      <c r="D172" s="49"/>
      <c r="E172" s="65">
        <f t="shared" ref="E172:E203" si="26">SUM(G172:HM172)</f>
        <v>0</v>
      </c>
      <c r="AA172" s="144"/>
      <c r="AB172" s="144"/>
      <c r="AC172" s="144"/>
      <c r="AD172" s="144"/>
      <c r="AE172" s="144"/>
      <c r="AF172" s="144"/>
      <c r="AG172" s="144"/>
      <c r="AI172" s="144"/>
      <c r="AK172" s="144"/>
    </row>
    <row r="173" spans="1:37" s="56" customFormat="1" x14ac:dyDescent="0.2">
      <c r="A173" s="67"/>
      <c r="B173" s="66"/>
      <c r="C173" s="65">
        <f t="shared" si="25"/>
        <v>0</v>
      </c>
      <c r="D173" s="49"/>
      <c r="E173" s="65">
        <f t="shared" si="26"/>
        <v>0</v>
      </c>
      <c r="AA173" s="144"/>
      <c r="AB173" s="144"/>
      <c r="AC173" s="144"/>
      <c r="AD173" s="144"/>
      <c r="AE173" s="144"/>
      <c r="AF173" s="144"/>
      <c r="AG173" s="144"/>
      <c r="AI173" s="144"/>
      <c r="AK173" s="144"/>
    </row>
    <row r="174" spans="1:37" s="56" customFormat="1" x14ac:dyDescent="0.2">
      <c r="A174" s="67"/>
      <c r="B174" s="66"/>
      <c r="C174" s="65">
        <f t="shared" si="25"/>
        <v>0</v>
      </c>
      <c r="D174" s="49"/>
      <c r="E174" s="65">
        <f t="shared" si="26"/>
        <v>0</v>
      </c>
      <c r="AA174" s="144"/>
      <c r="AB174" s="144"/>
      <c r="AC174" s="144"/>
      <c r="AD174" s="144"/>
      <c r="AE174" s="144"/>
      <c r="AF174" s="144"/>
      <c r="AG174" s="144"/>
      <c r="AI174" s="144"/>
      <c r="AK174" s="144"/>
    </row>
    <row r="175" spans="1:37" s="56" customFormat="1" x14ac:dyDescent="0.2">
      <c r="A175" s="67"/>
      <c r="B175" s="66"/>
      <c r="C175" s="65">
        <f t="shared" si="25"/>
        <v>0</v>
      </c>
      <c r="D175" s="49"/>
      <c r="E175" s="65">
        <f t="shared" si="26"/>
        <v>0</v>
      </c>
      <c r="AA175" s="144"/>
      <c r="AB175" s="144"/>
      <c r="AC175" s="144"/>
      <c r="AD175" s="144"/>
      <c r="AE175" s="144"/>
      <c r="AF175" s="144"/>
      <c r="AG175" s="144"/>
      <c r="AI175" s="144"/>
      <c r="AK175" s="144"/>
    </row>
    <row r="176" spans="1:37" s="56" customFormat="1" x14ac:dyDescent="0.2">
      <c r="A176" s="67"/>
      <c r="B176" s="66"/>
      <c r="C176" s="65">
        <f t="shared" si="25"/>
        <v>0</v>
      </c>
      <c r="D176" s="49"/>
      <c r="E176" s="65">
        <f t="shared" si="26"/>
        <v>0</v>
      </c>
      <c r="AA176" s="144"/>
      <c r="AB176" s="144"/>
      <c r="AC176" s="144"/>
      <c r="AD176" s="144"/>
      <c r="AE176" s="144"/>
      <c r="AF176" s="144"/>
      <c r="AG176" s="144"/>
      <c r="AI176" s="144"/>
      <c r="AK176" s="144"/>
    </row>
    <row r="177" spans="1:37" s="56" customFormat="1" x14ac:dyDescent="0.2">
      <c r="A177" s="67"/>
      <c r="B177" s="66"/>
      <c r="C177" s="65">
        <f t="shared" si="25"/>
        <v>0</v>
      </c>
      <c r="D177" s="49"/>
      <c r="E177" s="65">
        <f t="shared" si="26"/>
        <v>0</v>
      </c>
      <c r="AA177" s="144"/>
      <c r="AB177" s="144"/>
      <c r="AC177" s="144"/>
      <c r="AD177" s="144"/>
      <c r="AE177" s="144"/>
      <c r="AF177" s="144"/>
      <c r="AG177" s="144"/>
      <c r="AI177" s="144"/>
      <c r="AK177" s="144"/>
    </row>
    <row r="178" spans="1:37" s="56" customFormat="1" x14ac:dyDescent="0.2">
      <c r="A178" s="67"/>
      <c r="B178" s="66"/>
      <c r="C178" s="65">
        <f t="shared" si="25"/>
        <v>0</v>
      </c>
      <c r="D178" s="49"/>
      <c r="E178" s="65">
        <f t="shared" si="26"/>
        <v>0</v>
      </c>
      <c r="AA178" s="144"/>
      <c r="AB178" s="144"/>
      <c r="AC178" s="144"/>
      <c r="AD178" s="144"/>
      <c r="AE178" s="144"/>
      <c r="AF178" s="144"/>
      <c r="AG178" s="144"/>
      <c r="AI178" s="144"/>
      <c r="AK178" s="144"/>
    </row>
    <row r="179" spans="1:37" s="56" customFormat="1" x14ac:dyDescent="0.2">
      <c r="A179" s="67"/>
      <c r="B179" s="66"/>
      <c r="C179" s="65">
        <f t="shared" si="25"/>
        <v>0</v>
      </c>
      <c r="D179" s="49"/>
      <c r="E179" s="65">
        <f t="shared" si="26"/>
        <v>0</v>
      </c>
      <c r="AA179" s="144"/>
      <c r="AB179" s="144"/>
      <c r="AC179" s="144"/>
      <c r="AD179" s="144"/>
      <c r="AE179" s="144"/>
      <c r="AF179" s="144"/>
      <c r="AG179" s="144"/>
      <c r="AI179" s="144"/>
      <c r="AK179" s="144"/>
    </row>
    <row r="180" spans="1:37" s="56" customFormat="1" x14ac:dyDescent="0.2">
      <c r="A180" s="67"/>
      <c r="B180" s="66"/>
      <c r="C180" s="65">
        <f t="shared" si="25"/>
        <v>0</v>
      </c>
      <c r="D180" s="49"/>
      <c r="E180" s="65">
        <f t="shared" si="26"/>
        <v>0</v>
      </c>
      <c r="AA180" s="144"/>
      <c r="AB180" s="144"/>
      <c r="AC180" s="144"/>
      <c r="AD180" s="144"/>
      <c r="AE180" s="144"/>
      <c r="AF180" s="144"/>
      <c r="AG180" s="144"/>
      <c r="AI180" s="144"/>
      <c r="AK180" s="144"/>
    </row>
    <row r="181" spans="1:37" s="56" customFormat="1" x14ac:dyDescent="0.2">
      <c r="A181" s="67"/>
      <c r="B181" s="66"/>
      <c r="C181" s="65">
        <f t="shared" si="25"/>
        <v>0</v>
      </c>
      <c r="D181" s="49"/>
      <c r="E181" s="65">
        <f t="shared" si="26"/>
        <v>0</v>
      </c>
      <c r="AA181" s="144"/>
      <c r="AB181" s="144"/>
      <c r="AC181" s="144"/>
      <c r="AD181" s="144"/>
      <c r="AE181" s="144"/>
      <c r="AF181" s="144"/>
      <c r="AG181" s="144"/>
      <c r="AI181" s="144"/>
      <c r="AK181" s="144"/>
    </row>
    <row r="182" spans="1:37" s="56" customFormat="1" x14ac:dyDescent="0.2">
      <c r="A182" s="67"/>
      <c r="B182" s="66"/>
      <c r="C182" s="65">
        <f t="shared" si="25"/>
        <v>0</v>
      </c>
      <c r="D182" s="49"/>
      <c r="E182" s="65">
        <f t="shared" si="26"/>
        <v>0</v>
      </c>
      <c r="AA182" s="144"/>
      <c r="AB182" s="144"/>
      <c r="AC182" s="144"/>
      <c r="AD182" s="144"/>
      <c r="AE182" s="144"/>
      <c r="AF182" s="144"/>
      <c r="AG182" s="144"/>
      <c r="AI182" s="144"/>
      <c r="AK182" s="144"/>
    </row>
    <row r="183" spans="1:37" s="56" customFormat="1" x14ac:dyDescent="0.2">
      <c r="A183" s="67"/>
      <c r="B183" s="66"/>
      <c r="C183" s="65">
        <f t="shared" si="25"/>
        <v>0</v>
      </c>
      <c r="D183" s="49"/>
      <c r="E183" s="65">
        <f t="shared" si="26"/>
        <v>0</v>
      </c>
      <c r="AA183" s="144"/>
      <c r="AB183" s="144"/>
      <c r="AC183" s="144"/>
      <c r="AD183" s="144"/>
      <c r="AE183" s="144"/>
      <c r="AF183" s="144"/>
      <c r="AG183" s="144"/>
      <c r="AI183" s="144"/>
      <c r="AK183" s="144"/>
    </row>
    <row r="184" spans="1:37" s="56" customFormat="1" x14ac:dyDescent="0.2">
      <c r="A184" s="67"/>
      <c r="B184" s="66"/>
      <c r="C184" s="65">
        <f t="shared" si="25"/>
        <v>0</v>
      </c>
      <c r="D184" s="49"/>
      <c r="E184" s="65">
        <f t="shared" si="26"/>
        <v>0</v>
      </c>
      <c r="AA184" s="144"/>
      <c r="AB184" s="144"/>
      <c r="AC184" s="144"/>
      <c r="AD184" s="144"/>
      <c r="AE184" s="144"/>
      <c r="AF184" s="144"/>
      <c r="AG184" s="144"/>
      <c r="AI184" s="144"/>
      <c r="AK184" s="144"/>
    </row>
    <row r="185" spans="1:37" s="56" customFormat="1" x14ac:dyDescent="0.2">
      <c r="A185" s="67"/>
      <c r="B185" s="66"/>
      <c r="C185" s="65">
        <f t="shared" si="25"/>
        <v>0</v>
      </c>
      <c r="D185" s="49"/>
      <c r="E185" s="65">
        <f t="shared" si="26"/>
        <v>0</v>
      </c>
      <c r="AA185" s="144"/>
      <c r="AB185" s="144"/>
      <c r="AC185" s="144"/>
      <c r="AD185" s="144"/>
      <c r="AE185" s="144"/>
      <c r="AF185" s="144"/>
      <c r="AG185" s="144"/>
      <c r="AI185" s="144"/>
      <c r="AK185" s="144"/>
    </row>
    <row r="186" spans="1:37" s="56" customFormat="1" x14ac:dyDescent="0.2">
      <c r="A186" s="67"/>
      <c r="B186" s="66"/>
      <c r="C186" s="65">
        <f t="shared" si="25"/>
        <v>0</v>
      </c>
      <c r="D186" s="49"/>
      <c r="E186" s="65">
        <f t="shared" si="26"/>
        <v>0</v>
      </c>
      <c r="AA186" s="144"/>
      <c r="AB186" s="144"/>
      <c r="AC186" s="144"/>
      <c r="AD186" s="144"/>
      <c r="AE186" s="144"/>
      <c r="AF186" s="144"/>
      <c r="AG186" s="144"/>
      <c r="AI186" s="144"/>
      <c r="AK186" s="144"/>
    </row>
    <row r="187" spans="1:37" s="56" customFormat="1" x14ac:dyDescent="0.2">
      <c r="A187" s="67"/>
      <c r="B187" s="66"/>
      <c r="C187" s="65">
        <f t="shared" si="25"/>
        <v>0</v>
      </c>
      <c r="D187" s="49"/>
      <c r="E187" s="65">
        <f t="shared" si="26"/>
        <v>0</v>
      </c>
      <c r="AA187" s="144"/>
      <c r="AB187" s="144"/>
      <c r="AC187" s="144"/>
      <c r="AD187" s="144"/>
      <c r="AE187" s="144"/>
      <c r="AF187" s="144"/>
      <c r="AG187" s="144"/>
      <c r="AI187" s="144"/>
      <c r="AK187" s="144"/>
    </row>
    <row r="188" spans="1:37" s="56" customFormat="1" x14ac:dyDescent="0.2">
      <c r="A188" s="67"/>
      <c r="B188" s="66"/>
      <c r="C188" s="65">
        <f t="shared" si="25"/>
        <v>0</v>
      </c>
      <c r="D188" s="49"/>
      <c r="E188" s="65">
        <f t="shared" si="26"/>
        <v>0</v>
      </c>
      <c r="AA188" s="144"/>
      <c r="AB188" s="144"/>
      <c r="AC188" s="144"/>
      <c r="AD188" s="144"/>
      <c r="AE188" s="144"/>
      <c r="AF188" s="144"/>
      <c r="AG188" s="144"/>
      <c r="AI188" s="144"/>
      <c r="AK188" s="144"/>
    </row>
    <row r="189" spans="1:37" s="56" customFormat="1" x14ac:dyDescent="0.2">
      <c r="A189" s="67"/>
      <c r="B189" s="66"/>
      <c r="C189" s="65">
        <f t="shared" si="25"/>
        <v>0</v>
      </c>
      <c r="D189" s="49"/>
      <c r="E189" s="65">
        <f t="shared" si="26"/>
        <v>0</v>
      </c>
      <c r="AA189" s="144"/>
      <c r="AB189" s="144"/>
      <c r="AC189" s="144"/>
      <c r="AD189" s="144"/>
      <c r="AE189" s="144"/>
      <c r="AF189" s="144"/>
      <c r="AG189" s="144"/>
      <c r="AI189" s="144"/>
      <c r="AK189" s="144"/>
    </row>
    <row r="190" spans="1:37" s="56" customFormat="1" x14ac:dyDescent="0.2">
      <c r="A190" s="67"/>
      <c r="B190" s="66"/>
      <c r="C190" s="65">
        <f t="shared" si="25"/>
        <v>0</v>
      </c>
      <c r="D190" s="49"/>
      <c r="E190" s="65">
        <f t="shared" si="26"/>
        <v>0</v>
      </c>
      <c r="AA190" s="144"/>
      <c r="AB190" s="144"/>
      <c r="AC190" s="144"/>
      <c r="AD190" s="144"/>
      <c r="AE190" s="144"/>
      <c r="AF190" s="144"/>
      <c r="AG190" s="144"/>
      <c r="AI190" s="144"/>
      <c r="AK190" s="144"/>
    </row>
    <row r="191" spans="1:37" s="56" customFormat="1" x14ac:dyDescent="0.2">
      <c r="A191" s="67"/>
      <c r="B191" s="66"/>
      <c r="C191" s="65">
        <f t="shared" si="25"/>
        <v>0</v>
      </c>
      <c r="D191" s="49"/>
      <c r="E191" s="65">
        <f t="shared" si="26"/>
        <v>0</v>
      </c>
      <c r="AA191" s="144"/>
      <c r="AB191" s="144"/>
      <c r="AC191" s="144"/>
      <c r="AD191" s="144"/>
      <c r="AE191" s="144"/>
      <c r="AF191" s="144"/>
      <c r="AG191" s="144"/>
      <c r="AI191" s="144"/>
      <c r="AK191" s="144"/>
    </row>
    <row r="192" spans="1:37" s="56" customFormat="1" x14ac:dyDescent="0.2">
      <c r="A192" s="67"/>
      <c r="B192" s="66"/>
      <c r="C192" s="65">
        <f t="shared" si="25"/>
        <v>0</v>
      </c>
      <c r="D192" s="49"/>
      <c r="E192" s="65">
        <f t="shared" si="26"/>
        <v>0</v>
      </c>
      <c r="AA192" s="144"/>
      <c r="AB192" s="144"/>
      <c r="AC192" s="144"/>
      <c r="AD192" s="144"/>
      <c r="AE192" s="144"/>
      <c r="AF192" s="144"/>
      <c r="AG192" s="144"/>
      <c r="AI192" s="144"/>
      <c r="AK192" s="144"/>
    </row>
    <row r="193" spans="1:37" s="56" customFormat="1" x14ac:dyDescent="0.2">
      <c r="A193" s="67"/>
      <c r="B193" s="66"/>
      <c r="C193" s="65">
        <f t="shared" si="25"/>
        <v>0</v>
      </c>
      <c r="D193" s="49"/>
      <c r="E193" s="65">
        <f t="shared" si="26"/>
        <v>0</v>
      </c>
      <c r="AA193" s="144"/>
      <c r="AB193" s="144"/>
      <c r="AC193" s="144"/>
      <c r="AD193" s="144"/>
      <c r="AE193" s="144"/>
      <c r="AF193" s="144"/>
      <c r="AG193" s="144"/>
      <c r="AI193" s="144"/>
      <c r="AK193" s="144"/>
    </row>
    <row r="194" spans="1:37" s="56" customFormat="1" x14ac:dyDescent="0.2">
      <c r="A194" s="67"/>
      <c r="B194" s="66"/>
      <c r="C194" s="65">
        <f t="shared" si="25"/>
        <v>0</v>
      </c>
      <c r="D194" s="49"/>
      <c r="E194" s="65">
        <f t="shared" si="26"/>
        <v>0</v>
      </c>
      <c r="AA194" s="144"/>
      <c r="AB194" s="144"/>
      <c r="AC194" s="144"/>
      <c r="AD194" s="144"/>
      <c r="AE194" s="144"/>
      <c r="AF194" s="144"/>
      <c r="AG194" s="144"/>
      <c r="AI194" s="144"/>
      <c r="AK194" s="144"/>
    </row>
    <row r="195" spans="1:37" s="56" customFormat="1" x14ac:dyDescent="0.2">
      <c r="A195" s="67"/>
      <c r="B195" s="66"/>
      <c r="C195" s="65">
        <f t="shared" si="25"/>
        <v>0</v>
      </c>
      <c r="D195" s="49"/>
      <c r="E195" s="65">
        <f t="shared" si="26"/>
        <v>0</v>
      </c>
      <c r="AA195" s="144"/>
      <c r="AB195" s="144"/>
      <c r="AC195" s="144"/>
      <c r="AD195" s="144"/>
      <c r="AE195" s="144"/>
      <c r="AF195" s="144"/>
      <c r="AG195" s="144"/>
      <c r="AI195" s="144"/>
      <c r="AK195" s="144"/>
    </row>
    <row r="196" spans="1:37" s="56" customFormat="1" x14ac:dyDescent="0.2">
      <c r="A196" s="67"/>
      <c r="B196" s="66"/>
      <c r="C196" s="65">
        <f t="shared" si="25"/>
        <v>0</v>
      </c>
      <c r="D196" s="49"/>
      <c r="E196" s="65">
        <f t="shared" si="26"/>
        <v>0</v>
      </c>
      <c r="AA196" s="144"/>
      <c r="AB196" s="144"/>
      <c r="AC196" s="144"/>
      <c r="AD196" s="144"/>
      <c r="AE196" s="144"/>
      <c r="AF196" s="144"/>
      <c r="AG196" s="144"/>
      <c r="AI196" s="144"/>
      <c r="AK196" s="144"/>
    </row>
    <row r="197" spans="1:37" s="56" customFormat="1" x14ac:dyDescent="0.2">
      <c r="A197" s="67"/>
      <c r="B197" s="66"/>
      <c r="C197" s="65">
        <f t="shared" si="25"/>
        <v>0</v>
      </c>
      <c r="D197" s="49"/>
      <c r="E197" s="65">
        <f t="shared" si="26"/>
        <v>0</v>
      </c>
      <c r="AA197" s="144"/>
      <c r="AB197" s="144"/>
      <c r="AC197" s="144"/>
      <c r="AD197" s="144"/>
      <c r="AE197" s="144"/>
      <c r="AF197" s="144"/>
      <c r="AG197" s="144"/>
      <c r="AI197" s="144"/>
      <c r="AK197" s="144"/>
    </row>
    <row r="198" spans="1:37" s="56" customFormat="1" x14ac:dyDescent="0.2">
      <c r="A198" s="67"/>
      <c r="B198" s="66"/>
      <c r="C198" s="65">
        <f t="shared" si="25"/>
        <v>0</v>
      </c>
      <c r="D198" s="49"/>
      <c r="E198" s="65">
        <f t="shared" si="26"/>
        <v>0</v>
      </c>
      <c r="AA198" s="144"/>
      <c r="AB198" s="144"/>
      <c r="AC198" s="144"/>
      <c r="AD198" s="144"/>
      <c r="AE198" s="144"/>
      <c r="AF198" s="144"/>
      <c r="AG198" s="144"/>
      <c r="AI198" s="144"/>
      <c r="AK198" s="144"/>
    </row>
    <row r="199" spans="1:37" s="56" customFormat="1" x14ac:dyDescent="0.2">
      <c r="A199" s="67"/>
      <c r="B199" s="66"/>
      <c r="C199" s="65">
        <f t="shared" si="25"/>
        <v>0</v>
      </c>
      <c r="D199" s="49"/>
      <c r="E199" s="65">
        <f t="shared" si="26"/>
        <v>0</v>
      </c>
      <c r="AA199" s="144"/>
      <c r="AB199" s="144"/>
      <c r="AC199" s="144"/>
      <c r="AD199" s="144"/>
      <c r="AE199" s="144"/>
      <c r="AF199" s="144"/>
      <c r="AG199" s="144"/>
      <c r="AI199" s="144"/>
      <c r="AK199" s="144"/>
    </row>
    <row r="200" spans="1:37" s="56" customFormat="1" x14ac:dyDescent="0.2">
      <c r="A200" s="67"/>
      <c r="B200" s="66"/>
      <c r="C200" s="65">
        <f t="shared" si="25"/>
        <v>0</v>
      </c>
      <c r="D200" s="49"/>
      <c r="E200" s="65">
        <f t="shared" si="26"/>
        <v>0</v>
      </c>
      <c r="AA200" s="144"/>
      <c r="AB200" s="144"/>
      <c r="AC200" s="144"/>
      <c r="AD200" s="144"/>
      <c r="AE200" s="144"/>
      <c r="AF200" s="144"/>
      <c r="AG200" s="144"/>
      <c r="AI200" s="144"/>
      <c r="AK200" s="144"/>
    </row>
    <row r="201" spans="1:37" s="56" customFormat="1" x14ac:dyDescent="0.2">
      <c r="A201" s="67"/>
      <c r="B201" s="66"/>
      <c r="C201" s="65">
        <f t="shared" si="25"/>
        <v>0</v>
      </c>
      <c r="D201" s="49"/>
      <c r="E201" s="65">
        <f t="shared" si="26"/>
        <v>0</v>
      </c>
      <c r="AA201" s="144"/>
      <c r="AB201" s="144"/>
      <c r="AC201" s="144"/>
      <c r="AD201" s="144"/>
      <c r="AE201" s="144"/>
      <c r="AF201" s="144"/>
      <c r="AG201" s="144"/>
      <c r="AI201" s="144"/>
      <c r="AK201" s="144"/>
    </row>
    <row r="202" spans="1:37" s="56" customFormat="1" x14ac:dyDescent="0.2">
      <c r="A202" s="67"/>
      <c r="B202" s="66"/>
      <c r="C202" s="65">
        <f t="shared" ref="C202:C203" si="27">E202*D$5</f>
        <v>0</v>
      </c>
      <c r="D202" s="49"/>
      <c r="E202" s="65">
        <f t="shared" si="26"/>
        <v>0</v>
      </c>
      <c r="AA202" s="144"/>
      <c r="AB202" s="144"/>
      <c r="AC202" s="144"/>
      <c r="AD202" s="144"/>
      <c r="AE202" s="144"/>
      <c r="AF202" s="144"/>
      <c r="AG202" s="144"/>
      <c r="AI202" s="144"/>
      <c r="AK202" s="144"/>
    </row>
    <row r="203" spans="1:37" s="56" customFormat="1" x14ac:dyDescent="0.2">
      <c r="A203" s="67"/>
      <c r="B203" s="66"/>
      <c r="C203" s="65">
        <f t="shared" si="27"/>
        <v>0</v>
      </c>
      <c r="D203" s="49"/>
      <c r="E203" s="65">
        <f t="shared" si="26"/>
        <v>0</v>
      </c>
      <c r="AA203" s="144"/>
      <c r="AB203" s="144"/>
      <c r="AC203" s="144"/>
      <c r="AD203" s="144"/>
      <c r="AE203" s="144"/>
      <c r="AF203" s="144"/>
      <c r="AG203" s="144"/>
      <c r="AI203" s="146"/>
      <c r="AK203" s="144"/>
    </row>
    <row r="204" spans="1:37" s="58" customFormat="1" x14ac:dyDescent="0.2">
      <c r="A204" s="63"/>
      <c r="B204" s="62"/>
      <c r="C204" s="61"/>
      <c r="D204" s="60"/>
      <c r="E204" s="59"/>
      <c r="S204" s="56"/>
      <c r="Z204" s="56"/>
      <c r="AA204" s="144"/>
      <c r="AB204" s="144"/>
      <c r="AC204" s="144"/>
      <c r="AD204" s="144"/>
      <c r="AE204" s="144"/>
      <c r="AF204" s="144"/>
      <c r="AG204" s="144"/>
      <c r="AH204" s="56"/>
      <c r="AI204" s="139"/>
      <c r="AJ204" s="56"/>
      <c r="AK204" s="144"/>
    </row>
    <row r="205" spans="1:37" s="55" customFormat="1" x14ac:dyDescent="0.2">
      <c r="A205" s="54"/>
      <c r="B205" s="53"/>
      <c r="C205" s="52"/>
      <c r="D205" s="51"/>
      <c r="E205" s="50"/>
      <c r="S205" s="56"/>
      <c r="Z205" s="56"/>
      <c r="AA205" s="144"/>
      <c r="AB205" s="144"/>
      <c r="AC205" s="144"/>
      <c r="AD205" s="144"/>
      <c r="AE205" s="144"/>
      <c r="AF205" s="144"/>
      <c r="AG205" s="144"/>
      <c r="AH205" s="56"/>
      <c r="AI205" s="139"/>
      <c r="AJ205" s="56"/>
      <c r="AK205" s="144"/>
    </row>
    <row r="206" spans="1:37" x14ac:dyDescent="0.2">
      <c r="A206" s="54"/>
      <c r="B206" s="53"/>
      <c r="C206" s="52"/>
      <c r="D206" s="51"/>
      <c r="E206" s="50"/>
      <c r="S206" s="56"/>
      <c r="Z206" s="56"/>
      <c r="AA206" s="144"/>
      <c r="AB206" s="144"/>
      <c r="AC206" s="144"/>
      <c r="AD206" s="146"/>
      <c r="AE206" s="146"/>
      <c r="AF206" s="146"/>
      <c r="AG206" s="146"/>
      <c r="AH206" s="56"/>
      <c r="AJ206" s="56"/>
      <c r="AK206" s="146"/>
    </row>
    <row r="207" spans="1:37" x14ac:dyDescent="0.2">
      <c r="S207" s="58"/>
      <c r="Z207" s="58"/>
      <c r="AA207" s="144"/>
      <c r="AB207" s="144"/>
      <c r="AC207" s="144"/>
      <c r="AH207" s="58"/>
      <c r="AJ207" s="58"/>
    </row>
    <row r="208" spans="1:37" x14ac:dyDescent="0.2">
      <c r="S208" s="55"/>
      <c r="Z208" s="55"/>
      <c r="AA208" s="146"/>
      <c r="AB208" s="144"/>
      <c r="AC208" s="144"/>
      <c r="AH208" s="55"/>
      <c r="AJ208" s="55"/>
    </row>
    <row r="209" spans="28:29" x14ac:dyDescent="0.2">
      <c r="AB209" s="146"/>
      <c r="AC209" s="144"/>
    </row>
    <row r="210" spans="28:29" x14ac:dyDescent="0.2">
      <c r="AC210" s="144"/>
    </row>
    <row r="211" spans="28:29" x14ac:dyDescent="0.2">
      <c r="AC211" s="144"/>
    </row>
    <row r="212" spans="28:29" x14ac:dyDescent="0.2">
      <c r="AC212" s="146"/>
    </row>
  </sheetData>
  <mergeCells count="186">
    <mergeCell ref="E2:F2"/>
    <mergeCell ref="K7:K8"/>
    <mergeCell ref="CY7:CY8"/>
    <mergeCell ref="AW7:AW8"/>
    <mergeCell ref="CX7:CX8"/>
    <mergeCell ref="CH7:CH8"/>
    <mergeCell ref="AK7:AK8"/>
    <mergeCell ref="AC7:AC8"/>
    <mergeCell ref="EL7:EL8"/>
    <mergeCell ref="AE7:AE8"/>
    <mergeCell ref="CV7:CV8"/>
    <mergeCell ref="CE7:CE8"/>
    <mergeCell ref="E3:F3"/>
    <mergeCell ref="BA7:BA8"/>
    <mergeCell ref="BC7:BC8"/>
    <mergeCell ref="M7:M8"/>
    <mergeCell ref="DX7:DX8"/>
    <mergeCell ref="Q7:Q8"/>
    <mergeCell ref="FS7:FS8"/>
    <mergeCell ref="BL7:BL8"/>
    <mergeCell ref="EC7:EC8"/>
    <mergeCell ref="CD7:CD8"/>
    <mergeCell ref="FK7:FK8"/>
    <mergeCell ref="FM7:FM8"/>
    <mergeCell ref="EE7:EE8"/>
    <mergeCell ref="DN7:DN8"/>
    <mergeCell ref="BX7:BX8"/>
    <mergeCell ref="FR7:FR8"/>
    <mergeCell ref="FQ7:FQ8"/>
    <mergeCell ref="FP7:FP8"/>
    <mergeCell ref="EW7:EW8"/>
    <mergeCell ref="FG7:FG8"/>
    <mergeCell ref="EY7:EY8"/>
    <mergeCell ref="EP7:EP8"/>
    <mergeCell ref="FB7:FB8"/>
    <mergeCell ref="FD7:FD8"/>
    <mergeCell ref="BO7:BO8"/>
    <mergeCell ref="CI7:CI8"/>
    <mergeCell ref="DS7:DS8"/>
    <mergeCell ref="BR7:BR8"/>
    <mergeCell ref="DT7:DT8"/>
    <mergeCell ref="DV7:DV8"/>
    <mergeCell ref="B4:C4"/>
    <mergeCell ref="BY7:BY8"/>
    <mergeCell ref="ER7:ER8"/>
    <mergeCell ref="CS7:CS8"/>
    <mergeCell ref="FJ7:FJ8"/>
    <mergeCell ref="DE7:DE8"/>
    <mergeCell ref="X7:X8"/>
    <mergeCell ref="Z7:Z8"/>
    <mergeCell ref="CQ7:CQ8"/>
    <mergeCell ref="ES7:ES8"/>
    <mergeCell ref="EU7:EU8"/>
    <mergeCell ref="BM7:BM8"/>
    <mergeCell ref="AZ7:AZ8"/>
    <mergeCell ref="E6:E7"/>
    <mergeCell ref="DQ7:DQ8"/>
    <mergeCell ref="H7:H8"/>
    <mergeCell ref="J7:J8"/>
    <mergeCell ref="BJ7:BJ8"/>
    <mergeCell ref="AB7:AB8"/>
    <mergeCell ref="FH7:FH8"/>
    <mergeCell ref="DZ7:DZ8"/>
    <mergeCell ref="BS7:BS8"/>
    <mergeCell ref="EJ7:EJ8"/>
    <mergeCell ref="BU7:BU8"/>
    <mergeCell ref="B5:C5"/>
    <mergeCell ref="AR7:AR8"/>
    <mergeCell ref="DW7:DW8"/>
    <mergeCell ref="EI7:EI8"/>
    <mergeCell ref="ED7:ED8"/>
    <mergeCell ref="D6:D7"/>
    <mergeCell ref="AO7:AO8"/>
    <mergeCell ref="AQ7:AQ8"/>
    <mergeCell ref="B6:B8"/>
    <mergeCell ref="BK7:BK8"/>
    <mergeCell ref="C6:C7"/>
    <mergeCell ref="BH7:BH8"/>
    <mergeCell ref="DY7:DY8"/>
    <mergeCell ref="EA7:EA8"/>
    <mergeCell ref="DJ7:DJ8"/>
    <mergeCell ref="BT7:BT8"/>
    <mergeCell ref="DK7:DK8"/>
    <mergeCell ref="AV7:AV8"/>
    <mergeCell ref="CP7:CP8"/>
    <mergeCell ref="DM7:DM8"/>
    <mergeCell ref="DR7:DR8"/>
    <mergeCell ref="DB7:DB8"/>
    <mergeCell ref="CL7:CL8"/>
    <mergeCell ref="AG7:AG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AA7:AA8"/>
    <mergeCell ref="CZ7:CZ8"/>
    <mergeCell ref="CR7:CR8"/>
    <mergeCell ref="AS7:AS8"/>
    <mergeCell ref="AU7:AU8"/>
    <mergeCell ref="F6:F8"/>
    <mergeCell ref="CC7:CC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EQ7:EQ8"/>
    <mergeCell ref="AH7:AH8"/>
    <mergeCell ref="FI7:FI8"/>
    <mergeCell ref="CJ7:CJ8"/>
    <mergeCell ref="BB7:BB8"/>
    <mergeCell ref="FA7:FA8"/>
    <mergeCell ref="BD7:BD8"/>
    <mergeCell ref="FC7:FC8"/>
    <mergeCell ref="EN7:EN8"/>
    <mergeCell ref="AT7:AT8"/>
    <mergeCell ref="E1:F1"/>
    <mergeCell ref="P7:P8"/>
    <mergeCell ref="AM7:AM8"/>
    <mergeCell ref="FF7:FF8"/>
    <mergeCell ref="CA7:CA8"/>
    <mergeCell ref="T7:T8"/>
    <mergeCell ref="V7:V8"/>
    <mergeCell ref="CM7:CM8"/>
    <mergeCell ref="AN7:AN8"/>
    <mergeCell ref="AP7:AP8"/>
    <mergeCell ref="AF7:AF8"/>
    <mergeCell ref="DG7:DG8"/>
    <mergeCell ref="EO7:EO8"/>
    <mergeCell ref="DL7:DL8"/>
    <mergeCell ref="DD7:DD8"/>
    <mergeCell ref="BE7:BE8"/>
    <mergeCell ref="BV7:BV8"/>
    <mergeCell ref="DF7:DF8"/>
    <mergeCell ref="BG7:BG8"/>
    <mergeCell ref="O7:O8"/>
    <mergeCell ref="CG7:CG8"/>
    <mergeCell ref="EX7:EX8"/>
    <mergeCell ref="EZ7:EZ8"/>
    <mergeCell ref="DH7:DH8"/>
  </mergeCells>
  <pageMargins left="0.7" right="0.7" top="0.75" bottom="0.75" header="0.3" footer="0.3"/>
  <pageSetup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C208"/>
  <sheetViews>
    <sheetView workbookViewId="0">
      <selection activeCell="L1" sqref="L1:L1048576"/>
    </sheetView>
  </sheetViews>
  <sheetFormatPr defaultColWidth="14.42578125" defaultRowHeight="12.75" x14ac:dyDescent="0.2"/>
  <cols>
    <col min="1" max="1" width="20.140625" style="48" customWidth="1"/>
    <col min="2" max="2" width="9" style="47" customWidth="1"/>
    <col min="3" max="3" width="17.28515625" style="46" customWidth="1"/>
    <col min="4" max="4" width="40" style="45" customWidth="1"/>
    <col min="5" max="5" width="15" style="44" customWidth="1"/>
    <col min="6" max="6" width="5.140625" style="42" customWidth="1"/>
    <col min="7" max="7" width="14.42578125" style="42" customWidth="1"/>
    <col min="8" max="11" width="11" style="42" customWidth="1"/>
    <col min="12" max="12" width="14.7109375" style="42" customWidth="1"/>
    <col min="13" max="13" width="14.28515625" style="42" customWidth="1"/>
    <col min="14" max="15" width="11" style="42" customWidth="1"/>
    <col min="16" max="16" width="9.140625" style="42" bestFit="1" customWidth="1"/>
    <col min="17" max="18" width="10.140625" style="42" bestFit="1" customWidth="1"/>
    <col min="19" max="22" width="9.140625" style="42" bestFit="1" customWidth="1"/>
    <col min="23" max="24" width="9.28515625" style="42" bestFit="1" customWidth="1"/>
    <col min="25" max="25" width="10.140625" style="42" bestFit="1" customWidth="1"/>
    <col min="26" max="26" width="9.28515625" style="42" bestFit="1" customWidth="1"/>
    <col min="27" max="27" width="9.28515625" style="139" bestFit="1" customWidth="1"/>
    <col min="28" max="28" width="14.5703125" style="139" bestFit="1" customWidth="1"/>
    <col min="29" max="29" width="11.7109375" style="139" bestFit="1" customWidth="1"/>
    <col min="30" max="30" width="10.7109375" style="139" bestFit="1" customWidth="1"/>
    <col min="31" max="32" width="9.85546875" style="139" bestFit="1" customWidth="1"/>
    <col min="33" max="33" width="9.28515625" style="139" bestFit="1" customWidth="1"/>
    <col min="34" max="34" width="9.28515625" style="42" bestFit="1" customWidth="1"/>
    <col min="35" max="35" width="9.5703125" style="139" bestFit="1" customWidth="1"/>
    <col min="36" max="36" width="9.28515625" style="42" bestFit="1" customWidth="1"/>
    <col min="37" max="37" width="9" style="139" bestFit="1" customWidth="1"/>
    <col min="38" max="176" width="14.42578125" style="42" customWidth="1"/>
    <col min="177" max="177" width="3" style="43" customWidth="1"/>
    <col min="178" max="178" width="14.42578125" style="42" customWidth="1"/>
    <col min="179" max="16384" width="14.42578125" style="42"/>
  </cols>
  <sheetData>
    <row r="1" spans="1:177" ht="13.5" customHeight="1" thickBot="1" x14ac:dyDescent="0.3">
      <c r="E1" s="530" t="s">
        <v>221</v>
      </c>
      <c r="F1" s="495"/>
      <c r="G1" s="90"/>
      <c r="H1" s="413" t="s">
        <v>969</v>
      </c>
      <c r="I1" s="413" t="s">
        <v>969</v>
      </c>
      <c r="J1" s="413" t="s">
        <v>969</v>
      </c>
      <c r="K1" s="414" t="s">
        <v>969</v>
      </c>
      <c r="L1" s="414" t="s">
        <v>1623</v>
      </c>
      <c r="M1" s="414" t="s">
        <v>1623</v>
      </c>
      <c r="N1" s="380" t="s">
        <v>1623</v>
      </c>
      <c r="O1" s="380" t="s">
        <v>1623</v>
      </c>
      <c r="P1" s="170"/>
      <c r="Q1" s="170"/>
      <c r="R1" s="170"/>
      <c r="S1" s="170"/>
      <c r="T1" s="170"/>
      <c r="U1" s="170"/>
      <c r="V1" s="170"/>
      <c r="W1" s="170"/>
      <c r="X1" s="170"/>
      <c r="Y1" s="170"/>
      <c r="Z1" s="170"/>
      <c r="AA1" s="170"/>
      <c r="AB1" s="170"/>
      <c r="AC1" s="170"/>
      <c r="AD1" s="170"/>
      <c r="AE1" s="170"/>
      <c r="AF1" s="170"/>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4421</v>
      </c>
      <c r="B2" s="551" t="s">
        <v>4144</v>
      </c>
      <c r="C2" s="542"/>
      <c r="D2" s="531" t="s">
        <v>4422</v>
      </c>
      <c r="E2" s="558" t="s">
        <v>4146</v>
      </c>
      <c r="F2" s="540"/>
      <c r="G2" s="90"/>
      <c r="H2" s="447"/>
      <c r="I2" s="447"/>
      <c r="J2" s="447"/>
      <c r="K2" s="448"/>
      <c r="L2" s="448"/>
      <c r="M2" s="448"/>
      <c r="N2" s="449"/>
      <c r="O2" s="449" t="s">
        <v>3676</v>
      </c>
      <c r="P2" s="171"/>
      <c r="Q2" s="171"/>
      <c r="R2" s="171"/>
      <c r="S2" s="171"/>
      <c r="T2" s="171"/>
      <c r="U2" s="171"/>
      <c r="V2" s="171"/>
      <c r="W2" s="171"/>
      <c r="X2" s="171"/>
      <c r="Y2" s="171"/>
      <c r="Z2" s="171"/>
      <c r="AA2" s="171"/>
      <c r="AB2" s="171"/>
      <c r="AC2" s="171"/>
      <c r="AD2" s="171"/>
      <c r="AE2" s="171"/>
      <c r="AF2" s="171"/>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370" t="s">
        <v>4423</v>
      </c>
      <c r="I3" s="370" t="s">
        <v>4424</v>
      </c>
      <c r="J3" s="370" t="s">
        <v>4425</v>
      </c>
      <c r="K3" s="370" t="s">
        <v>4426</v>
      </c>
      <c r="L3" s="370" t="s">
        <v>4229</v>
      </c>
      <c r="M3" s="370" t="s">
        <v>4252</v>
      </c>
      <c r="N3" s="370" t="s">
        <v>4262</v>
      </c>
      <c r="O3" s="370" t="s">
        <v>4265</v>
      </c>
      <c r="P3" s="40"/>
      <c r="Q3" s="40"/>
      <c r="R3" s="40"/>
      <c r="S3" s="40"/>
      <c r="T3" s="40"/>
      <c r="U3" s="40"/>
      <c r="V3" s="40"/>
      <c r="W3" s="40"/>
      <c r="X3" s="171"/>
      <c r="Y3" s="171"/>
      <c r="Z3" s="40"/>
      <c r="AA3" s="40"/>
      <c r="AB3" s="40"/>
      <c r="AC3" s="40"/>
      <c r="AD3" s="40"/>
      <c r="AE3" s="40"/>
      <c r="AF3" s="40"/>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82">
        <v>2601</v>
      </c>
      <c r="I4" s="382">
        <v>3189</v>
      </c>
      <c r="J4" s="382">
        <v>7291</v>
      </c>
      <c r="K4" s="382">
        <v>28583</v>
      </c>
      <c r="L4" s="382">
        <v>36270</v>
      </c>
      <c r="M4" s="382">
        <v>39874</v>
      </c>
      <c r="N4" s="382">
        <v>41766</v>
      </c>
      <c r="O4" s="382">
        <v>42255</v>
      </c>
      <c r="P4" s="331"/>
      <c r="Q4" s="331"/>
      <c r="R4" s="331"/>
      <c r="S4" s="331"/>
      <c r="T4" s="331"/>
      <c r="U4" s="331"/>
      <c r="V4" s="331"/>
      <c r="W4" s="331"/>
      <c r="X4" s="332"/>
      <c r="Y4" s="332"/>
      <c r="Z4" s="331"/>
      <c r="AA4" s="331"/>
      <c r="AB4" s="331"/>
      <c r="AC4" s="331"/>
      <c r="AD4" s="331"/>
      <c r="AE4" s="331"/>
      <c r="AF4" s="331"/>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7" s="85" customFormat="1" ht="27.75" customHeight="1" x14ac:dyDescent="0.25">
      <c r="A5" s="544"/>
      <c r="B5" s="552" t="s">
        <v>4179</v>
      </c>
      <c r="C5" s="553"/>
      <c r="D5" s="92">
        <v>80</v>
      </c>
      <c r="E5" s="546" t="s">
        <v>4180</v>
      </c>
      <c r="F5" s="547"/>
      <c r="G5" s="88"/>
      <c r="H5" s="413" t="s">
        <v>973</v>
      </c>
      <c r="I5" s="413" t="s">
        <v>973</v>
      </c>
      <c r="J5" s="413" t="s">
        <v>973</v>
      </c>
      <c r="K5" s="413" t="s">
        <v>973</v>
      </c>
      <c r="L5" s="413" t="s">
        <v>973</v>
      </c>
      <c r="M5" s="413" t="s">
        <v>973</v>
      </c>
      <c r="N5" s="381" t="s">
        <v>973</v>
      </c>
      <c r="O5" s="381" t="s">
        <v>973</v>
      </c>
      <c r="P5" s="171"/>
      <c r="Q5" s="171"/>
      <c r="R5" s="171"/>
      <c r="S5" s="171"/>
      <c r="T5" s="171"/>
      <c r="U5" s="171"/>
      <c r="V5" s="171"/>
      <c r="W5" s="171"/>
      <c r="X5" s="171"/>
      <c r="Y5" s="171"/>
      <c r="Z5" s="171"/>
      <c r="AA5" s="171"/>
      <c r="AB5" s="171"/>
      <c r="AC5" s="171"/>
      <c r="AD5" s="171"/>
      <c r="AE5" s="171"/>
      <c r="AF5" s="171"/>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v>80</v>
      </c>
      <c r="D6" s="554" t="s">
        <v>167</v>
      </c>
      <c r="E6" s="537">
        <f>SUBTOTAL(9,E9:E199)</f>
        <v>0</v>
      </c>
      <c r="F6" s="534" t="s">
        <v>4182</v>
      </c>
      <c r="G6" s="91"/>
      <c r="H6" s="91"/>
      <c r="I6" s="91"/>
      <c r="J6" s="91"/>
      <c r="K6" s="91"/>
      <c r="L6" s="91"/>
      <c r="M6" s="91"/>
      <c r="N6" s="91"/>
      <c r="O6" s="91"/>
      <c r="P6" s="91"/>
      <c r="Q6" s="91"/>
      <c r="R6" s="91"/>
      <c r="S6" s="91"/>
      <c r="T6" s="91"/>
      <c r="U6" s="91"/>
      <c r="V6" s="91"/>
      <c r="W6" s="91"/>
      <c r="X6" s="91"/>
      <c r="Y6" s="91"/>
      <c r="Z6" s="91"/>
      <c r="AA6" s="142"/>
      <c r="AB6" s="142"/>
      <c r="AC6" s="142"/>
      <c r="AD6" s="142"/>
      <c r="AE6" s="142" t="str">
        <f t="shared" ref="AE6:BJ6" si="0">IF(AE7=0,"","RECHECK")</f>
        <v/>
      </c>
      <c r="AF6" s="142" t="str">
        <f t="shared" si="0"/>
        <v/>
      </c>
      <c r="AG6" s="142" t="str">
        <f t="shared" si="0"/>
        <v/>
      </c>
      <c r="AH6" s="91" t="str">
        <f t="shared" si="0"/>
        <v/>
      </c>
      <c r="AI6" s="142" t="str">
        <f t="shared" si="0"/>
        <v/>
      </c>
      <c r="AJ6" s="91" t="str">
        <f t="shared" si="0"/>
        <v/>
      </c>
      <c r="AK6" s="142" t="str">
        <f t="shared" si="0"/>
        <v/>
      </c>
      <c r="AL6" s="91" t="str">
        <f t="shared" si="0"/>
        <v/>
      </c>
      <c r="AM6" s="91" t="str">
        <f t="shared" si="0"/>
        <v/>
      </c>
      <c r="AN6" s="91" t="str">
        <f t="shared" si="0"/>
        <v/>
      </c>
      <c r="AO6" s="91" t="str">
        <f t="shared" si="0"/>
        <v/>
      </c>
      <c r="AP6" s="91" t="str">
        <f t="shared" si="0"/>
        <v/>
      </c>
      <c r="AQ6" s="91" t="str">
        <f t="shared" si="0"/>
        <v/>
      </c>
      <c r="AR6" s="91" t="str">
        <f t="shared" si="0"/>
        <v/>
      </c>
      <c r="AS6" s="91" t="str">
        <f t="shared" si="0"/>
        <v/>
      </c>
      <c r="AT6" s="91" t="str">
        <f t="shared" si="0"/>
        <v/>
      </c>
      <c r="AU6" s="91" t="str">
        <f t="shared" si="0"/>
        <v/>
      </c>
      <c r="AV6" s="91" t="str">
        <f t="shared" si="0"/>
        <v/>
      </c>
      <c r="AW6" s="91" t="str">
        <f t="shared" si="0"/>
        <v/>
      </c>
      <c r="AX6" s="91" t="str">
        <f t="shared" si="0"/>
        <v/>
      </c>
      <c r="AY6" s="91" t="str">
        <f t="shared" si="0"/>
        <v/>
      </c>
      <c r="AZ6" s="91" t="str">
        <f t="shared" si="0"/>
        <v/>
      </c>
      <c r="BA6" s="91" t="str">
        <f t="shared" si="0"/>
        <v/>
      </c>
      <c r="BB6" s="91" t="str">
        <f t="shared" si="0"/>
        <v/>
      </c>
      <c r="BC6" s="91" t="str">
        <f t="shared" si="0"/>
        <v/>
      </c>
      <c r="BD6" s="91" t="str">
        <f t="shared" si="0"/>
        <v/>
      </c>
      <c r="BE6" s="91" t="str">
        <f t="shared" si="0"/>
        <v/>
      </c>
      <c r="BF6" s="91" t="str">
        <f t="shared" si="0"/>
        <v/>
      </c>
      <c r="BG6" s="91" t="str">
        <f t="shared" si="0"/>
        <v/>
      </c>
      <c r="BH6" s="91" t="str">
        <f t="shared" si="0"/>
        <v/>
      </c>
      <c r="BI6" s="91" t="str">
        <f t="shared" si="0"/>
        <v/>
      </c>
      <c r="BJ6" s="91" t="str">
        <f t="shared" si="0"/>
        <v/>
      </c>
      <c r="BK6" s="91" t="str">
        <f t="shared" ref="BK6:CP6" si="1">IF(BK7=0,"","RECHECK")</f>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si="1"/>
        <v/>
      </c>
      <c r="BU6" s="91" t="str">
        <f t="shared" si="1"/>
        <v/>
      </c>
      <c r="BV6" s="91" t="str">
        <f t="shared" si="1"/>
        <v/>
      </c>
      <c r="BW6" s="91" t="str">
        <f t="shared" si="1"/>
        <v/>
      </c>
      <c r="BX6" s="91" t="str">
        <f t="shared" si="1"/>
        <v/>
      </c>
      <c r="BY6" s="91" t="str">
        <f t="shared" si="1"/>
        <v/>
      </c>
      <c r="BZ6" s="91" t="str">
        <f t="shared" si="1"/>
        <v/>
      </c>
      <c r="CA6" s="91" t="str">
        <f t="shared" si="1"/>
        <v/>
      </c>
      <c r="CB6" s="91" t="str">
        <f t="shared" si="1"/>
        <v/>
      </c>
      <c r="CC6" s="91" t="str">
        <f t="shared" si="1"/>
        <v/>
      </c>
      <c r="CD6" s="91" t="str">
        <f t="shared" si="1"/>
        <v/>
      </c>
      <c r="CE6" s="91" t="str">
        <f t="shared" si="1"/>
        <v/>
      </c>
      <c r="CF6" s="91" t="str">
        <f t="shared" si="1"/>
        <v/>
      </c>
      <c r="CG6" s="91" t="str">
        <f t="shared" si="1"/>
        <v/>
      </c>
      <c r="CH6" s="91" t="str">
        <f t="shared" si="1"/>
        <v/>
      </c>
      <c r="CI6" s="91" t="str">
        <f t="shared" si="1"/>
        <v/>
      </c>
      <c r="CJ6" s="91" t="str">
        <f t="shared" si="1"/>
        <v/>
      </c>
      <c r="CK6" s="91" t="str">
        <f t="shared" si="1"/>
        <v/>
      </c>
      <c r="CL6" s="91" t="str">
        <f t="shared" si="1"/>
        <v/>
      </c>
      <c r="CM6" s="91" t="str">
        <f t="shared" si="1"/>
        <v/>
      </c>
      <c r="CN6" s="91" t="str">
        <f t="shared" si="1"/>
        <v/>
      </c>
      <c r="CO6" s="91" t="str">
        <f t="shared" si="1"/>
        <v/>
      </c>
      <c r="CP6" s="91" t="str">
        <f t="shared" si="1"/>
        <v/>
      </c>
      <c r="CQ6" s="91" t="str">
        <f t="shared" ref="CQ6:DV6" si="2">IF(CQ7=0,"","RECHECK")</f>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si="2"/>
        <v/>
      </c>
      <c r="DA6" s="91" t="str">
        <f t="shared" si="2"/>
        <v/>
      </c>
      <c r="DB6" s="91" t="str">
        <f t="shared" si="2"/>
        <v/>
      </c>
      <c r="DC6" s="91" t="str">
        <f t="shared" si="2"/>
        <v/>
      </c>
      <c r="DD6" s="91" t="str">
        <f t="shared" si="2"/>
        <v/>
      </c>
      <c r="DE6" s="91" t="str">
        <f t="shared" si="2"/>
        <v/>
      </c>
      <c r="DF6" s="91" t="str">
        <f t="shared" si="2"/>
        <v/>
      </c>
      <c r="DG6" s="91" t="str">
        <f t="shared" si="2"/>
        <v/>
      </c>
      <c r="DH6" s="91" t="str">
        <f t="shared" si="2"/>
        <v/>
      </c>
      <c r="DI6" s="91" t="str">
        <f t="shared" si="2"/>
        <v/>
      </c>
      <c r="DJ6" s="91" t="str">
        <f t="shared" si="2"/>
        <v/>
      </c>
      <c r="DK6" s="91" t="str">
        <f t="shared" si="2"/>
        <v/>
      </c>
      <c r="DL6" s="91" t="str">
        <f t="shared" si="2"/>
        <v/>
      </c>
      <c r="DM6" s="91" t="str">
        <f t="shared" si="2"/>
        <v/>
      </c>
      <c r="DN6" s="91" t="str">
        <f t="shared" si="2"/>
        <v/>
      </c>
      <c r="DO6" s="91" t="str">
        <f t="shared" si="2"/>
        <v/>
      </c>
      <c r="DP6" s="91" t="str">
        <f t="shared" si="2"/>
        <v/>
      </c>
      <c r="DQ6" s="91" t="str">
        <f t="shared" si="2"/>
        <v/>
      </c>
      <c r="DR6" s="91" t="str">
        <f t="shared" si="2"/>
        <v/>
      </c>
      <c r="DS6" s="91" t="str">
        <f t="shared" si="2"/>
        <v/>
      </c>
      <c r="DT6" s="91" t="str">
        <f t="shared" si="2"/>
        <v/>
      </c>
      <c r="DU6" s="91" t="str">
        <f t="shared" si="2"/>
        <v/>
      </c>
      <c r="DV6" s="91" t="str">
        <f t="shared" si="2"/>
        <v/>
      </c>
      <c r="DW6" s="91" t="str">
        <f t="shared" ref="DW6:FB6" si="3">IF(DW7=0,"","RECHECK")</f>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si="3"/>
        <v/>
      </c>
      <c r="EG6" s="91" t="str">
        <f t="shared" si="3"/>
        <v/>
      </c>
      <c r="EH6" s="91" t="str">
        <f t="shared" si="3"/>
        <v/>
      </c>
      <c r="EI6" s="91" t="str">
        <f t="shared" si="3"/>
        <v/>
      </c>
      <c r="EJ6" s="91" t="str">
        <f t="shared" si="3"/>
        <v/>
      </c>
      <c r="EK6" s="91" t="str">
        <f t="shared" si="3"/>
        <v/>
      </c>
      <c r="EL6" s="91" t="str">
        <f t="shared" si="3"/>
        <v/>
      </c>
      <c r="EM6" s="91" t="str">
        <f t="shared" si="3"/>
        <v/>
      </c>
      <c r="EN6" s="91" t="str">
        <f t="shared" si="3"/>
        <v/>
      </c>
      <c r="EO6" s="91" t="str">
        <f t="shared" si="3"/>
        <v/>
      </c>
      <c r="EP6" s="91" t="str">
        <f t="shared" si="3"/>
        <v/>
      </c>
      <c r="EQ6" s="91" t="str">
        <f t="shared" si="3"/>
        <v/>
      </c>
      <c r="ER6" s="91" t="str">
        <f t="shared" si="3"/>
        <v/>
      </c>
      <c r="ES6" s="91" t="str">
        <f t="shared" si="3"/>
        <v/>
      </c>
      <c r="ET6" s="91" t="str">
        <f t="shared" si="3"/>
        <v/>
      </c>
      <c r="EU6" s="91" t="str">
        <f t="shared" si="3"/>
        <v/>
      </c>
      <c r="EV6" s="91" t="str">
        <f t="shared" si="3"/>
        <v/>
      </c>
      <c r="EW6" s="91" t="str">
        <f t="shared" si="3"/>
        <v/>
      </c>
      <c r="EX6" s="91" t="str">
        <f t="shared" si="3"/>
        <v/>
      </c>
      <c r="EY6" s="91" t="str">
        <f t="shared" si="3"/>
        <v/>
      </c>
      <c r="EZ6" s="91" t="str">
        <f t="shared" si="3"/>
        <v/>
      </c>
      <c r="FA6" s="91" t="str">
        <f t="shared" si="3"/>
        <v/>
      </c>
      <c r="FB6" s="91" t="str">
        <f t="shared" si="3"/>
        <v/>
      </c>
      <c r="FC6" s="91" t="str">
        <f t="shared" ref="FC6:FT6" si="4">IF(FC7=0,"","RECHECK")</f>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si="4"/>
        <v/>
      </c>
      <c r="FM6" s="91" t="str">
        <f t="shared" si="4"/>
        <v/>
      </c>
      <c r="FN6" s="91" t="str">
        <f t="shared" si="4"/>
        <v/>
      </c>
      <c r="FO6" s="91" t="str">
        <f t="shared" si="4"/>
        <v/>
      </c>
      <c r="FP6" s="91" t="str">
        <f t="shared" si="4"/>
        <v/>
      </c>
      <c r="FQ6" s="91" t="str">
        <f t="shared" si="4"/>
        <v/>
      </c>
      <c r="FR6" s="91" t="str">
        <f t="shared" si="4"/>
        <v/>
      </c>
      <c r="FS6" s="91" t="str">
        <f t="shared" si="4"/>
        <v/>
      </c>
      <c r="FT6" s="91" t="str">
        <f t="shared" si="4"/>
        <v/>
      </c>
    </row>
    <row r="7" spans="1:177" s="82" customFormat="1" ht="14.25" customHeight="1" thickTop="1" thickBot="1" x14ac:dyDescent="0.25">
      <c r="A7" s="83"/>
      <c r="B7" s="542"/>
      <c r="C7" s="538"/>
      <c r="D7" s="538"/>
      <c r="E7" s="538"/>
      <c r="F7" s="535"/>
      <c r="G7" s="548">
        <f>SUBTOTAL(9,G10:G200)</f>
        <v>0</v>
      </c>
      <c r="H7" s="559" t="str">
        <f t="shared" ref="H7:O7" si="5">IF(H9=0,"","RECHECK")</f>
        <v/>
      </c>
      <c r="I7" s="559" t="str">
        <f t="shared" si="5"/>
        <v/>
      </c>
      <c r="J7" s="559" t="str">
        <f t="shared" si="5"/>
        <v/>
      </c>
      <c r="K7" s="559" t="str">
        <f t="shared" si="5"/>
        <v/>
      </c>
      <c r="L7" s="559" t="str">
        <f t="shared" si="5"/>
        <v/>
      </c>
      <c r="M7" s="559" t="str">
        <f t="shared" si="5"/>
        <v/>
      </c>
      <c r="N7" s="559" t="str">
        <f t="shared" si="5"/>
        <v/>
      </c>
      <c r="O7" s="559" t="str">
        <f t="shared" si="5"/>
        <v/>
      </c>
      <c r="P7" s="559"/>
      <c r="Q7" s="559"/>
      <c r="R7" s="559"/>
      <c r="S7" s="559"/>
      <c r="T7" s="559"/>
      <c r="U7" s="559"/>
      <c r="V7" s="559"/>
      <c r="W7" s="559"/>
      <c r="X7" s="559"/>
      <c r="Y7" s="559"/>
      <c r="Z7" s="559"/>
      <c r="AA7" s="528"/>
      <c r="AB7" s="528"/>
      <c r="AC7" s="528">
        <f>SUBTOTAL(9,AC10:AC208)</f>
        <v>0</v>
      </c>
      <c r="AD7" s="528">
        <f>SUBTOTAL(9,AD10:AD202)</f>
        <v>0</v>
      </c>
      <c r="AE7" s="528">
        <f>SUBTOTAL(9,AE10:AE202)</f>
        <v>0</v>
      </c>
      <c r="AF7" s="528">
        <f>SUBTOTAL(9,AF10:AF202)</f>
        <v>0</v>
      </c>
      <c r="AG7" s="528">
        <f>SUBTOTAL(9,AG10:AG202)</f>
        <v>0</v>
      </c>
      <c r="AH7" s="559">
        <f>SUBTOTAL(9,AH10:AH203)</f>
        <v>0</v>
      </c>
      <c r="AI7" s="528">
        <f>SUBTOTAL(9,AI10:AI199)</f>
        <v>0</v>
      </c>
      <c r="AJ7" s="559">
        <f>SUBTOTAL(9,AJ10:AJ203)</f>
        <v>0</v>
      </c>
      <c r="AK7" s="528">
        <f>SUBTOTAL(9,AK10:AK202)</f>
        <v>0</v>
      </c>
      <c r="AL7" s="559">
        <f t="shared" ref="AL7:BQ7" si="6">SUBTOTAL(9,AL10:AL200)</f>
        <v>0</v>
      </c>
      <c r="AM7" s="559">
        <f t="shared" si="6"/>
        <v>0</v>
      </c>
      <c r="AN7" s="559">
        <f t="shared" si="6"/>
        <v>0</v>
      </c>
      <c r="AO7" s="559">
        <f t="shared" si="6"/>
        <v>0</v>
      </c>
      <c r="AP7" s="559">
        <f t="shared" si="6"/>
        <v>0</v>
      </c>
      <c r="AQ7" s="559">
        <f t="shared" si="6"/>
        <v>0</v>
      </c>
      <c r="AR7" s="559">
        <f t="shared" si="6"/>
        <v>0</v>
      </c>
      <c r="AS7" s="559">
        <f t="shared" si="6"/>
        <v>0</v>
      </c>
      <c r="AT7" s="559">
        <f t="shared" si="6"/>
        <v>0</v>
      </c>
      <c r="AU7" s="559">
        <f t="shared" si="6"/>
        <v>0</v>
      </c>
      <c r="AV7" s="559">
        <f t="shared" si="6"/>
        <v>0</v>
      </c>
      <c r="AW7" s="559">
        <f t="shared" si="6"/>
        <v>0</v>
      </c>
      <c r="AX7" s="559">
        <f t="shared" si="6"/>
        <v>0</v>
      </c>
      <c r="AY7" s="559">
        <f t="shared" si="6"/>
        <v>0</v>
      </c>
      <c r="AZ7" s="559">
        <f t="shared" si="6"/>
        <v>0</v>
      </c>
      <c r="BA7" s="559">
        <f t="shared" si="6"/>
        <v>0</v>
      </c>
      <c r="BB7" s="559">
        <f t="shared" si="6"/>
        <v>0</v>
      </c>
      <c r="BC7" s="559">
        <f t="shared" si="6"/>
        <v>0</v>
      </c>
      <c r="BD7" s="559">
        <f t="shared" si="6"/>
        <v>0</v>
      </c>
      <c r="BE7" s="559">
        <f t="shared" si="6"/>
        <v>0</v>
      </c>
      <c r="BF7" s="559">
        <f t="shared" si="6"/>
        <v>0</v>
      </c>
      <c r="BG7" s="559">
        <f t="shared" si="6"/>
        <v>0</v>
      </c>
      <c r="BH7" s="559">
        <f t="shared" si="6"/>
        <v>0</v>
      </c>
      <c r="BI7" s="559">
        <f t="shared" si="6"/>
        <v>0</v>
      </c>
      <c r="BJ7" s="559">
        <f t="shared" si="6"/>
        <v>0</v>
      </c>
      <c r="BK7" s="559">
        <f t="shared" si="6"/>
        <v>0</v>
      </c>
      <c r="BL7" s="559">
        <f t="shared" si="6"/>
        <v>0</v>
      </c>
      <c r="BM7" s="559">
        <f t="shared" si="6"/>
        <v>0</v>
      </c>
      <c r="BN7" s="559">
        <f t="shared" si="6"/>
        <v>0</v>
      </c>
      <c r="BO7" s="559">
        <f t="shared" si="6"/>
        <v>0</v>
      </c>
      <c r="BP7" s="559">
        <f t="shared" si="6"/>
        <v>0</v>
      </c>
      <c r="BQ7" s="559">
        <f t="shared" si="6"/>
        <v>0</v>
      </c>
      <c r="BR7" s="559">
        <f t="shared" ref="BR7:CW7" si="7">SUBTOTAL(9,BR10:BR200)</f>
        <v>0</v>
      </c>
      <c r="BS7" s="559">
        <f t="shared" si="7"/>
        <v>0</v>
      </c>
      <c r="BT7" s="559">
        <f t="shared" si="7"/>
        <v>0</v>
      </c>
      <c r="BU7" s="559">
        <f t="shared" si="7"/>
        <v>0</v>
      </c>
      <c r="BV7" s="559">
        <f t="shared" si="7"/>
        <v>0</v>
      </c>
      <c r="BW7" s="559">
        <f t="shared" si="7"/>
        <v>0</v>
      </c>
      <c r="BX7" s="559">
        <f t="shared" si="7"/>
        <v>0</v>
      </c>
      <c r="BY7" s="559">
        <f t="shared" si="7"/>
        <v>0</v>
      </c>
      <c r="BZ7" s="559">
        <f t="shared" si="7"/>
        <v>0</v>
      </c>
      <c r="CA7" s="559">
        <f t="shared" si="7"/>
        <v>0</v>
      </c>
      <c r="CB7" s="559">
        <f t="shared" si="7"/>
        <v>0</v>
      </c>
      <c r="CC7" s="559">
        <f t="shared" si="7"/>
        <v>0</v>
      </c>
      <c r="CD7" s="559">
        <f t="shared" si="7"/>
        <v>0</v>
      </c>
      <c r="CE7" s="559">
        <f t="shared" si="7"/>
        <v>0</v>
      </c>
      <c r="CF7" s="559">
        <f t="shared" si="7"/>
        <v>0</v>
      </c>
      <c r="CG7" s="559">
        <f t="shared" si="7"/>
        <v>0</v>
      </c>
      <c r="CH7" s="559">
        <f t="shared" si="7"/>
        <v>0</v>
      </c>
      <c r="CI7" s="559">
        <f t="shared" si="7"/>
        <v>0</v>
      </c>
      <c r="CJ7" s="559">
        <f t="shared" si="7"/>
        <v>0</v>
      </c>
      <c r="CK7" s="559">
        <f t="shared" si="7"/>
        <v>0</v>
      </c>
      <c r="CL7" s="559">
        <f t="shared" si="7"/>
        <v>0</v>
      </c>
      <c r="CM7" s="559">
        <f t="shared" si="7"/>
        <v>0</v>
      </c>
      <c r="CN7" s="559">
        <f t="shared" si="7"/>
        <v>0</v>
      </c>
      <c r="CO7" s="559">
        <f t="shared" si="7"/>
        <v>0</v>
      </c>
      <c r="CP7" s="559">
        <f t="shared" si="7"/>
        <v>0</v>
      </c>
      <c r="CQ7" s="559">
        <f t="shared" si="7"/>
        <v>0</v>
      </c>
      <c r="CR7" s="559">
        <f t="shared" si="7"/>
        <v>0</v>
      </c>
      <c r="CS7" s="559">
        <f t="shared" si="7"/>
        <v>0</v>
      </c>
      <c r="CT7" s="559">
        <f t="shared" si="7"/>
        <v>0</v>
      </c>
      <c r="CU7" s="559">
        <f t="shared" si="7"/>
        <v>0</v>
      </c>
      <c r="CV7" s="559">
        <f t="shared" si="7"/>
        <v>0</v>
      </c>
      <c r="CW7" s="559">
        <f t="shared" si="7"/>
        <v>0</v>
      </c>
      <c r="CX7" s="559">
        <f t="shared" ref="CX7:EC7" si="8">SUBTOTAL(9,CX10:CX200)</f>
        <v>0</v>
      </c>
      <c r="CY7" s="559">
        <f t="shared" si="8"/>
        <v>0</v>
      </c>
      <c r="CZ7" s="559">
        <f t="shared" si="8"/>
        <v>0</v>
      </c>
      <c r="DA7" s="559">
        <f t="shared" si="8"/>
        <v>0</v>
      </c>
      <c r="DB7" s="559">
        <f t="shared" si="8"/>
        <v>0</v>
      </c>
      <c r="DC7" s="559">
        <f t="shared" si="8"/>
        <v>0</v>
      </c>
      <c r="DD7" s="559">
        <f t="shared" si="8"/>
        <v>0</v>
      </c>
      <c r="DE7" s="559">
        <f t="shared" si="8"/>
        <v>0</v>
      </c>
      <c r="DF7" s="559">
        <f t="shared" si="8"/>
        <v>0</v>
      </c>
      <c r="DG7" s="559">
        <f t="shared" si="8"/>
        <v>0</v>
      </c>
      <c r="DH7" s="559">
        <f t="shared" si="8"/>
        <v>0</v>
      </c>
      <c r="DI7" s="559">
        <f t="shared" si="8"/>
        <v>0</v>
      </c>
      <c r="DJ7" s="559">
        <f t="shared" si="8"/>
        <v>0</v>
      </c>
      <c r="DK7" s="559">
        <f t="shared" si="8"/>
        <v>0</v>
      </c>
      <c r="DL7" s="559">
        <f t="shared" si="8"/>
        <v>0</v>
      </c>
      <c r="DM7" s="559">
        <f t="shared" si="8"/>
        <v>0</v>
      </c>
      <c r="DN7" s="559">
        <f t="shared" si="8"/>
        <v>0</v>
      </c>
      <c r="DO7" s="559">
        <f t="shared" si="8"/>
        <v>0</v>
      </c>
      <c r="DP7" s="559">
        <f t="shared" si="8"/>
        <v>0</v>
      </c>
      <c r="DQ7" s="559">
        <f t="shared" si="8"/>
        <v>0</v>
      </c>
      <c r="DR7" s="559">
        <f t="shared" si="8"/>
        <v>0</v>
      </c>
      <c r="DS7" s="559">
        <f t="shared" si="8"/>
        <v>0</v>
      </c>
      <c r="DT7" s="559">
        <f t="shared" si="8"/>
        <v>0</v>
      </c>
      <c r="DU7" s="559">
        <f t="shared" si="8"/>
        <v>0</v>
      </c>
      <c r="DV7" s="559">
        <f t="shared" si="8"/>
        <v>0</v>
      </c>
      <c r="DW7" s="559">
        <f t="shared" si="8"/>
        <v>0</v>
      </c>
      <c r="DX7" s="559">
        <f t="shared" si="8"/>
        <v>0</v>
      </c>
      <c r="DY7" s="559">
        <f t="shared" si="8"/>
        <v>0</v>
      </c>
      <c r="DZ7" s="559">
        <f t="shared" si="8"/>
        <v>0</v>
      </c>
      <c r="EA7" s="559">
        <f t="shared" si="8"/>
        <v>0</v>
      </c>
      <c r="EB7" s="559">
        <f t="shared" si="8"/>
        <v>0</v>
      </c>
      <c r="EC7" s="559">
        <f t="shared" si="8"/>
        <v>0</v>
      </c>
      <c r="ED7" s="559">
        <f t="shared" ref="ED7:FI7" si="9">SUBTOTAL(9,ED10:ED200)</f>
        <v>0</v>
      </c>
      <c r="EE7" s="559">
        <f t="shared" si="9"/>
        <v>0</v>
      </c>
      <c r="EF7" s="559">
        <f t="shared" si="9"/>
        <v>0</v>
      </c>
      <c r="EG7" s="559">
        <f t="shared" si="9"/>
        <v>0</v>
      </c>
      <c r="EH7" s="559">
        <f t="shared" si="9"/>
        <v>0</v>
      </c>
      <c r="EI7" s="559">
        <f t="shared" si="9"/>
        <v>0</v>
      </c>
      <c r="EJ7" s="559">
        <f t="shared" si="9"/>
        <v>0</v>
      </c>
      <c r="EK7" s="559">
        <f t="shared" si="9"/>
        <v>0</v>
      </c>
      <c r="EL7" s="559">
        <f t="shared" si="9"/>
        <v>0</v>
      </c>
      <c r="EM7" s="559">
        <f t="shared" si="9"/>
        <v>0</v>
      </c>
      <c r="EN7" s="559">
        <f t="shared" si="9"/>
        <v>0</v>
      </c>
      <c r="EO7" s="559">
        <f t="shared" si="9"/>
        <v>0</v>
      </c>
      <c r="EP7" s="559">
        <f t="shared" si="9"/>
        <v>0</v>
      </c>
      <c r="EQ7" s="559">
        <f t="shared" si="9"/>
        <v>0</v>
      </c>
      <c r="ER7" s="559">
        <f t="shared" si="9"/>
        <v>0</v>
      </c>
      <c r="ES7" s="559">
        <f t="shared" si="9"/>
        <v>0</v>
      </c>
      <c r="ET7" s="559">
        <f t="shared" si="9"/>
        <v>0</v>
      </c>
      <c r="EU7" s="559">
        <f t="shared" si="9"/>
        <v>0</v>
      </c>
      <c r="EV7" s="559">
        <f t="shared" si="9"/>
        <v>0</v>
      </c>
      <c r="EW7" s="559">
        <f t="shared" si="9"/>
        <v>0</v>
      </c>
      <c r="EX7" s="559">
        <f t="shared" si="9"/>
        <v>0</v>
      </c>
      <c r="EY7" s="559">
        <f t="shared" si="9"/>
        <v>0</v>
      </c>
      <c r="EZ7" s="559">
        <f t="shared" si="9"/>
        <v>0</v>
      </c>
      <c r="FA7" s="559">
        <f t="shared" si="9"/>
        <v>0</v>
      </c>
      <c r="FB7" s="559">
        <f t="shared" si="9"/>
        <v>0</v>
      </c>
      <c r="FC7" s="559">
        <f t="shared" si="9"/>
        <v>0</v>
      </c>
      <c r="FD7" s="559">
        <f t="shared" si="9"/>
        <v>0</v>
      </c>
      <c r="FE7" s="559">
        <f t="shared" si="9"/>
        <v>0</v>
      </c>
      <c r="FF7" s="559">
        <f t="shared" si="9"/>
        <v>0</v>
      </c>
      <c r="FG7" s="559">
        <f t="shared" si="9"/>
        <v>0</v>
      </c>
      <c r="FH7" s="559">
        <f t="shared" si="9"/>
        <v>0</v>
      </c>
      <c r="FI7" s="559">
        <f t="shared" si="9"/>
        <v>0</v>
      </c>
      <c r="FJ7" s="559">
        <f t="shared" ref="FJ7:FT7" si="10">SUBTOTAL(9,FJ10:FJ200)</f>
        <v>0</v>
      </c>
      <c r="FK7" s="559">
        <f t="shared" si="10"/>
        <v>0</v>
      </c>
      <c r="FL7" s="559">
        <f t="shared" si="10"/>
        <v>0</v>
      </c>
      <c r="FM7" s="559">
        <f t="shared" si="10"/>
        <v>0</v>
      </c>
      <c r="FN7" s="559">
        <f t="shared" si="10"/>
        <v>0</v>
      </c>
      <c r="FO7" s="559">
        <f t="shared" si="10"/>
        <v>0</v>
      </c>
      <c r="FP7" s="559">
        <f t="shared" si="10"/>
        <v>0</v>
      </c>
      <c r="FQ7" s="559">
        <f t="shared" si="10"/>
        <v>0</v>
      </c>
      <c r="FR7" s="559">
        <f t="shared" si="10"/>
        <v>0</v>
      </c>
      <c r="FS7" s="559">
        <f t="shared" si="10"/>
        <v>0</v>
      </c>
      <c r="FT7" s="559">
        <f t="shared" si="10"/>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335"/>
      <c r="D9" s="75"/>
      <c r="E9" s="335"/>
      <c r="F9" s="73"/>
      <c r="G9" s="72"/>
      <c r="H9" s="411">
        <f t="shared" ref="H9:O9" si="11">SUM(H10:H36)</f>
        <v>0</v>
      </c>
      <c r="I9" s="411">
        <f t="shared" si="11"/>
        <v>0</v>
      </c>
      <c r="J9" s="411">
        <f t="shared" si="11"/>
        <v>0</v>
      </c>
      <c r="K9" s="412">
        <f t="shared" si="11"/>
        <v>0</v>
      </c>
      <c r="L9" s="412">
        <f t="shared" si="11"/>
        <v>0</v>
      </c>
      <c r="M9" s="412">
        <f t="shared" si="11"/>
        <v>0</v>
      </c>
      <c r="N9" s="412">
        <f t="shared" si="11"/>
        <v>0</v>
      </c>
      <c r="O9" s="412">
        <f t="shared" si="11"/>
        <v>0</v>
      </c>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7" s="56" customFormat="1" x14ac:dyDescent="0.2">
      <c r="A10" s="337"/>
      <c r="B10" s="66"/>
      <c r="C10" s="420" t="str">
        <f t="shared" ref="C10:C18" si="12">IFERROR(IF($E10&gt;0,$E10/SUMIF($E$10:$E$18,"&gt;0")*$D$5,""),"")</f>
        <v/>
      </c>
      <c r="D10" s="147" t="s">
        <v>4427</v>
      </c>
      <c r="E10" s="101">
        <f t="shared" ref="E10:E18" si="13">SUM(H10:O10)</f>
        <v>-1</v>
      </c>
      <c r="F10" s="64"/>
      <c r="G10" s="175"/>
      <c r="H10" s="407">
        <v>-1</v>
      </c>
      <c r="I10" s="407"/>
      <c r="J10" s="407"/>
      <c r="K10" s="408"/>
      <c r="L10" s="408"/>
      <c r="M10" s="409"/>
      <c r="N10" s="408"/>
      <c r="O10" s="408"/>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420" t="str">
        <f t="shared" si="12"/>
        <v/>
      </c>
      <c r="D11" s="147" t="s">
        <v>977</v>
      </c>
      <c r="E11" s="101">
        <f t="shared" si="13"/>
        <v>0</v>
      </c>
      <c r="F11" s="64"/>
      <c r="G11" s="175"/>
      <c r="H11" s="407">
        <v>1</v>
      </c>
      <c r="I11" s="407">
        <v>-1</v>
      </c>
      <c r="J11" s="407"/>
      <c r="K11" s="408"/>
      <c r="L11" s="408"/>
      <c r="M11" s="408"/>
      <c r="N11" s="408"/>
      <c r="O11" s="408"/>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420" t="str">
        <f t="shared" si="12"/>
        <v/>
      </c>
      <c r="D12" s="147" t="s">
        <v>1007</v>
      </c>
      <c r="E12" s="101">
        <f t="shared" si="13"/>
        <v>0</v>
      </c>
      <c r="F12" s="64"/>
      <c r="G12" s="173"/>
      <c r="H12" s="408"/>
      <c r="I12" s="408">
        <v>1</v>
      </c>
      <c r="J12" s="408">
        <v>-1</v>
      </c>
      <c r="K12" s="408"/>
      <c r="L12" s="408"/>
      <c r="M12" s="408"/>
      <c r="N12" s="408"/>
      <c r="O12" s="408"/>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A13" s="338"/>
      <c r="B13" s="339"/>
      <c r="C13" s="420" t="str">
        <f t="shared" si="12"/>
        <v/>
      </c>
      <c r="D13" s="147" t="s">
        <v>1094</v>
      </c>
      <c r="E13" s="101">
        <f t="shared" si="13"/>
        <v>0</v>
      </c>
      <c r="F13" s="64"/>
      <c r="G13" s="173"/>
      <c r="H13" s="410"/>
      <c r="I13" s="410"/>
      <c r="J13" s="410">
        <v>1</v>
      </c>
      <c r="K13" s="408">
        <v>-1</v>
      </c>
      <c r="L13" s="408"/>
      <c r="M13" s="408"/>
      <c r="N13" s="408"/>
      <c r="O13" s="408"/>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420" t="str">
        <f t="shared" si="12"/>
        <v/>
      </c>
      <c r="D14" s="147" t="s">
        <v>395</v>
      </c>
      <c r="E14" s="101">
        <f t="shared" si="13"/>
        <v>0</v>
      </c>
      <c r="F14" s="64"/>
      <c r="G14" s="173"/>
      <c r="H14" s="408"/>
      <c r="I14" s="408"/>
      <c r="J14" s="408"/>
      <c r="K14" s="408">
        <v>1</v>
      </c>
      <c r="L14" s="408">
        <v>-1</v>
      </c>
      <c r="M14" s="408"/>
      <c r="N14" s="408"/>
      <c r="O14" s="408"/>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340"/>
      <c r="B15" s="66"/>
      <c r="C15" s="420" t="str">
        <f t="shared" si="12"/>
        <v/>
      </c>
      <c r="D15" s="147" t="s">
        <v>4428</v>
      </c>
      <c r="E15" s="101">
        <f t="shared" si="13"/>
        <v>0</v>
      </c>
      <c r="F15" s="64"/>
      <c r="G15" s="173"/>
      <c r="H15" s="410"/>
      <c r="I15" s="410"/>
      <c r="J15" s="410"/>
      <c r="K15" s="408"/>
      <c r="L15" s="408">
        <v>1</v>
      </c>
      <c r="M15" s="409">
        <v>-1</v>
      </c>
      <c r="N15" s="408"/>
      <c r="O15" s="408"/>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420" t="str">
        <f t="shared" si="12"/>
        <v/>
      </c>
      <c r="D16" s="147" t="s">
        <v>3385</v>
      </c>
      <c r="E16" s="101">
        <f t="shared" si="13"/>
        <v>0</v>
      </c>
      <c r="F16" s="64"/>
      <c r="G16" s="173"/>
      <c r="H16" s="408"/>
      <c r="I16" s="408"/>
      <c r="J16" s="408"/>
      <c r="K16" s="408"/>
      <c r="L16" s="408"/>
      <c r="M16" s="408">
        <v>1</v>
      </c>
      <c r="N16" s="407">
        <v>-1</v>
      </c>
      <c r="O16" s="409"/>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420">
        <f t="shared" si="12"/>
        <v>40</v>
      </c>
      <c r="D17" s="148" t="s">
        <v>4429</v>
      </c>
      <c r="E17" s="101">
        <f t="shared" si="13"/>
        <v>0.5</v>
      </c>
      <c r="F17" s="64"/>
      <c r="G17" s="173"/>
      <c r="H17" s="408"/>
      <c r="I17" s="408"/>
      <c r="J17" s="408"/>
      <c r="K17" s="408"/>
      <c r="L17" s="408"/>
      <c r="M17" s="408"/>
      <c r="N17" s="407">
        <v>1</v>
      </c>
      <c r="O17" s="409">
        <v>-0.5</v>
      </c>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420">
        <f t="shared" si="12"/>
        <v>40</v>
      </c>
      <c r="D18" s="148" t="s">
        <v>4430</v>
      </c>
      <c r="E18" s="101">
        <f t="shared" si="13"/>
        <v>0.5</v>
      </c>
      <c r="F18" s="64"/>
      <c r="G18" s="173"/>
      <c r="H18" s="408"/>
      <c r="I18" s="408"/>
      <c r="J18" s="408"/>
      <c r="K18" s="408"/>
      <c r="L18" s="408"/>
      <c r="M18" s="408"/>
      <c r="N18" s="407"/>
      <c r="O18" s="409">
        <v>0.5</v>
      </c>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416">
        <f>SUM(C10:C18)</f>
        <v>80</v>
      </c>
      <c r="D19" s="415" t="s">
        <v>4431</v>
      </c>
      <c r="E19" s="101"/>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c r="D20" s="147"/>
      <c r="E20" s="101"/>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177"/>
      <c r="B21" s="68"/>
      <c r="C21" s="101"/>
      <c r="D21" s="148"/>
      <c r="E21" s="101"/>
      <c r="F21" s="64"/>
      <c r="G21" s="173"/>
      <c r="H21" s="173"/>
      <c r="I21" s="173"/>
      <c r="J21" s="173"/>
      <c r="K21" s="173"/>
      <c r="L21" s="173"/>
      <c r="M21" s="173"/>
      <c r="N21" s="173"/>
      <c r="O21" s="173"/>
      <c r="P21" s="173"/>
      <c r="Q21" s="173"/>
      <c r="R21" s="181"/>
      <c r="S21" s="173"/>
      <c r="T21" s="173"/>
      <c r="U21" s="173"/>
      <c r="V21" s="173"/>
      <c r="W21" s="173"/>
      <c r="X21" s="173"/>
      <c r="Y21" s="173"/>
      <c r="Z21" s="173"/>
      <c r="AA21" s="175"/>
      <c r="AB21" s="175"/>
      <c r="AC21" s="175"/>
      <c r="AD21" s="175"/>
      <c r="AE21" s="175"/>
      <c r="AF21" s="40"/>
      <c r="AG21" s="175"/>
      <c r="AH21" s="173"/>
      <c r="AI21" s="175"/>
      <c r="AJ21" s="173"/>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c r="D22" s="148"/>
      <c r="E22" s="101"/>
      <c r="F22" s="64"/>
      <c r="G22" s="173"/>
      <c r="H22" s="173"/>
      <c r="I22" s="173"/>
      <c r="J22" s="173"/>
      <c r="K22" s="173"/>
      <c r="L22" s="173"/>
      <c r="M22" s="173"/>
      <c r="N22" s="173"/>
      <c r="O22" s="173"/>
      <c r="P22" s="173"/>
      <c r="Q22" s="173"/>
      <c r="R22" s="181"/>
      <c r="S22" s="173"/>
      <c r="T22" s="173"/>
      <c r="U22" s="173"/>
      <c r="V22" s="173"/>
      <c r="W22" s="173"/>
      <c r="X22" s="173"/>
      <c r="Y22" s="173"/>
      <c r="Z22" s="173"/>
      <c r="AA22" s="175"/>
      <c r="AB22" s="175"/>
      <c r="AC22" s="175"/>
      <c r="AD22" s="175"/>
      <c r="AE22" s="175"/>
      <c r="AF22" s="39"/>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c r="D23" s="37"/>
      <c r="E23" s="101"/>
      <c r="F23" s="64"/>
      <c r="G23" s="173"/>
      <c r="H23" s="173"/>
      <c r="I23" s="173"/>
      <c r="J23" s="173"/>
      <c r="K23" s="173"/>
      <c r="L23" s="173"/>
      <c r="M23" s="173"/>
      <c r="N23" s="173"/>
      <c r="O23" s="175"/>
      <c r="P23" s="175"/>
      <c r="Q23" s="173"/>
      <c r="R23" s="173"/>
      <c r="S23" s="181"/>
      <c r="T23" s="174"/>
      <c r="U23" s="173"/>
      <c r="V23" s="173"/>
      <c r="W23" s="173"/>
      <c r="X23" s="173"/>
      <c r="Y23" s="173"/>
      <c r="Z23" s="173"/>
      <c r="AA23" s="175"/>
      <c r="AB23" s="175"/>
      <c r="AC23" s="175"/>
      <c r="AD23" s="175"/>
      <c r="AE23" s="175"/>
      <c r="AF23" s="39"/>
      <c r="AG23" s="175"/>
      <c r="AH23" s="173"/>
      <c r="AI23" s="175"/>
      <c r="AJ23" s="173"/>
      <c r="AK23" s="175"/>
      <c r="AL23" s="57"/>
      <c r="AM23" s="57"/>
      <c r="AN23" s="57"/>
      <c r="AO23" s="57"/>
      <c r="AP23" s="57"/>
      <c r="AQ23" s="57"/>
    </row>
    <row r="24" spans="1:177" s="56" customFormat="1" x14ac:dyDescent="0.2">
      <c r="A24" s="177"/>
      <c r="B24" s="68"/>
      <c r="C24" s="101"/>
      <c r="D24" s="38"/>
      <c r="E24" s="101"/>
      <c r="F24" s="64"/>
      <c r="G24" s="173"/>
      <c r="H24" s="173"/>
      <c r="I24" s="173"/>
      <c r="J24" s="173"/>
      <c r="K24" s="173"/>
      <c r="L24" s="173"/>
      <c r="M24" s="173"/>
      <c r="N24" s="173"/>
      <c r="O24" s="175"/>
      <c r="P24" s="175"/>
      <c r="Q24" s="173"/>
      <c r="R24" s="173"/>
      <c r="S24" s="181"/>
      <c r="T24" s="174"/>
      <c r="U24" s="173"/>
      <c r="V24" s="173"/>
      <c r="W24" s="173"/>
      <c r="X24" s="173"/>
      <c r="Y24" s="173"/>
      <c r="Z24" s="173"/>
      <c r="AA24" s="175"/>
      <c r="AB24" s="175"/>
      <c r="AC24" s="175"/>
      <c r="AD24" s="175"/>
      <c r="AE24" s="175"/>
      <c r="AF24" s="39"/>
      <c r="AG24" s="175"/>
      <c r="AH24" s="173"/>
      <c r="AI24" s="175"/>
      <c r="AJ24" s="173"/>
      <c r="AK24" s="175"/>
      <c r="AL24" s="57"/>
      <c r="AM24" s="57"/>
      <c r="AN24" s="57"/>
      <c r="AO24" s="57"/>
      <c r="AP24" s="57"/>
      <c r="AQ24" s="57"/>
    </row>
    <row r="25" spans="1:177" s="56" customFormat="1" x14ac:dyDescent="0.2">
      <c r="A25" s="177"/>
      <c r="B25" s="68"/>
      <c r="C25" s="101"/>
      <c r="D25" s="38"/>
      <c r="E25" s="101"/>
      <c r="F25" s="64"/>
      <c r="G25" s="173"/>
      <c r="H25" s="173"/>
      <c r="I25" s="173"/>
      <c r="J25" s="173"/>
      <c r="K25" s="173"/>
      <c r="L25" s="173"/>
      <c r="M25" s="173"/>
      <c r="N25" s="173"/>
      <c r="O25" s="175"/>
      <c r="P25" s="175"/>
      <c r="Q25" s="173"/>
      <c r="R25" s="173"/>
      <c r="S25" s="181"/>
      <c r="T25" s="174"/>
      <c r="U25" s="173"/>
      <c r="V25" s="173"/>
      <c r="W25" s="173"/>
      <c r="X25" s="173"/>
      <c r="Y25" s="173"/>
      <c r="Z25" s="173"/>
      <c r="AA25" s="175"/>
      <c r="AB25" s="175"/>
      <c r="AC25" s="175"/>
      <c r="AD25" s="175"/>
      <c r="AE25" s="175"/>
      <c r="AF25" s="39"/>
      <c r="AG25" s="175"/>
      <c r="AH25" s="173"/>
      <c r="AI25" s="175"/>
      <c r="AJ25" s="173"/>
      <c r="AK25" s="175"/>
      <c r="AL25" s="57"/>
      <c r="AM25" s="57"/>
      <c r="AN25" s="57"/>
      <c r="AO25" s="57"/>
      <c r="AP25" s="57"/>
      <c r="AQ25" s="57"/>
    </row>
    <row r="26" spans="1:177" s="56" customFormat="1" x14ac:dyDescent="0.2">
      <c r="A26" s="177"/>
      <c r="B26" s="68"/>
      <c r="C26" s="101"/>
      <c r="D26" s="147"/>
      <c r="E26" s="101"/>
      <c r="F26" s="64"/>
      <c r="G26" s="173"/>
      <c r="H26" s="173"/>
      <c r="I26" s="173"/>
      <c r="J26" s="173"/>
      <c r="K26" s="173"/>
      <c r="L26" s="173"/>
      <c r="M26" s="173"/>
      <c r="N26" s="173"/>
      <c r="O26" s="173"/>
      <c r="P26" s="173"/>
      <c r="Q26" s="173"/>
      <c r="R26" s="173"/>
      <c r="S26" s="181"/>
      <c r="T26" s="181"/>
      <c r="U26" s="181"/>
      <c r="V26" s="181"/>
      <c r="W26" s="181"/>
      <c r="X26" s="181"/>
      <c r="Y26" s="173"/>
      <c r="Z26" s="173"/>
      <c r="AA26" s="175"/>
      <c r="AB26" s="175"/>
      <c r="AC26" s="175"/>
      <c r="AD26" s="175"/>
      <c r="AE26" s="175"/>
      <c r="AF26" s="171"/>
      <c r="AG26" s="175"/>
      <c r="AH26" s="173"/>
      <c r="AI26" s="175"/>
      <c r="AJ26" s="173"/>
      <c r="AK26" s="175"/>
      <c r="AL26" s="57"/>
      <c r="AM26" s="57"/>
    </row>
    <row r="27" spans="1:177" s="56" customFormat="1" x14ac:dyDescent="0.2">
      <c r="A27" s="177"/>
      <c r="B27" s="68"/>
      <c r="C27" s="101"/>
      <c r="D27" s="147"/>
      <c r="E27" s="101"/>
      <c r="F27" s="64"/>
      <c r="G27" s="173"/>
      <c r="H27" s="173"/>
      <c r="I27" s="173"/>
      <c r="J27" s="173"/>
      <c r="K27" s="173"/>
      <c r="L27" s="173"/>
      <c r="M27" s="173"/>
      <c r="N27" s="173"/>
      <c r="O27" s="173"/>
      <c r="P27" s="173"/>
      <c r="Q27" s="173"/>
      <c r="R27" s="173"/>
      <c r="S27" s="181"/>
      <c r="T27" s="181"/>
      <c r="U27" s="181"/>
      <c r="V27" s="173"/>
      <c r="W27" s="173"/>
      <c r="X27" s="173"/>
      <c r="Y27" s="173"/>
      <c r="Z27" s="173"/>
      <c r="AA27" s="175"/>
      <c r="AB27" s="175"/>
      <c r="AC27" s="175"/>
      <c r="AD27" s="175"/>
      <c r="AE27" s="175"/>
      <c r="AF27" s="171"/>
      <c r="AG27" s="175"/>
      <c r="AH27" s="173"/>
      <c r="AI27" s="175"/>
      <c r="AJ27" s="173"/>
      <c r="AK27" s="175"/>
      <c r="AL27" s="57"/>
      <c r="AM27" s="57"/>
    </row>
    <row r="28" spans="1:177" s="56" customFormat="1" x14ac:dyDescent="0.2">
      <c r="A28" s="177"/>
      <c r="B28" s="68"/>
      <c r="C28" s="101"/>
      <c r="D28" s="147"/>
      <c r="E28" s="101"/>
      <c r="F28" s="64"/>
      <c r="G28" s="173"/>
      <c r="H28" s="173"/>
      <c r="I28" s="173"/>
      <c r="J28" s="173"/>
      <c r="K28" s="173"/>
      <c r="L28" s="173"/>
      <c r="M28" s="173"/>
      <c r="N28" s="173"/>
      <c r="O28" s="173"/>
      <c r="P28" s="173"/>
      <c r="Q28" s="173"/>
      <c r="R28" s="173"/>
      <c r="S28" s="181"/>
      <c r="T28" s="181"/>
      <c r="U28" s="173"/>
      <c r="V28" s="181"/>
      <c r="W28" s="173"/>
      <c r="X28" s="173"/>
      <c r="Y28" s="173"/>
      <c r="Z28" s="173"/>
      <c r="AA28" s="175"/>
      <c r="AB28" s="175"/>
      <c r="AC28" s="175"/>
      <c r="AD28" s="175"/>
      <c r="AE28" s="175"/>
      <c r="AF28" s="171"/>
      <c r="AG28" s="175"/>
      <c r="AH28" s="173"/>
      <c r="AI28" s="175"/>
      <c r="AJ28" s="173"/>
      <c r="AK28" s="175"/>
      <c r="AL28" s="57"/>
      <c r="AM28" s="57"/>
    </row>
    <row r="29" spans="1:177" s="56" customFormat="1" x14ac:dyDescent="0.2">
      <c r="A29" s="177"/>
      <c r="B29" s="68"/>
      <c r="C29" s="101"/>
      <c r="D29" s="147"/>
      <c r="E29" s="101"/>
      <c r="F29" s="64"/>
      <c r="G29" s="173"/>
      <c r="H29" s="173"/>
      <c r="I29" s="173"/>
      <c r="J29" s="173"/>
      <c r="K29" s="173"/>
      <c r="L29" s="173"/>
      <c r="M29" s="173"/>
      <c r="N29" s="173"/>
      <c r="O29" s="173"/>
      <c r="P29" s="173"/>
      <c r="Q29" s="173"/>
      <c r="R29" s="173"/>
      <c r="S29" s="173"/>
      <c r="T29" s="181"/>
      <c r="U29" s="173"/>
      <c r="V29" s="173"/>
      <c r="W29" s="181"/>
      <c r="X29" s="173"/>
      <c r="Y29" s="173"/>
      <c r="Z29" s="173"/>
      <c r="AA29" s="175"/>
      <c r="AB29" s="175"/>
      <c r="AC29" s="175"/>
      <c r="AD29" s="175"/>
      <c r="AE29" s="175"/>
      <c r="AF29" s="175"/>
      <c r="AG29" s="175"/>
      <c r="AH29" s="173"/>
      <c r="AI29" s="175"/>
      <c r="AJ29" s="173"/>
      <c r="AK29" s="175"/>
      <c r="AL29" s="57"/>
      <c r="AM29" s="57"/>
    </row>
    <row r="30" spans="1:177" s="56" customFormat="1" x14ac:dyDescent="0.2">
      <c r="A30" s="177"/>
      <c r="B30" s="68"/>
      <c r="C30" s="101"/>
      <c r="D30" s="147"/>
      <c r="E30" s="101"/>
      <c r="F30" s="64"/>
      <c r="G30" s="173"/>
      <c r="H30" s="173"/>
      <c r="I30" s="173"/>
      <c r="J30" s="173"/>
      <c r="K30" s="173"/>
      <c r="L30" s="173"/>
      <c r="M30" s="173"/>
      <c r="N30" s="173"/>
      <c r="O30" s="173"/>
      <c r="P30" s="173"/>
      <c r="Q30" s="173"/>
      <c r="R30" s="173"/>
      <c r="S30" s="173"/>
      <c r="T30" s="181"/>
      <c r="U30" s="173"/>
      <c r="V30" s="173"/>
      <c r="W30" s="173"/>
      <c r="X30" s="181"/>
      <c r="Y30" s="173"/>
      <c r="Z30" s="173"/>
      <c r="AA30" s="173"/>
      <c r="AB30" s="175"/>
      <c r="AC30" s="175"/>
      <c r="AD30" s="175"/>
      <c r="AE30" s="175"/>
      <c r="AF30" s="175"/>
      <c r="AG30" s="175"/>
      <c r="AH30" s="173"/>
      <c r="AI30" s="175"/>
      <c r="AJ30" s="173"/>
      <c r="AK30" s="175"/>
      <c r="AL30" s="57"/>
      <c r="AM30" s="57"/>
    </row>
    <row r="31" spans="1:177" s="56" customFormat="1" x14ac:dyDescent="0.2">
      <c r="A31" s="177"/>
      <c r="B31" s="68"/>
      <c r="C31" s="101"/>
      <c r="D31" s="147"/>
      <c r="E31" s="101"/>
      <c r="F31" s="64"/>
      <c r="G31" s="173"/>
      <c r="H31" s="173"/>
      <c r="I31" s="173"/>
      <c r="J31" s="173"/>
      <c r="K31" s="173"/>
      <c r="L31" s="173"/>
      <c r="M31" s="173"/>
      <c r="N31" s="173"/>
      <c r="O31" s="173"/>
      <c r="P31" s="173"/>
      <c r="Q31" s="173"/>
      <c r="R31" s="173"/>
      <c r="S31" s="173"/>
      <c r="T31" s="181"/>
      <c r="U31" s="173"/>
      <c r="V31" s="173"/>
      <c r="W31" s="173"/>
      <c r="X31" s="173"/>
      <c r="Y31" s="173"/>
      <c r="Z31" s="173"/>
      <c r="AA31" s="173"/>
      <c r="AB31" s="175"/>
      <c r="AC31" s="175"/>
      <c r="AD31" s="175"/>
      <c r="AE31" s="175"/>
      <c r="AF31" s="175"/>
      <c r="AG31" s="175"/>
      <c r="AH31" s="173"/>
      <c r="AI31" s="173"/>
      <c r="AJ31" s="173"/>
      <c r="AK31" s="175"/>
      <c r="AL31" s="57"/>
      <c r="AM31" s="57"/>
    </row>
    <row r="32" spans="1:177" s="56" customFormat="1" x14ac:dyDescent="0.2">
      <c r="A32" s="177"/>
      <c r="B32" s="68"/>
      <c r="C32" s="101"/>
      <c r="D32" s="147"/>
      <c r="E32" s="101"/>
      <c r="F32" s="64"/>
      <c r="G32" s="173"/>
      <c r="H32" s="173"/>
      <c r="I32" s="173"/>
      <c r="J32" s="173"/>
      <c r="K32" s="173"/>
      <c r="L32" s="173"/>
      <c r="M32" s="173"/>
      <c r="N32" s="173"/>
      <c r="O32" s="173"/>
      <c r="P32" s="173"/>
      <c r="Q32" s="173"/>
      <c r="R32" s="173"/>
      <c r="S32" s="173"/>
      <c r="T32" s="173"/>
      <c r="U32" s="173"/>
      <c r="V32" s="173"/>
      <c r="W32" s="173"/>
      <c r="X32" s="173"/>
      <c r="Y32" s="173"/>
      <c r="Z32" s="173"/>
      <c r="AA32" s="173"/>
      <c r="AB32" s="175"/>
      <c r="AC32" s="176"/>
      <c r="AD32" s="175"/>
      <c r="AE32" s="175"/>
      <c r="AF32" s="175"/>
      <c r="AG32" s="175"/>
      <c r="AH32" s="173"/>
      <c r="AI32" s="175"/>
      <c r="AJ32" s="173"/>
      <c r="AK32" s="176"/>
      <c r="AL32" s="57"/>
      <c r="AM32" s="57"/>
    </row>
    <row r="33" spans="1:185" s="56" customFormat="1" x14ac:dyDescent="0.2">
      <c r="A33" s="177"/>
      <c r="B33" s="68"/>
      <c r="C33" s="101"/>
      <c r="D33" s="147"/>
      <c r="E33" s="101"/>
      <c r="F33" s="64"/>
      <c r="G33" s="173"/>
      <c r="H33" s="173"/>
      <c r="I33" s="173"/>
      <c r="J33" s="173"/>
      <c r="K33" s="174"/>
      <c r="L33" s="174"/>
      <c r="M33" s="175"/>
      <c r="N33" s="175"/>
      <c r="O33" s="175"/>
      <c r="P33" s="175"/>
      <c r="Q33" s="175"/>
      <c r="R33" s="175"/>
      <c r="S33" s="175"/>
      <c r="T33" s="175"/>
      <c r="U33" s="175"/>
      <c r="V33" s="175"/>
      <c r="W33" s="173"/>
      <c r="X33" s="175"/>
      <c r="Y33" s="175"/>
      <c r="Z33" s="175"/>
      <c r="AA33" s="173"/>
      <c r="AB33" s="173"/>
      <c r="AC33" s="176"/>
      <c r="AD33" s="176"/>
      <c r="AE33" s="176"/>
      <c r="AF33" s="175"/>
      <c r="AG33" s="175"/>
      <c r="AH33" s="175"/>
      <c r="AI33" s="173"/>
      <c r="AJ33" s="175"/>
      <c r="AK33" s="175"/>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c r="FY33" s="144"/>
      <c r="FZ33" s="144"/>
      <c r="GA33" s="144"/>
      <c r="GB33" s="144"/>
      <c r="GC33" s="144"/>
    </row>
    <row r="34" spans="1:185" s="56" customFormat="1" x14ac:dyDescent="0.2">
      <c r="A34" s="177"/>
      <c r="B34" s="68"/>
      <c r="C34" s="101"/>
      <c r="D34" s="38"/>
      <c r="E34" s="101"/>
      <c r="F34" s="64"/>
      <c r="G34" s="173"/>
      <c r="H34" s="173"/>
      <c r="I34" s="173"/>
      <c r="J34" s="173"/>
      <c r="K34" s="173"/>
      <c r="L34" s="173"/>
      <c r="M34" s="173"/>
      <c r="N34" s="173"/>
      <c r="O34" s="181"/>
      <c r="P34" s="173"/>
      <c r="Q34" s="173"/>
      <c r="R34" s="173"/>
      <c r="S34" s="173"/>
      <c r="T34" s="173"/>
      <c r="U34" s="173"/>
      <c r="V34" s="175"/>
      <c r="W34" s="173"/>
      <c r="X34" s="173"/>
      <c r="Y34" s="173"/>
      <c r="Z34" s="173"/>
      <c r="AA34" s="173"/>
      <c r="AB34" s="173"/>
      <c r="AC34" s="176"/>
      <c r="AD34" s="176"/>
      <c r="AE34" s="175"/>
      <c r="AF34" s="175"/>
      <c r="AG34" s="176"/>
      <c r="AH34" s="173"/>
      <c r="AI34" s="173"/>
      <c r="AJ34" s="173"/>
      <c r="AK34" s="176"/>
      <c r="AL34" s="57"/>
      <c r="AM34" s="57"/>
      <c r="AN34" s="57"/>
      <c r="AO34" s="57"/>
      <c r="AP34" s="57"/>
    </row>
    <row r="35" spans="1:185" s="56" customFormat="1" x14ac:dyDescent="0.2">
      <c r="A35" s="177"/>
      <c r="B35" s="68"/>
      <c r="C35" s="101"/>
      <c r="D35" s="147"/>
      <c r="E35" s="101"/>
      <c r="F35" s="64"/>
      <c r="G35" s="173"/>
      <c r="H35" s="174"/>
      <c r="I35" s="174"/>
      <c r="J35" s="174"/>
      <c r="K35" s="174"/>
      <c r="L35" s="174"/>
      <c r="M35" s="175"/>
      <c r="N35" s="175"/>
      <c r="O35" s="175"/>
      <c r="P35" s="175"/>
      <c r="Q35" s="175"/>
      <c r="R35" s="175"/>
      <c r="S35" s="175"/>
      <c r="T35" s="175"/>
      <c r="U35" s="175"/>
      <c r="V35" s="175"/>
      <c r="W35" s="175"/>
      <c r="X35" s="175"/>
      <c r="Y35" s="175"/>
      <c r="Z35" s="175"/>
      <c r="AA35" s="175"/>
      <c r="AB35" s="175"/>
      <c r="AC35" s="176"/>
      <c r="AD35" s="176"/>
      <c r="AE35" s="176"/>
      <c r="AF35" s="175"/>
      <c r="AG35" s="175"/>
      <c r="AH35" s="175"/>
      <c r="AI35" s="175"/>
      <c r="AJ35" s="175"/>
      <c r="AK35" s="175"/>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row>
    <row r="36" spans="1:185" s="56" customFormat="1" x14ac:dyDescent="0.2">
      <c r="A36" s="177"/>
      <c r="B36" s="68"/>
      <c r="C36" s="101"/>
      <c r="D36" s="147"/>
      <c r="E36" s="101"/>
      <c r="F36" s="64"/>
      <c r="G36" s="173"/>
      <c r="H36" s="174"/>
      <c r="I36" s="174"/>
      <c r="J36" s="174"/>
      <c r="K36" s="174"/>
      <c r="L36" s="174"/>
      <c r="M36" s="175"/>
      <c r="N36" s="175"/>
      <c r="O36" s="175"/>
      <c r="P36" s="175"/>
      <c r="Q36" s="175"/>
      <c r="R36" s="175"/>
      <c r="S36" s="175"/>
      <c r="T36" s="175"/>
      <c r="U36" s="175"/>
      <c r="V36" s="175"/>
      <c r="W36" s="175"/>
      <c r="X36" s="175"/>
      <c r="Y36" s="175"/>
      <c r="Z36" s="175"/>
      <c r="AA36" s="175"/>
      <c r="AB36" s="175"/>
      <c r="AC36" s="175"/>
      <c r="AD36" s="176"/>
      <c r="AE36" s="175"/>
      <c r="AF36" s="175"/>
      <c r="AG36" s="176"/>
      <c r="AH36" s="176"/>
      <c r="AI36" s="175"/>
      <c r="AJ36" s="175"/>
      <c r="AK36" s="175"/>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row>
    <row r="37" spans="1:185" s="56" customFormat="1" x14ac:dyDescent="0.2">
      <c r="A37" s="177"/>
      <c r="B37" s="68"/>
      <c r="C37" s="101"/>
      <c r="D37" s="38"/>
      <c r="E37" s="101"/>
      <c r="F37" s="64"/>
      <c r="G37" s="173"/>
      <c r="H37" s="174"/>
      <c r="I37" s="174"/>
      <c r="J37" s="174"/>
      <c r="K37" s="174"/>
      <c r="L37" s="174"/>
      <c r="M37" s="175"/>
      <c r="N37" s="175"/>
      <c r="O37" s="175"/>
      <c r="P37" s="175"/>
      <c r="Q37" s="175"/>
      <c r="R37" s="175"/>
      <c r="S37" s="175"/>
      <c r="T37" s="175"/>
      <c r="U37" s="175"/>
      <c r="V37" s="175"/>
      <c r="W37" s="175"/>
      <c r="X37" s="175"/>
      <c r="Y37" s="175"/>
      <c r="Z37" s="175"/>
      <c r="AA37" s="175"/>
      <c r="AB37" s="175"/>
      <c r="AC37" s="175"/>
      <c r="AD37" s="175"/>
      <c r="AE37" s="176"/>
      <c r="AF37" s="176"/>
      <c r="AG37" s="175"/>
      <c r="AH37" s="175"/>
      <c r="AI37" s="175"/>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row>
    <row r="38" spans="1:185" s="56" customFormat="1" x14ac:dyDescent="0.2">
      <c r="A38" s="177"/>
      <c r="B38" s="68"/>
      <c r="C38" s="101"/>
      <c r="D38" s="37"/>
      <c r="E38" s="101"/>
      <c r="F38" s="64"/>
      <c r="G38" s="173"/>
      <c r="H38" s="174"/>
      <c r="I38" s="174"/>
      <c r="J38" s="174"/>
      <c r="K38" s="174"/>
      <c r="L38" s="174"/>
      <c r="M38" s="175"/>
      <c r="N38" s="175"/>
      <c r="O38" s="175"/>
      <c r="P38" s="175"/>
      <c r="Q38" s="176"/>
      <c r="R38" s="176"/>
      <c r="S38" s="175"/>
      <c r="T38" s="175"/>
      <c r="U38" s="175"/>
      <c r="V38" s="175"/>
      <c r="W38" s="175"/>
      <c r="X38" s="175"/>
      <c r="Y38" s="175"/>
      <c r="Z38" s="175"/>
      <c r="AA38" s="175"/>
      <c r="AB38" s="175"/>
      <c r="AC38" s="175"/>
      <c r="AD38" s="175"/>
      <c r="AE38" s="175"/>
      <c r="AF38" s="175"/>
      <c r="AG38" s="176"/>
      <c r="AH38" s="176"/>
      <c r="AI38" s="175"/>
      <c r="AJ38" s="175"/>
      <c r="AK38" s="175"/>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row>
    <row r="39" spans="1:185" s="56" customFormat="1" x14ac:dyDescent="0.2">
      <c r="A39" s="177"/>
      <c r="B39" s="68"/>
      <c r="C39" s="101"/>
      <c r="D39" s="37"/>
      <c r="E39" s="101"/>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5"/>
      <c r="AE39" s="175"/>
      <c r="AF39" s="175"/>
      <c r="AG39" s="176"/>
      <c r="AH39" s="176"/>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c r="D40" s="38"/>
      <c r="E40" s="101"/>
      <c r="F40" s="64"/>
      <c r="G40" s="173"/>
      <c r="H40" s="173"/>
      <c r="I40" s="173"/>
      <c r="J40" s="173"/>
      <c r="K40" s="173"/>
      <c r="L40" s="173"/>
      <c r="M40" s="173"/>
      <c r="N40" s="173"/>
      <c r="O40" s="173"/>
      <c r="P40" s="173"/>
      <c r="Q40" s="173"/>
      <c r="R40" s="173"/>
      <c r="S40" s="173"/>
      <c r="T40" s="173"/>
      <c r="U40" s="173"/>
      <c r="V40" s="173"/>
      <c r="W40" s="173"/>
      <c r="X40" s="173"/>
      <c r="Y40" s="173"/>
      <c r="Z40" s="173"/>
      <c r="AA40" s="173"/>
      <c r="AB40" s="175"/>
      <c r="AC40" s="175"/>
      <c r="AD40" s="175"/>
      <c r="AE40" s="176"/>
      <c r="AF40" s="176"/>
      <c r="AG40" s="175"/>
      <c r="AH40" s="173"/>
      <c r="AI40" s="175"/>
      <c r="AJ40" s="173"/>
      <c r="AK40" s="175"/>
      <c r="AL40" s="57"/>
      <c r="AM40" s="57"/>
    </row>
    <row r="41" spans="1:185" s="56" customFormat="1" x14ac:dyDescent="0.2">
      <c r="A41" s="177"/>
      <c r="B41" s="68"/>
      <c r="C41" s="101"/>
      <c r="D41" s="37"/>
      <c r="E41" s="101"/>
      <c r="F41" s="64"/>
      <c r="G41" s="173"/>
      <c r="H41" s="175"/>
      <c r="I41" s="175"/>
      <c r="J41" s="175"/>
      <c r="K41" s="175"/>
      <c r="L41" s="175"/>
      <c r="M41" s="175"/>
      <c r="N41" s="175"/>
      <c r="O41" s="175"/>
      <c r="P41" s="175"/>
      <c r="Q41" s="175"/>
      <c r="R41" s="175"/>
      <c r="S41" s="175"/>
      <c r="T41" s="175"/>
      <c r="U41" s="175"/>
      <c r="V41" s="175"/>
      <c r="W41" s="175"/>
      <c r="X41" s="175"/>
      <c r="Y41" s="175"/>
      <c r="Z41" s="173"/>
      <c r="AA41" s="175"/>
      <c r="AB41" s="175"/>
      <c r="AC41" s="175"/>
      <c r="AD41" s="175"/>
      <c r="AE41" s="175"/>
      <c r="AF41" s="175"/>
      <c r="AG41" s="176"/>
      <c r="AH41" s="175"/>
      <c r="AI41" s="173"/>
      <c r="AJ41" s="173"/>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row>
    <row r="42" spans="1:185" s="56" customFormat="1" x14ac:dyDescent="0.2">
      <c r="A42" s="177"/>
      <c r="B42" s="68"/>
      <c r="C42" s="101"/>
      <c r="D42" s="38"/>
      <c r="E42" s="101"/>
      <c r="F42" s="64"/>
      <c r="G42" s="173"/>
      <c r="H42" s="173"/>
      <c r="I42" s="173"/>
      <c r="J42" s="173"/>
      <c r="K42" s="173"/>
      <c r="L42" s="173"/>
      <c r="M42" s="173"/>
      <c r="N42" s="173"/>
      <c r="O42" s="173"/>
      <c r="P42" s="173"/>
      <c r="Q42" s="173"/>
      <c r="R42" s="173"/>
      <c r="S42" s="173"/>
      <c r="T42" s="173"/>
      <c r="U42" s="173"/>
      <c r="V42" s="173"/>
      <c r="W42" s="173"/>
      <c r="X42" s="173"/>
      <c r="Y42" s="173"/>
      <c r="Z42" s="173"/>
      <c r="AA42" s="175"/>
      <c r="AB42" s="175"/>
      <c r="AC42" s="175"/>
      <c r="AD42" s="175"/>
      <c r="AE42" s="175"/>
      <c r="AF42" s="175"/>
      <c r="AG42" s="176"/>
      <c r="AH42" s="173"/>
      <c r="AI42" s="175"/>
      <c r="AJ42" s="181"/>
      <c r="AK42" s="175"/>
      <c r="AL42" s="57"/>
      <c r="AM42" s="57"/>
    </row>
    <row r="43" spans="1:185" s="56" customFormat="1" x14ac:dyDescent="0.2">
      <c r="A43" s="177"/>
      <c r="B43" s="68"/>
      <c r="C43" s="101"/>
      <c r="D43" s="37"/>
      <c r="E43" s="101"/>
      <c r="F43" s="64"/>
      <c r="G43" s="173"/>
      <c r="H43" s="173"/>
      <c r="I43" s="173"/>
      <c r="J43" s="173"/>
      <c r="K43" s="173"/>
      <c r="L43" s="173"/>
      <c r="M43" s="173"/>
      <c r="N43" s="173"/>
      <c r="O43" s="173"/>
      <c r="P43" s="173"/>
      <c r="Q43" s="173"/>
      <c r="R43" s="173"/>
      <c r="S43" s="173"/>
      <c r="T43" s="173"/>
      <c r="U43" s="173"/>
      <c r="V43" s="173"/>
      <c r="W43" s="173"/>
      <c r="X43" s="173"/>
      <c r="Y43" s="173"/>
      <c r="Z43" s="173"/>
      <c r="AA43" s="175"/>
      <c r="AB43" s="175"/>
      <c r="AC43" s="175"/>
      <c r="AD43" s="175"/>
      <c r="AE43" s="175"/>
      <c r="AF43" s="175"/>
      <c r="AG43" s="175"/>
      <c r="AH43" s="173"/>
      <c r="AI43" s="175"/>
      <c r="AJ43" s="181"/>
      <c r="AK43" s="176"/>
      <c r="AL43" s="57"/>
      <c r="AM43" s="57"/>
    </row>
    <row r="44" spans="1:185" s="56" customFormat="1" x14ac:dyDescent="0.2">
      <c r="A44" s="177"/>
      <c r="B44" s="68"/>
      <c r="C44" s="101"/>
      <c r="D44" s="38"/>
      <c r="E44" s="101"/>
      <c r="F44" s="64"/>
      <c r="G44" s="173"/>
      <c r="H44" s="173"/>
      <c r="I44" s="173"/>
      <c r="J44" s="173"/>
      <c r="K44" s="173"/>
      <c r="L44" s="173"/>
      <c r="M44" s="173"/>
      <c r="N44" s="173"/>
      <c r="O44" s="173"/>
      <c r="P44" s="173"/>
      <c r="Q44" s="173"/>
      <c r="R44" s="173"/>
      <c r="S44" s="173"/>
      <c r="T44" s="173"/>
      <c r="U44" s="173"/>
      <c r="V44" s="173"/>
      <c r="W44" s="173"/>
      <c r="X44" s="173"/>
      <c r="Y44" s="173"/>
      <c r="Z44" s="173"/>
      <c r="AA44" s="175"/>
      <c r="AB44" s="175"/>
      <c r="AC44" s="175"/>
      <c r="AD44" s="175"/>
      <c r="AE44" s="175"/>
      <c r="AF44" s="175"/>
      <c r="AG44" s="175"/>
      <c r="AH44" s="173"/>
      <c r="AI44" s="175"/>
      <c r="AJ44" s="181"/>
      <c r="AK44" s="176"/>
      <c r="AL44" s="57"/>
      <c r="AM44" s="57"/>
    </row>
    <row r="45" spans="1:185" s="56" customFormat="1" x14ac:dyDescent="0.2">
      <c r="A45" s="67"/>
      <c r="B45" s="68"/>
      <c r="C45" s="101"/>
      <c r="D45" s="37"/>
      <c r="E45" s="101"/>
      <c r="F45" s="64"/>
      <c r="G45" s="173"/>
      <c r="H45" s="173"/>
      <c r="I45" s="173"/>
      <c r="J45" s="173"/>
      <c r="K45" s="173"/>
      <c r="L45" s="173"/>
      <c r="M45" s="173"/>
      <c r="N45" s="173"/>
      <c r="O45" s="173"/>
      <c r="P45" s="173"/>
      <c r="Q45" s="173"/>
      <c r="R45" s="173"/>
      <c r="S45" s="173"/>
      <c r="T45" s="173"/>
      <c r="U45" s="173"/>
      <c r="V45" s="173"/>
      <c r="W45" s="173"/>
      <c r="X45" s="173"/>
      <c r="Y45" s="173"/>
      <c r="Z45" s="173"/>
      <c r="AA45" s="175"/>
      <c r="AB45" s="175"/>
      <c r="AC45" s="175"/>
      <c r="AD45" s="175"/>
      <c r="AE45" s="175"/>
      <c r="AF45" s="175"/>
      <c r="AG45" s="175"/>
      <c r="AH45" s="173"/>
      <c r="AI45" s="175"/>
      <c r="AJ45" s="181"/>
      <c r="AK45" s="176"/>
      <c r="AL45" s="57"/>
      <c r="AM45" s="57"/>
    </row>
    <row r="46" spans="1:185" s="56" customFormat="1" x14ac:dyDescent="0.2">
      <c r="A46" s="67"/>
      <c r="B46" s="66"/>
      <c r="C46" s="101"/>
      <c r="D46" s="38"/>
      <c r="E46" s="101"/>
      <c r="H46" s="57"/>
      <c r="I46" s="57"/>
      <c r="J46" s="57"/>
      <c r="K46" s="57"/>
      <c r="L46" s="57"/>
      <c r="M46" s="57"/>
      <c r="N46" s="57"/>
      <c r="O46" s="57"/>
      <c r="P46" s="57"/>
      <c r="Q46" s="57"/>
      <c r="R46" s="57"/>
      <c r="S46" s="57"/>
      <c r="T46" s="57"/>
      <c r="U46" s="57"/>
      <c r="V46" s="57"/>
      <c r="X46" s="57"/>
      <c r="Y46" s="57"/>
      <c r="Z46" s="57"/>
      <c r="AA46" s="144"/>
      <c r="AB46" s="144"/>
      <c r="AC46" s="144"/>
      <c r="AD46" s="144"/>
      <c r="AE46" s="144"/>
      <c r="AF46" s="144"/>
      <c r="AG46" s="144"/>
      <c r="AH46" s="57"/>
      <c r="AI46" s="144"/>
      <c r="AJ46" s="154"/>
      <c r="AK46" s="175"/>
      <c r="AL46" s="57"/>
      <c r="AM46" s="57"/>
    </row>
    <row r="47" spans="1:185" s="56" customFormat="1" x14ac:dyDescent="0.2">
      <c r="A47" s="67"/>
      <c r="B47" s="66"/>
      <c r="C47" s="101"/>
      <c r="D47" s="38"/>
      <c r="E47" s="101"/>
      <c r="H47" s="57"/>
      <c r="I47" s="57"/>
      <c r="J47" s="57"/>
      <c r="K47" s="57"/>
      <c r="L47" s="57"/>
      <c r="M47" s="57"/>
      <c r="N47" s="57"/>
      <c r="O47" s="57"/>
      <c r="P47" s="57"/>
      <c r="Q47" s="57"/>
      <c r="R47" s="57"/>
      <c r="S47" s="57"/>
      <c r="T47" s="57"/>
      <c r="U47" s="57"/>
      <c r="V47" s="57"/>
      <c r="W47" s="57"/>
      <c r="X47" s="57"/>
      <c r="Y47" s="57"/>
      <c r="Z47" s="57"/>
      <c r="AA47" s="144"/>
      <c r="AB47" s="144"/>
      <c r="AC47" s="144"/>
      <c r="AD47" s="144"/>
      <c r="AE47" s="144"/>
      <c r="AF47" s="144"/>
      <c r="AG47" s="144"/>
      <c r="AH47" s="57"/>
      <c r="AI47" s="144"/>
      <c r="AJ47" s="154"/>
      <c r="AK47" s="175"/>
      <c r="AL47" s="57"/>
      <c r="AM47" s="57"/>
    </row>
    <row r="48" spans="1:185" s="56" customFormat="1" x14ac:dyDescent="0.2">
      <c r="A48" s="67"/>
      <c r="B48" s="66"/>
      <c r="C48" s="101"/>
      <c r="D48" s="38"/>
      <c r="E48" s="101"/>
      <c r="H48" s="57"/>
      <c r="I48" s="57"/>
      <c r="J48" s="57"/>
      <c r="K48" s="57"/>
      <c r="L48" s="57"/>
      <c r="M48" s="57"/>
      <c r="N48" s="57"/>
      <c r="O48" s="57"/>
      <c r="P48" s="57"/>
      <c r="Q48" s="57"/>
      <c r="R48" s="57"/>
      <c r="S48" s="57"/>
      <c r="T48" s="57"/>
      <c r="U48" s="57"/>
      <c r="V48" s="57"/>
      <c r="W48" s="57"/>
      <c r="X48" s="57"/>
      <c r="Y48" s="57"/>
      <c r="Z48" s="57"/>
      <c r="AA48" s="144"/>
      <c r="AB48" s="144"/>
      <c r="AC48" s="144"/>
      <c r="AD48" s="144"/>
      <c r="AE48" s="144"/>
      <c r="AF48" s="144"/>
      <c r="AG48" s="144"/>
      <c r="AH48" s="57"/>
      <c r="AI48" s="144"/>
      <c r="AJ48" s="57"/>
      <c r="AK48" s="175"/>
      <c r="AL48" s="57"/>
      <c r="AM48" s="57"/>
    </row>
    <row r="49" spans="1:39" s="56" customFormat="1" x14ac:dyDescent="0.2">
      <c r="A49" s="67"/>
      <c r="B49" s="66"/>
      <c r="C49" s="101"/>
      <c r="D49" s="38"/>
      <c r="E49" s="101"/>
      <c r="H49" s="57"/>
      <c r="I49" s="57"/>
      <c r="J49" s="57"/>
      <c r="K49" s="57"/>
      <c r="L49" s="57"/>
      <c r="M49" s="57"/>
      <c r="N49" s="57"/>
      <c r="O49" s="57"/>
      <c r="P49" s="57"/>
      <c r="Q49" s="57"/>
      <c r="R49" s="57"/>
      <c r="S49" s="57"/>
      <c r="T49" s="57"/>
      <c r="U49" s="57"/>
      <c r="V49" s="57"/>
      <c r="W49" s="57"/>
      <c r="X49" s="57"/>
      <c r="Y49" s="57"/>
      <c r="Z49" s="57"/>
      <c r="AA49" s="144"/>
      <c r="AB49" s="144"/>
      <c r="AC49" s="144"/>
      <c r="AD49" s="144"/>
      <c r="AE49" s="144"/>
      <c r="AF49" s="144"/>
      <c r="AG49" s="144"/>
      <c r="AH49" s="57"/>
      <c r="AI49" s="144"/>
      <c r="AJ49" s="57"/>
      <c r="AK49" s="175"/>
      <c r="AL49" s="57"/>
      <c r="AM49" s="57"/>
    </row>
    <row r="50" spans="1:39" s="56" customFormat="1" ht="12.95" customHeight="1" x14ac:dyDescent="0.2">
      <c r="A50" s="67"/>
      <c r="B50" s="66"/>
      <c r="C50" s="101"/>
      <c r="D50" s="38"/>
      <c r="E50" s="101"/>
      <c r="H50" s="57"/>
      <c r="I50" s="57"/>
      <c r="J50" s="57"/>
      <c r="K50" s="57"/>
      <c r="L50" s="57"/>
      <c r="M50" s="57"/>
      <c r="N50" s="57"/>
      <c r="O50" s="57"/>
      <c r="P50" s="57"/>
      <c r="Q50" s="57"/>
      <c r="R50" s="57"/>
      <c r="S50" s="57"/>
      <c r="T50" s="57"/>
      <c r="U50" s="57"/>
      <c r="V50" s="57"/>
      <c r="W50" s="57"/>
      <c r="X50" s="57"/>
      <c r="Y50" s="57"/>
      <c r="Z50" s="57"/>
      <c r="AA50" s="144"/>
      <c r="AB50" s="144"/>
      <c r="AC50" s="144"/>
      <c r="AD50" s="144"/>
      <c r="AE50" s="144"/>
      <c r="AF50" s="144"/>
      <c r="AG50" s="144"/>
      <c r="AH50" s="57"/>
      <c r="AI50" s="144"/>
      <c r="AJ50" s="57"/>
      <c r="AK50" s="175"/>
      <c r="AL50" s="57"/>
      <c r="AM50" s="57"/>
    </row>
    <row r="51" spans="1:39" s="56" customFormat="1" ht="14.1" customHeight="1" x14ac:dyDescent="0.2">
      <c r="A51" s="67"/>
      <c r="B51" s="66"/>
      <c r="C51" s="101"/>
      <c r="D51" s="38"/>
      <c r="E51" s="101"/>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57"/>
      <c r="AK51" s="176"/>
      <c r="AL51" s="57"/>
      <c r="AM51" s="57"/>
    </row>
    <row r="52" spans="1:39" s="56" customFormat="1" ht="17.45" customHeight="1" x14ac:dyDescent="0.2">
      <c r="A52" s="67"/>
      <c r="B52" s="66"/>
      <c r="C52" s="101"/>
      <c r="D52" s="102"/>
      <c r="E52" s="101"/>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ht="17.45" customHeight="1" x14ac:dyDescent="0.2">
      <c r="A53" s="67"/>
      <c r="B53" s="66"/>
      <c r="C53" s="101"/>
      <c r="D53" s="104"/>
      <c r="E53" s="101"/>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7.45" customHeight="1" x14ac:dyDescent="0.2">
      <c r="A54" s="67"/>
      <c r="B54" s="66"/>
      <c r="C54" s="101"/>
      <c r="D54" s="102"/>
      <c r="E54" s="101"/>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7.45" customHeight="1" x14ac:dyDescent="0.2">
      <c r="A55" s="67"/>
      <c r="B55" s="66"/>
      <c r="C55" s="101"/>
      <c r="D55" s="102"/>
      <c r="E55" s="101"/>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5"/>
      <c r="AL55" s="57"/>
      <c r="AM55" s="57"/>
    </row>
    <row r="56" spans="1:39" s="56" customFormat="1" ht="16.5" customHeight="1" x14ac:dyDescent="0.2">
      <c r="A56" s="67"/>
      <c r="B56" s="66"/>
      <c r="C56" s="101"/>
      <c r="D56" s="102"/>
      <c r="E56" s="101"/>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row>
    <row r="57" spans="1:39" s="56" customFormat="1" x14ac:dyDescent="0.2">
      <c r="A57" s="67"/>
      <c r="B57" s="66"/>
      <c r="C57" s="101"/>
      <c r="D57" s="38"/>
      <c r="E57" s="101"/>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x14ac:dyDescent="0.2">
      <c r="A58" s="67"/>
      <c r="B58" s="66"/>
      <c r="C58" s="101"/>
      <c r="D58" s="37"/>
      <c r="E58" s="101"/>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x14ac:dyDescent="0.2">
      <c r="A59" s="67"/>
      <c r="B59" s="66"/>
      <c r="C59" s="101"/>
      <c r="D59" s="37"/>
      <c r="E59" s="101"/>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x14ac:dyDescent="0.2">
      <c r="A60" s="67"/>
      <c r="B60" s="66"/>
      <c r="C60" s="101"/>
      <c r="D60" s="38"/>
      <c r="E60" s="101"/>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101"/>
      <c r="D61" s="37"/>
      <c r="E61" s="101"/>
      <c r="H61" s="57"/>
      <c r="I61" s="57"/>
      <c r="J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c r="D62" s="37"/>
      <c r="E62" s="101"/>
      <c r="H62" s="57"/>
      <c r="I62" s="57"/>
      <c r="J62" s="57"/>
      <c r="L62" s="57"/>
      <c r="M62" s="57"/>
      <c r="N62" s="57"/>
      <c r="O62" s="57"/>
      <c r="P62" s="57"/>
      <c r="Q62" s="57"/>
      <c r="R62" s="57"/>
      <c r="S62" s="57"/>
      <c r="T62" s="57"/>
      <c r="U62" s="57"/>
      <c r="V62" s="57"/>
      <c r="W62" s="57"/>
      <c r="X62" s="57"/>
      <c r="Y62" s="57"/>
      <c r="Z62" s="57"/>
      <c r="AA62" s="144"/>
      <c r="AB62" s="144"/>
      <c r="AC62" s="144"/>
      <c r="AD62" s="145"/>
      <c r="AE62" s="145"/>
      <c r="AF62" s="144"/>
      <c r="AG62" s="144"/>
      <c r="AH62" s="57"/>
      <c r="AI62" s="144"/>
      <c r="AJ62" s="57"/>
      <c r="AK62" s="175"/>
      <c r="AL62" s="57"/>
      <c r="AM62" s="57"/>
    </row>
    <row r="63" spans="1:39" s="56" customFormat="1" x14ac:dyDescent="0.2">
      <c r="A63" s="67"/>
      <c r="B63" s="66"/>
      <c r="C63" s="101"/>
      <c r="D63" s="38"/>
      <c r="E63" s="101"/>
      <c r="H63" s="57"/>
      <c r="I63" s="57"/>
      <c r="J63" s="57"/>
      <c r="K63" s="57"/>
      <c r="L63" s="57"/>
      <c r="M63" s="57"/>
      <c r="N63" s="57"/>
      <c r="O63" s="57"/>
      <c r="P63" s="57"/>
      <c r="Q63" s="57"/>
      <c r="R63" s="57"/>
      <c r="S63" s="57"/>
      <c r="T63" s="57"/>
      <c r="U63" s="57"/>
      <c r="V63" s="57"/>
      <c r="W63" s="57"/>
      <c r="X63" s="57"/>
      <c r="Y63" s="57"/>
      <c r="Z63" s="57"/>
      <c r="AA63" s="144"/>
      <c r="AB63" s="144"/>
      <c r="AC63" s="144"/>
      <c r="AD63" s="145"/>
      <c r="AE63" s="144"/>
      <c r="AF63" s="144"/>
      <c r="AG63" s="145"/>
      <c r="AH63" s="57"/>
      <c r="AI63" s="144"/>
      <c r="AJ63" s="57"/>
      <c r="AK63" s="175"/>
      <c r="AL63" s="57"/>
      <c r="AM63" s="57"/>
    </row>
    <row r="64" spans="1:39" s="56" customFormat="1" x14ac:dyDescent="0.2">
      <c r="A64" s="67"/>
      <c r="B64" s="66"/>
      <c r="C64" s="101"/>
      <c r="D64" s="38"/>
      <c r="E64" s="101"/>
      <c r="H64" s="57"/>
      <c r="I64" s="57"/>
      <c r="J64" s="57"/>
      <c r="K64" s="57"/>
      <c r="L64" s="57"/>
      <c r="M64" s="57"/>
      <c r="N64" s="57"/>
      <c r="O64" s="57"/>
      <c r="P64" s="57"/>
      <c r="Q64" s="57"/>
      <c r="R64" s="57"/>
      <c r="S64" s="57"/>
      <c r="T64" s="57"/>
      <c r="U64" s="57"/>
      <c r="V64" s="57"/>
      <c r="W64" s="57"/>
      <c r="X64" s="57"/>
      <c r="Y64" s="57"/>
      <c r="Z64" s="57"/>
      <c r="AA64" s="144"/>
      <c r="AB64" s="144"/>
      <c r="AC64" s="144"/>
      <c r="AD64" s="144"/>
      <c r="AE64" s="145"/>
      <c r="AF64" s="145"/>
      <c r="AG64" s="144"/>
      <c r="AH64" s="57"/>
      <c r="AI64" s="144"/>
      <c r="AJ64" s="57"/>
      <c r="AK64" s="176"/>
      <c r="AL64" s="57"/>
      <c r="AM64" s="57"/>
    </row>
    <row r="65" spans="1:39" s="56" customFormat="1" x14ac:dyDescent="0.2">
      <c r="A65" s="67"/>
      <c r="B65" s="66"/>
      <c r="C65" s="101"/>
      <c r="D65" s="38"/>
      <c r="E65" s="101"/>
      <c r="H65" s="57"/>
      <c r="I65" s="57"/>
      <c r="J65" s="57"/>
      <c r="K65" s="57"/>
      <c r="L65" s="57"/>
      <c r="M65" s="57"/>
      <c r="N65" s="57"/>
      <c r="O65" s="57"/>
      <c r="P65" s="57"/>
      <c r="Q65" s="57"/>
      <c r="R65" s="57"/>
      <c r="S65" s="57"/>
      <c r="T65" s="57"/>
      <c r="U65" s="57"/>
      <c r="V65" s="57"/>
      <c r="W65" s="57"/>
      <c r="X65" s="57"/>
      <c r="Y65" s="57"/>
      <c r="Z65" s="57"/>
      <c r="AA65" s="144"/>
      <c r="AB65" s="144"/>
      <c r="AC65" s="144"/>
      <c r="AD65" s="144"/>
      <c r="AE65" s="144"/>
      <c r="AF65" s="144"/>
      <c r="AG65" s="145"/>
      <c r="AH65" s="57"/>
      <c r="AI65" s="144"/>
      <c r="AJ65" s="57"/>
      <c r="AK65" s="175"/>
      <c r="AL65" s="57"/>
      <c r="AM65" s="57"/>
    </row>
    <row r="66" spans="1:39" s="56" customFormat="1" x14ac:dyDescent="0.2">
      <c r="A66" s="67"/>
      <c r="B66" s="66"/>
      <c r="C66" s="101"/>
      <c r="D66" s="104"/>
      <c r="E66" s="101"/>
      <c r="H66" s="57"/>
      <c r="I66" s="57"/>
      <c r="J66" s="57"/>
      <c r="K66" s="57"/>
      <c r="L66" s="57"/>
      <c r="M66" s="57"/>
      <c r="N66" s="57"/>
      <c r="O66" s="57"/>
      <c r="P66" s="57"/>
      <c r="Q66" s="57"/>
      <c r="R66" s="57"/>
      <c r="S66" s="57"/>
      <c r="T66" s="57"/>
      <c r="U66" s="57"/>
      <c r="V66" s="57"/>
      <c r="W66" s="57"/>
      <c r="X66" s="57"/>
      <c r="Y66" s="57"/>
      <c r="Z66" s="57"/>
      <c r="AA66" s="144"/>
      <c r="AB66" s="144"/>
      <c r="AC66" s="144"/>
      <c r="AD66" s="144"/>
      <c r="AE66" s="144"/>
      <c r="AF66" s="144"/>
      <c r="AG66" s="145"/>
      <c r="AH66" s="57"/>
      <c r="AI66" s="144"/>
      <c r="AJ66" s="57"/>
      <c r="AK66" s="175"/>
      <c r="AL66" s="57"/>
      <c r="AM66" s="57"/>
    </row>
    <row r="67" spans="1:39" s="56" customFormat="1" x14ac:dyDescent="0.2">
      <c r="A67" s="67"/>
      <c r="B67" s="66"/>
      <c r="C67" s="101"/>
      <c r="D67" s="93"/>
      <c r="E67" s="101"/>
      <c r="H67" s="57"/>
      <c r="I67" s="57"/>
      <c r="J67" s="57"/>
      <c r="K67" s="57"/>
      <c r="L67" s="57"/>
      <c r="M67" s="57"/>
      <c r="N67" s="57"/>
      <c r="O67" s="57"/>
      <c r="P67" s="57"/>
      <c r="Q67" s="57"/>
      <c r="R67" s="57"/>
      <c r="S67" s="57"/>
      <c r="T67" s="57"/>
      <c r="U67" s="57"/>
      <c r="V67" s="57"/>
      <c r="W67" s="57"/>
      <c r="X67" s="57"/>
      <c r="Y67" s="57"/>
      <c r="Z67" s="57"/>
      <c r="AA67" s="144"/>
      <c r="AB67" s="144"/>
      <c r="AC67" s="144"/>
      <c r="AD67" s="144"/>
      <c r="AE67" s="144"/>
      <c r="AF67" s="144"/>
      <c r="AG67" s="145"/>
      <c r="AH67" s="57"/>
      <c r="AI67" s="144"/>
      <c r="AJ67" s="57"/>
      <c r="AK67" s="175"/>
      <c r="AL67" s="57"/>
      <c r="AM67" s="57"/>
    </row>
    <row r="68" spans="1:39" s="56" customFormat="1" x14ac:dyDescent="0.2">
      <c r="A68" s="67"/>
      <c r="B68" s="66"/>
      <c r="C68" s="101"/>
      <c r="D68" s="93"/>
      <c r="E68" s="101"/>
      <c r="H68" s="57"/>
      <c r="I68" s="57"/>
      <c r="J68" s="57"/>
      <c r="K68" s="57"/>
      <c r="L68" s="57"/>
      <c r="M68" s="57"/>
      <c r="N68" s="57"/>
      <c r="O68" s="57"/>
      <c r="P68" s="57"/>
      <c r="Q68" s="57"/>
      <c r="R68" s="57"/>
      <c r="S68" s="57"/>
      <c r="T68" s="57"/>
      <c r="U68" s="57"/>
      <c r="V68" s="57"/>
      <c r="W68" s="57"/>
      <c r="X68" s="57"/>
      <c r="Y68" s="57"/>
      <c r="Z68" s="57"/>
      <c r="AA68" s="144"/>
      <c r="AB68" s="144"/>
      <c r="AC68" s="144"/>
      <c r="AD68" s="144"/>
      <c r="AE68" s="144"/>
      <c r="AF68" s="144"/>
      <c r="AG68" s="145"/>
      <c r="AH68" s="57"/>
      <c r="AI68" s="144"/>
      <c r="AJ68" s="57"/>
      <c r="AK68" s="175"/>
      <c r="AL68" s="57"/>
      <c r="AM68" s="57"/>
    </row>
    <row r="69" spans="1:39" s="56" customFormat="1" x14ac:dyDescent="0.2">
      <c r="A69" s="67"/>
      <c r="B69" s="66"/>
      <c r="C69" s="101"/>
      <c r="D69" s="93"/>
      <c r="E69" s="101"/>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4"/>
      <c r="AH69" s="57"/>
      <c r="AI69" s="144"/>
      <c r="AJ69" s="57"/>
      <c r="AK69" s="175"/>
      <c r="AL69" s="57"/>
      <c r="AM69" s="57"/>
    </row>
    <row r="70" spans="1:39" s="56" customFormat="1" x14ac:dyDescent="0.2">
      <c r="A70" s="67"/>
      <c r="B70" s="66"/>
      <c r="C70" s="101"/>
      <c r="D70" s="93"/>
      <c r="E70" s="101"/>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4"/>
      <c r="AH70" s="57"/>
      <c r="AI70" s="144"/>
      <c r="AJ70" s="57"/>
      <c r="AK70" s="175"/>
      <c r="AL70" s="57"/>
      <c r="AM70" s="57"/>
    </row>
    <row r="71" spans="1:39" s="56" customFormat="1" x14ac:dyDescent="0.2">
      <c r="A71" s="67"/>
      <c r="B71" s="66"/>
      <c r="C71" s="101"/>
      <c r="D71" s="93"/>
      <c r="E71" s="101"/>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4"/>
      <c r="AH71" s="57"/>
      <c r="AI71" s="144"/>
      <c r="AJ71" s="57"/>
      <c r="AK71" s="144"/>
      <c r="AL71" s="57"/>
      <c r="AM71" s="57"/>
    </row>
    <row r="72" spans="1:39" s="56" customFormat="1" x14ac:dyDescent="0.2">
      <c r="A72" s="67"/>
      <c r="B72" s="66"/>
      <c r="C72" s="101"/>
      <c r="D72" s="93"/>
      <c r="E72" s="101"/>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4"/>
      <c r="AH72" s="57"/>
      <c r="AI72" s="144"/>
      <c r="AJ72" s="57"/>
      <c r="AK72" s="144"/>
      <c r="AL72" s="57"/>
      <c r="AM72" s="57"/>
    </row>
    <row r="73" spans="1:39" s="56" customFormat="1" x14ac:dyDescent="0.2">
      <c r="A73" s="67"/>
      <c r="B73" s="66"/>
      <c r="C73" s="101"/>
      <c r="D73" s="103"/>
      <c r="E73" s="101"/>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44"/>
      <c r="AL73" s="57"/>
      <c r="AM73" s="57"/>
    </row>
    <row r="74" spans="1:39" s="56" customFormat="1" x14ac:dyDescent="0.2">
      <c r="A74" s="67"/>
      <c r="B74" s="66"/>
      <c r="C74" s="101"/>
      <c r="D74" s="93"/>
      <c r="E74" s="101"/>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44"/>
      <c r="AL74" s="57"/>
      <c r="AM74" s="57"/>
    </row>
    <row r="75" spans="1:39" s="56" customFormat="1" x14ac:dyDescent="0.2">
      <c r="A75" s="67"/>
      <c r="B75" s="66"/>
      <c r="C75" s="101"/>
      <c r="D75" s="37"/>
      <c r="E75" s="101"/>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row>
    <row r="76" spans="1:39" s="56" customFormat="1" x14ac:dyDescent="0.2">
      <c r="A76" s="67"/>
      <c r="B76" s="66"/>
      <c r="C76" s="101"/>
      <c r="D76" s="93"/>
      <c r="E76" s="101"/>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row>
    <row r="77" spans="1:39" s="56" customFormat="1" x14ac:dyDescent="0.2">
      <c r="A77" s="67"/>
      <c r="B77" s="66"/>
      <c r="C77" s="101"/>
      <c r="D77" s="37"/>
      <c r="E77" s="101"/>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39" s="56" customFormat="1" x14ac:dyDescent="0.2">
      <c r="A78" s="67"/>
      <c r="B78" s="66"/>
      <c r="C78" s="101"/>
      <c r="D78" s="93"/>
      <c r="E78" s="101"/>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39" s="56" customFormat="1" x14ac:dyDescent="0.2">
      <c r="A79" s="67"/>
      <c r="B79" s="66"/>
      <c r="C79" s="101"/>
      <c r="D79" s="37"/>
      <c r="E79" s="101"/>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39" s="56" customFormat="1" x14ac:dyDescent="0.2">
      <c r="A80" s="67"/>
      <c r="B80" s="66"/>
      <c r="C80" s="101"/>
      <c r="D80" s="93"/>
      <c r="E80" s="101"/>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39" s="56" customFormat="1" x14ac:dyDescent="0.2">
      <c r="A81" s="67"/>
      <c r="B81" s="66"/>
      <c r="C81" s="101"/>
      <c r="D81" s="93"/>
      <c r="E81" s="101"/>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row>
    <row r="82" spans="1:39" s="56" customFormat="1" x14ac:dyDescent="0.2">
      <c r="A82" s="67"/>
      <c r="B82" s="66"/>
      <c r="C82" s="101"/>
      <c r="D82" s="93"/>
      <c r="E82" s="101"/>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row>
    <row r="83" spans="1:39" s="56" customFormat="1" x14ac:dyDescent="0.2">
      <c r="A83" s="67"/>
      <c r="B83" s="66"/>
      <c r="C83" s="101"/>
      <c r="D83" s="93"/>
      <c r="E83" s="101"/>
      <c r="S83" s="57"/>
      <c r="Z83" s="57"/>
      <c r="AA83" s="144"/>
      <c r="AB83" s="144"/>
      <c r="AC83" s="144"/>
      <c r="AD83" s="144"/>
      <c r="AE83" s="144"/>
      <c r="AF83" s="144"/>
      <c r="AG83" s="144"/>
      <c r="AH83" s="57"/>
      <c r="AI83" s="144"/>
      <c r="AJ83" s="57"/>
      <c r="AK83" s="144"/>
    </row>
    <row r="84" spans="1:39" s="56" customFormat="1" x14ac:dyDescent="0.2">
      <c r="A84" s="67"/>
      <c r="B84" s="66"/>
      <c r="C84" s="101"/>
      <c r="D84" s="37"/>
      <c r="E84" s="101"/>
      <c r="S84" s="57"/>
      <c r="Z84" s="57"/>
      <c r="AA84" s="144"/>
      <c r="AB84" s="144"/>
      <c r="AC84" s="144"/>
      <c r="AD84" s="144"/>
      <c r="AE84" s="144"/>
      <c r="AF84" s="144"/>
      <c r="AG84" s="144"/>
      <c r="AH84" s="57"/>
      <c r="AI84" s="144"/>
      <c r="AJ84" s="57"/>
      <c r="AK84" s="144"/>
    </row>
    <row r="85" spans="1:39" s="56" customFormat="1" x14ac:dyDescent="0.2">
      <c r="A85" s="67"/>
      <c r="B85" s="66"/>
      <c r="C85" s="101"/>
      <c r="D85" s="93"/>
      <c r="E85" s="101"/>
      <c r="S85" s="57"/>
      <c r="Z85" s="57"/>
      <c r="AA85" s="144"/>
      <c r="AB85" s="144"/>
      <c r="AC85" s="144"/>
      <c r="AD85" s="144"/>
      <c r="AE85" s="144"/>
      <c r="AF85" s="144"/>
      <c r="AG85" s="144"/>
      <c r="AH85" s="57"/>
      <c r="AI85" s="144"/>
      <c r="AJ85" s="57"/>
      <c r="AK85" s="144"/>
    </row>
    <row r="86" spans="1:39" s="56" customFormat="1" x14ac:dyDescent="0.2">
      <c r="A86" s="67"/>
      <c r="B86" s="66"/>
      <c r="C86" s="101"/>
      <c r="D86" s="93"/>
      <c r="E86" s="101"/>
      <c r="AA86" s="144"/>
      <c r="AB86" s="144"/>
      <c r="AC86" s="144"/>
      <c r="AD86" s="144"/>
      <c r="AE86" s="144"/>
      <c r="AF86" s="144"/>
      <c r="AG86" s="144"/>
      <c r="AI86" s="144"/>
      <c r="AK86" s="144"/>
    </row>
    <row r="87" spans="1:39" s="56" customFormat="1" x14ac:dyDescent="0.2">
      <c r="A87" s="67"/>
      <c r="B87" s="66"/>
      <c r="C87" s="101"/>
      <c r="D87" s="93"/>
      <c r="E87" s="101"/>
      <c r="AA87" s="144"/>
      <c r="AB87" s="144"/>
      <c r="AC87" s="144"/>
      <c r="AD87" s="144"/>
      <c r="AE87" s="144"/>
      <c r="AF87" s="144"/>
      <c r="AG87" s="144"/>
      <c r="AI87" s="144"/>
      <c r="AK87" s="144"/>
    </row>
    <row r="88" spans="1:39" s="56" customFormat="1" x14ac:dyDescent="0.2">
      <c r="A88" s="67"/>
      <c r="B88" s="66"/>
      <c r="C88" s="101"/>
      <c r="D88" s="93"/>
      <c r="E88" s="101"/>
      <c r="AA88" s="144"/>
      <c r="AB88" s="144"/>
      <c r="AC88" s="144"/>
      <c r="AD88" s="144"/>
      <c r="AE88" s="144"/>
      <c r="AF88" s="144"/>
      <c r="AG88" s="144"/>
      <c r="AI88" s="144"/>
      <c r="AK88" s="144"/>
    </row>
    <row r="89" spans="1:39" s="56" customFormat="1" x14ac:dyDescent="0.2">
      <c r="A89" s="67"/>
      <c r="B89" s="66"/>
      <c r="C89" s="101"/>
      <c r="D89" s="93"/>
      <c r="E89" s="101"/>
      <c r="AA89" s="144"/>
      <c r="AB89" s="144"/>
      <c r="AC89" s="144"/>
      <c r="AD89" s="144"/>
      <c r="AE89" s="144"/>
      <c r="AF89" s="144"/>
      <c r="AG89" s="144"/>
      <c r="AI89" s="144"/>
      <c r="AK89" s="144"/>
    </row>
    <row r="90" spans="1:39" s="56" customFormat="1" x14ac:dyDescent="0.2">
      <c r="A90" s="67"/>
      <c r="B90" s="66"/>
      <c r="C90" s="101"/>
      <c r="D90" s="93"/>
      <c r="E90" s="101"/>
      <c r="AA90" s="144"/>
      <c r="AB90" s="144"/>
      <c r="AC90" s="144"/>
      <c r="AD90" s="144"/>
      <c r="AE90" s="144"/>
      <c r="AF90" s="144"/>
      <c r="AG90" s="144"/>
      <c r="AI90" s="144"/>
      <c r="AK90" s="144"/>
    </row>
    <row r="91" spans="1:39" s="56" customFormat="1" x14ac:dyDescent="0.2">
      <c r="A91" s="67"/>
      <c r="B91" s="66"/>
      <c r="C91" s="101"/>
      <c r="D91" s="93"/>
      <c r="E91" s="101"/>
      <c r="AA91" s="144"/>
      <c r="AB91" s="144"/>
      <c r="AC91" s="144"/>
      <c r="AD91" s="144"/>
      <c r="AE91" s="144"/>
      <c r="AF91" s="144"/>
      <c r="AG91" s="144"/>
      <c r="AI91" s="144"/>
      <c r="AK91" s="144"/>
    </row>
    <row r="92" spans="1:39" s="56" customFormat="1" x14ac:dyDescent="0.2">
      <c r="A92" s="67"/>
      <c r="B92" s="66"/>
      <c r="C92" s="101"/>
      <c r="D92" s="93"/>
      <c r="E92" s="101"/>
      <c r="AA92" s="144"/>
      <c r="AB92" s="144"/>
      <c r="AC92" s="144"/>
      <c r="AD92" s="144"/>
      <c r="AE92" s="144"/>
      <c r="AF92" s="144"/>
      <c r="AG92" s="144"/>
      <c r="AI92" s="144"/>
      <c r="AK92" s="144"/>
    </row>
    <row r="93" spans="1:39" s="56" customFormat="1" x14ac:dyDescent="0.2">
      <c r="A93" s="67"/>
      <c r="B93" s="66"/>
      <c r="C93" s="101"/>
      <c r="D93" s="93"/>
      <c r="E93" s="101"/>
      <c r="AA93" s="144"/>
      <c r="AB93" s="144"/>
      <c r="AC93" s="144"/>
      <c r="AD93" s="144"/>
      <c r="AE93" s="144"/>
      <c r="AF93" s="144"/>
      <c r="AG93" s="144"/>
      <c r="AI93" s="144"/>
      <c r="AK93" s="144"/>
    </row>
    <row r="94" spans="1:39" s="56" customFormat="1" x14ac:dyDescent="0.2">
      <c r="A94" s="67"/>
      <c r="B94" s="66"/>
      <c r="C94" s="101"/>
      <c r="D94" s="93"/>
      <c r="E94" s="101"/>
      <c r="AA94" s="144"/>
      <c r="AB94" s="144"/>
      <c r="AC94" s="144"/>
      <c r="AD94" s="144"/>
      <c r="AE94" s="144"/>
      <c r="AF94" s="144"/>
      <c r="AG94" s="144"/>
      <c r="AI94" s="144"/>
      <c r="AK94" s="144"/>
    </row>
    <row r="95" spans="1:39" s="56" customFormat="1" x14ac:dyDescent="0.2">
      <c r="A95" s="67"/>
      <c r="B95" s="66"/>
      <c r="C95" s="101"/>
      <c r="D95" s="37"/>
      <c r="E95" s="101"/>
      <c r="AA95" s="144"/>
      <c r="AB95" s="144"/>
      <c r="AC95" s="144"/>
      <c r="AD95" s="144"/>
      <c r="AE95" s="144"/>
      <c r="AF95" s="144"/>
      <c r="AG95" s="144"/>
      <c r="AI95" s="144"/>
      <c r="AK95" s="144"/>
    </row>
    <row r="96" spans="1:39" s="56" customFormat="1" x14ac:dyDescent="0.2">
      <c r="A96" s="67"/>
      <c r="B96" s="66"/>
      <c r="C96" s="101"/>
      <c r="D96" s="37"/>
      <c r="E96" s="101"/>
      <c r="AA96" s="144"/>
      <c r="AB96" s="144"/>
      <c r="AC96" s="144"/>
      <c r="AD96" s="144"/>
      <c r="AE96" s="144"/>
      <c r="AF96" s="144"/>
      <c r="AG96" s="144"/>
      <c r="AI96" s="144"/>
      <c r="AK96" s="144"/>
    </row>
    <row r="97" spans="1:37" s="56" customFormat="1" x14ac:dyDescent="0.2">
      <c r="A97" s="67"/>
      <c r="B97" s="66"/>
      <c r="C97" s="101"/>
      <c r="D97" s="49"/>
      <c r="E97" s="101"/>
      <c r="AA97" s="144"/>
      <c r="AB97" s="144"/>
      <c r="AC97" s="144"/>
      <c r="AD97" s="144"/>
      <c r="AE97" s="144"/>
      <c r="AF97" s="144"/>
      <c r="AG97" s="144"/>
      <c r="AI97" s="144"/>
      <c r="AK97" s="144"/>
    </row>
    <row r="98" spans="1:37" s="56" customFormat="1" x14ac:dyDescent="0.2">
      <c r="A98" s="67"/>
      <c r="B98" s="66"/>
      <c r="C98" s="101"/>
      <c r="D98" s="49"/>
      <c r="E98" s="101"/>
      <c r="AA98" s="144"/>
      <c r="AB98" s="144"/>
      <c r="AC98" s="144"/>
      <c r="AD98" s="144"/>
      <c r="AE98" s="144"/>
      <c r="AF98" s="144"/>
      <c r="AG98" s="144"/>
      <c r="AI98" s="144"/>
      <c r="AK98" s="144"/>
    </row>
    <row r="99" spans="1:37" s="56" customFormat="1" x14ac:dyDescent="0.2">
      <c r="A99" s="67"/>
      <c r="B99" s="66"/>
      <c r="C99" s="101"/>
      <c r="D99" s="49"/>
      <c r="E99" s="101"/>
      <c r="AA99" s="144"/>
      <c r="AB99" s="144"/>
      <c r="AC99" s="144"/>
      <c r="AD99" s="144"/>
      <c r="AE99" s="144"/>
      <c r="AF99" s="144"/>
      <c r="AG99" s="144"/>
      <c r="AI99" s="144"/>
      <c r="AK99" s="144"/>
    </row>
    <row r="100" spans="1:37" s="56" customFormat="1" x14ac:dyDescent="0.2">
      <c r="A100" s="67"/>
      <c r="B100" s="66"/>
      <c r="C100" s="101"/>
      <c r="D100" s="49"/>
      <c r="E100" s="101"/>
      <c r="AA100" s="144"/>
      <c r="AB100" s="144"/>
      <c r="AC100" s="144"/>
      <c r="AD100" s="144"/>
      <c r="AE100" s="144"/>
      <c r="AF100" s="144"/>
      <c r="AG100" s="144"/>
      <c r="AI100" s="144"/>
      <c r="AK100" s="144"/>
    </row>
    <row r="101" spans="1:37" s="56" customFormat="1" x14ac:dyDescent="0.2">
      <c r="A101" s="67"/>
      <c r="B101" s="66"/>
      <c r="C101" s="101"/>
      <c r="D101" s="49"/>
      <c r="E101" s="101"/>
      <c r="AA101" s="144"/>
      <c r="AB101" s="144"/>
      <c r="AC101" s="144"/>
      <c r="AD101" s="144"/>
      <c r="AE101" s="144"/>
      <c r="AF101" s="144"/>
      <c r="AG101" s="144"/>
      <c r="AI101" s="144"/>
      <c r="AK101" s="144"/>
    </row>
    <row r="102" spans="1:37" s="56" customFormat="1" x14ac:dyDescent="0.2">
      <c r="A102" s="67"/>
      <c r="B102" s="66"/>
      <c r="C102" s="101"/>
      <c r="D102" s="49"/>
      <c r="E102" s="101"/>
      <c r="AA102" s="144"/>
      <c r="AB102" s="144"/>
      <c r="AC102" s="144"/>
      <c r="AD102" s="144"/>
      <c r="AE102" s="144"/>
      <c r="AF102" s="144"/>
      <c r="AG102" s="144"/>
      <c r="AI102" s="144"/>
      <c r="AK102" s="144"/>
    </row>
    <row r="103" spans="1:37" s="56" customFormat="1" x14ac:dyDescent="0.2">
      <c r="A103" s="67"/>
      <c r="B103" s="66"/>
      <c r="C103" s="101"/>
      <c r="D103" s="49"/>
      <c r="E103" s="101"/>
      <c r="AA103" s="144"/>
      <c r="AB103" s="144"/>
      <c r="AC103" s="144"/>
      <c r="AD103" s="144"/>
      <c r="AE103" s="144"/>
      <c r="AF103" s="144"/>
      <c r="AG103" s="144"/>
      <c r="AI103" s="144"/>
      <c r="AK103" s="144"/>
    </row>
    <row r="104" spans="1:37" s="56" customFormat="1" x14ac:dyDescent="0.2">
      <c r="A104" s="67"/>
      <c r="B104" s="66"/>
      <c r="C104" s="101"/>
      <c r="D104" s="49"/>
      <c r="E104" s="101"/>
      <c r="AA104" s="144"/>
      <c r="AB104" s="144"/>
      <c r="AC104" s="144"/>
      <c r="AD104" s="144"/>
      <c r="AE104" s="144"/>
      <c r="AF104" s="144"/>
      <c r="AG104" s="144"/>
      <c r="AI104" s="144"/>
      <c r="AK104" s="144"/>
    </row>
    <row r="105" spans="1:37" s="56" customFormat="1" x14ac:dyDescent="0.2">
      <c r="A105" s="67"/>
      <c r="B105" s="66"/>
      <c r="C105" s="101"/>
      <c r="D105" s="49"/>
      <c r="E105" s="101"/>
      <c r="AA105" s="144"/>
      <c r="AB105" s="144"/>
      <c r="AC105" s="144"/>
      <c r="AD105" s="144"/>
      <c r="AE105" s="144"/>
      <c r="AF105" s="144"/>
      <c r="AG105" s="144"/>
      <c r="AI105" s="144"/>
      <c r="AK105" s="144"/>
    </row>
    <row r="106" spans="1:37" s="56" customFormat="1" x14ac:dyDescent="0.2">
      <c r="A106" s="67"/>
      <c r="B106" s="66"/>
      <c r="C106" s="101"/>
      <c r="D106" s="49"/>
      <c r="E106" s="101"/>
      <c r="AA106" s="144"/>
      <c r="AB106" s="144"/>
      <c r="AC106" s="144"/>
      <c r="AD106" s="144"/>
      <c r="AE106" s="144"/>
      <c r="AF106" s="144"/>
      <c r="AG106" s="144"/>
      <c r="AI106" s="144"/>
      <c r="AK106" s="144"/>
    </row>
    <row r="107" spans="1:37" s="56" customFormat="1" x14ac:dyDescent="0.2">
      <c r="A107" s="67"/>
      <c r="B107" s="66"/>
      <c r="C107" s="101"/>
      <c r="D107" s="49"/>
      <c r="E107" s="101"/>
      <c r="AA107" s="144"/>
      <c r="AB107" s="144"/>
      <c r="AC107" s="144"/>
      <c r="AD107" s="144"/>
      <c r="AE107" s="144"/>
      <c r="AF107" s="144"/>
      <c r="AG107" s="144"/>
      <c r="AI107" s="144"/>
      <c r="AK107" s="144"/>
    </row>
    <row r="108" spans="1:37" s="56" customFormat="1" x14ac:dyDescent="0.2">
      <c r="A108" s="67"/>
      <c r="B108" s="66"/>
      <c r="C108" s="101"/>
      <c r="D108" s="49"/>
      <c r="E108" s="101"/>
      <c r="AA108" s="144"/>
      <c r="AB108" s="144"/>
      <c r="AC108" s="144"/>
      <c r="AD108" s="144"/>
      <c r="AE108" s="144"/>
      <c r="AF108" s="144"/>
      <c r="AG108" s="144"/>
      <c r="AI108" s="144"/>
      <c r="AK108" s="144"/>
    </row>
    <row r="109" spans="1:37" s="56" customFormat="1" x14ac:dyDescent="0.2">
      <c r="A109" s="67"/>
      <c r="B109" s="66"/>
      <c r="C109" s="101"/>
      <c r="D109" s="49"/>
      <c r="E109" s="101"/>
      <c r="AA109" s="144"/>
      <c r="AB109" s="144"/>
      <c r="AC109" s="144"/>
      <c r="AD109" s="144"/>
      <c r="AE109" s="144"/>
      <c r="AF109" s="144"/>
      <c r="AG109" s="144"/>
      <c r="AI109" s="144"/>
      <c r="AK109" s="144"/>
    </row>
    <row r="110" spans="1:37" s="56" customFormat="1" x14ac:dyDescent="0.2">
      <c r="A110" s="67"/>
      <c r="B110" s="66"/>
      <c r="C110" s="101"/>
      <c r="D110" s="49"/>
      <c r="E110" s="101"/>
      <c r="AA110" s="144"/>
      <c r="AB110" s="144"/>
      <c r="AC110" s="144"/>
      <c r="AD110" s="144"/>
      <c r="AE110" s="144"/>
      <c r="AF110" s="144"/>
      <c r="AG110" s="144"/>
      <c r="AI110" s="144"/>
      <c r="AK110" s="144"/>
    </row>
    <row r="111" spans="1:37" s="56" customFormat="1" x14ac:dyDescent="0.2">
      <c r="A111" s="67"/>
      <c r="B111" s="66"/>
      <c r="C111" s="101"/>
      <c r="D111" s="49"/>
      <c r="E111" s="101"/>
      <c r="AA111" s="144"/>
      <c r="AB111" s="144"/>
      <c r="AC111" s="144"/>
      <c r="AD111" s="144"/>
      <c r="AE111" s="144"/>
      <c r="AF111" s="144"/>
      <c r="AG111" s="144"/>
      <c r="AI111" s="144"/>
      <c r="AK111" s="144"/>
    </row>
    <row r="112" spans="1:37" s="56" customFormat="1" x14ac:dyDescent="0.2">
      <c r="A112" s="67"/>
      <c r="B112" s="66"/>
      <c r="C112" s="101"/>
      <c r="D112" s="49"/>
      <c r="E112" s="101"/>
      <c r="AA112" s="144"/>
      <c r="AB112" s="144"/>
      <c r="AC112" s="144"/>
      <c r="AD112" s="144"/>
      <c r="AE112" s="144"/>
      <c r="AF112" s="144"/>
      <c r="AG112" s="144"/>
      <c r="AI112" s="144"/>
      <c r="AK112" s="144"/>
    </row>
    <row r="113" spans="1:37" s="56" customFormat="1" x14ac:dyDescent="0.2">
      <c r="A113" s="67"/>
      <c r="B113" s="66"/>
      <c r="C113" s="101"/>
      <c r="D113" s="49"/>
      <c r="E113" s="101"/>
      <c r="AA113" s="144"/>
      <c r="AB113" s="144"/>
      <c r="AC113" s="144"/>
      <c r="AD113" s="144"/>
      <c r="AE113" s="144"/>
      <c r="AF113" s="144"/>
      <c r="AG113" s="144"/>
      <c r="AI113" s="144"/>
      <c r="AK113" s="144"/>
    </row>
    <row r="114" spans="1:37" s="56" customFormat="1" x14ac:dyDescent="0.2">
      <c r="A114" s="67"/>
      <c r="B114" s="66"/>
      <c r="C114" s="101"/>
      <c r="D114" s="49"/>
      <c r="E114" s="101"/>
      <c r="AA114" s="144"/>
      <c r="AB114" s="144"/>
      <c r="AC114" s="144"/>
      <c r="AD114" s="144"/>
      <c r="AE114" s="144"/>
      <c r="AF114" s="144"/>
      <c r="AG114" s="144"/>
      <c r="AI114" s="144"/>
      <c r="AK114" s="144"/>
    </row>
    <row r="115" spans="1:37" s="56" customFormat="1" x14ac:dyDescent="0.2">
      <c r="A115" s="67"/>
      <c r="B115" s="66"/>
      <c r="C115" s="101"/>
      <c r="D115" s="49"/>
      <c r="E115" s="101"/>
      <c r="AA115" s="144"/>
      <c r="AB115" s="144"/>
      <c r="AC115" s="144"/>
      <c r="AD115" s="144"/>
      <c r="AE115" s="144"/>
      <c r="AF115" s="144"/>
      <c r="AG115" s="144"/>
      <c r="AI115" s="144"/>
      <c r="AK115" s="144"/>
    </row>
    <row r="116" spans="1:37" s="56" customFormat="1" x14ac:dyDescent="0.2">
      <c r="A116" s="67"/>
      <c r="B116" s="66"/>
      <c r="C116" s="101"/>
      <c r="D116" s="49"/>
      <c r="E116" s="101"/>
      <c r="AA116" s="144"/>
      <c r="AB116" s="144"/>
      <c r="AC116" s="144"/>
      <c r="AD116" s="144"/>
      <c r="AE116" s="144"/>
      <c r="AF116" s="144"/>
      <c r="AG116" s="144"/>
      <c r="AI116" s="144"/>
      <c r="AK116" s="144"/>
    </row>
    <row r="117" spans="1:37" s="56" customFormat="1" x14ac:dyDescent="0.2">
      <c r="A117" s="67"/>
      <c r="B117" s="66"/>
      <c r="C117" s="101"/>
      <c r="D117" s="49"/>
      <c r="E117" s="101"/>
      <c r="AA117" s="144"/>
      <c r="AB117" s="144"/>
      <c r="AC117" s="144"/>
      <c r="AD117" s="144"/>
      <c r="AE117" s="144"/>
      <c r="AF117" s="144"/>
      <c r="AG117" s="144"/>
      <c r="AI117" s="144"/>
      <c r="AK117" s="144"/>
    </row>
    <row r="118" spans="1:37" s="56" customFormat="1" x14ac:dyDescent="0.2">
      <c r="A118" s="67"/>
      <c r="B118" s="66"/>
      <c r="C118" s="101"/>
      <c r="D118" s="49"/>
      <c r="E118" s="101"/>
      <c r="AA118" s="144"/>
      <c r="AB118" s="144"/>
      <c r="AC118" s="144"/>
      <c r="AD118" s="144"/>
      <c r="AE118" s="144"/>
      <c r="AF118" s="144"/>
      <c r="AG118" s="144"/>
      <c r="AI118" s="144"/>
      <c r="AK118" s="144"/>
    </row>
    <row r="119" spans="1:37" s="56" customFormat="1" x14ac:dyDescent="0.2">
      <c r="A119" s="67"/>
      <c r="B119" s="66"/>
      <c r="C119" s="101"/>
      <c r="D119" s="49"/>
      <c r="E119" s="101"/>
      <c r="AA119" s="144"/>
      <c r="AB119" s="144"/>
      <c r="AC119" s="144"/>
      <c r="AD119" s="144"/>
      <c r="AE119" s="144"/>
      <c r="AF119" s="144"/>
      <c r="AG119" s="144"/>
      <c r="AI119" s="144"/>
      <c r="AK119" s="144"/>
    </row>
    <row r="120" spans="1:37" s="56" customFormat="1" x14ac:dyDescent="0.2">
      <c r="A120" s="67"/>
      <c r="B120" s="66"/>
      <c r="C120" s="101"/>
      <c r="D120" s="49"/>
      <c r="E120" s="101"/>
      <c r="AA120" s="144"/>
      <c r="AB120" s="144"/>
      <c r="AC120" s="144"/>
      <c r="AD120" s="144"/>
      <c r="AE120" s="144"/>
      <c r="AF120" s="144"/>
      <c r="AG120" s="144"/>
      <c r="AI120" s="144"/>
      <c r="AK120" s="144"/>
    </row>
    <row r="121" spans="1:37" s="56" customFormat="1" x14ac:dyDescent="0.2">
      <c r="A121" s="67"/>
      <c r="B121" s="66"/>
      <c r="C121" s="101"/>
      <c r="D121" s="49"/>
      <c r="E121" s="101"/>
      <c r="AA121" s="144"/>
      <c r="AB121" s="144"/>
      <c r="AC121" s="144"/>
      <c r="AD121" s="144"/>
      <c r="AE121" s="144"/>
      <c r="AF121" s="144"/>
      <c r="AG121" s="144"/>
      <c r="AI121" s="144"/>
      <c r="AK121" s="144"/>
    </row>
    <row r="122" spans="1:37" s="56" customFormat="1" x14ac:dyDescent="0.2">
      <c r="A122" s="67"/>
      <c r="B122" s="66"/>
      <c r="C122" s="101"/>
      <c r="D122" s="49"/>
      <c r="E122" s="101"/>
      <c r="AA122" s="144"/>
      <c r="AB122" s="144"/>
      <c r="AC122" s="144"/>
      <c r="AD122" s="144"/>
      <c r="AE122" s="144"/>
      <c r="AF122" s="144"/>
      <c r="AG122" s="144"/>
      <c r="AI122" s="144"/>
      <c r="AK122" s="144"/>
    </row>
    <row r="123" spans="1:37" s="56" customFormat="1" x14ac:dyDescent="0.2">
      <c r="A123" s="67"/>
      <c r="B123" s="66"/>
      <c r="C123" s="101"/>
      <c r="D123" s="49"/>
      <c r="E123" s="101"/>
      <c r="AA123" s="144"/>
      <c r="AB123" s="144"/>
      <c r="AC123" s="144"/>
      <c r="AD123" s="144"/>
      <c r="AE123" s="144"/>
      <c r="AF123" s="144"/>
      <c r="AG123" s="144"/>
      <c r="AI123" s="144"/>
      <c r="AK123" s="144"/>
    </row>
    <row r="124" spans="1:37" s="56" customFormat="1" x14ac:dyDescent="0.2">
      <c r="A124" s="67"/>
      <c r="B124" s="66"/>
      <c r="C124" s="101"/>
      <c r="D124" s="49"/>
      <c r="E124" s="101"/>
      <c r="AA124" s="144"/>
      <c r="AB124" s="144"/>
      <c r="AC124" s="144"/>
      <c r="AD124" s="144"/>
      <c r="AE124" s="144"/>
      <c r="AF124" s="144"/>
      <c r="AG124" s="144"/>
      <c r="AI124" s="144"/>
      <c r="AK124" s="144"/>
    </row>
    <row r="125" spans="1:37" s="56" customFormat="1" x14ac:dyDescent="0.2">
      <c r="A125" s="67"/>
      <c r="B125" s="66"/>
      <c r="C125" s="101"/>
      <c r="D125" s="49"/>
      <c r="E125" s="101"/>
      <c r="AA125" s="144"/>
      <c r="AB125" s="144"/>
      <c r="AC125" s="144"/>
      <c r="AD125" s="144"/>
      <c r="AE125" s="144"/>
      <c r="AF125" s="144"/>
      <c r="AG125" s="144"/>
      <c r="AI125" s="144"/>
      <c r="AK125" s="144"/>
    </row>
    <row r="126" spans="1:37" s="56" customFormat="1" x14ac:dyDescent="0.2">
      <c r="A126" s="67"/>
      <c r="B126" s="66"/>
      <c r="C126" s="101"/>
      <c r="D126" s="49"/>
      <c r="E126" s="101"/>
      <c r="AA126" s="144"/>
      <c r="AB126" s="144"/>
      <c r="AC126" s="144"/>
      <c r="AD126" s="144"/>
      <c r="AE126" s="144"/>
      <c r="AF126" s="144"/>
      <c r="AG126" s="144"/>
      <c r="AI126" s="144"/>
      <c r="AK126" s="144"/>
    </row>
    <row r="127" spans="1:37" s="56" customFormat="1" x14ac:dyDescent="0.2">
      <c r="A127" s="67"/>
      <c r="B127" s="66"/>
      <c r="C127" s="101"/>
      <c r="D127" s="49"/>
      <c r="E127" s="101"/>
      <c r="AA127" s="144"/>
      <c r="AB127" s="144"/>
      <c r="AC127" s="144"/>
      <c r="AD127" s="144"/>
      <c r="AE127" s="144"/>
      <c r="AF127" s="144"/>
      <c r="AG127" s="144"/>
      <c r="AI127" s="144"/>
      <c r="AK127" s="144"/>
    </row>
    <row r="128" spans="1:37" s="56" customFormat="1" x14ac:dyDescent="0.2">
      <c r="A128" s="67"/>
      <c r="B128" s="66"/>
      <c r="C128" s="101"/>
      <c r="D128" s="49"/>
      <c r="E128" s="101"/>
      <c r="AA128" s="144"/>
      <c r="AB128" s="144"/>
      <c r="AC128" s="144"/>
      <c r="AD128" s="144"/>
      <c r="AE128" s="144"/>
      <c r="AF128" s="144"/>
      <c r="AG128" s="144"/>
      <c r="AI128" s="144"/>
      <c r="AK128" s="144"/>
    </row>
    <row r="129" spans="1:37" s="56" customFormat="1" x14ac:dyDescent="0.2">
      <c r="A129" s="67"/>
      <c r="B129" s="66"/>
      <c r="C129" s="101"/>
      <c r="D129" s="49"/>
      <c r="E129" s="101"/>
      <c r="AA129" s="144"/>
      <c r="AB129" s="144"/>
      <c r="AC129" s="144"/>
      <c r="AD129" s="144"/>
      <c r="AE129" s="144"/>
      <c r="AF129" s="144"/>
      <c r="AG129" s="144"/>
      <c r="AI129" s="144"/>
      <c r="AK129" s="144"/>
    </row>
    <row r="130" spans="1:37" s="56" customFormat="1" x14ac:dyDescent="0.2">
      <c r="A130" s="67"/>
      <c r="B130" s="66"/>
      <c r="C130" s="101"/>
      <c r="D130" s="49"/>
      <c r="E130" s="101"/>
      <c r="AA130" s="144"/>
      <c r="AB130" s="144"/>
      <c r="AC130" s="144"/>
      <c r="AD130" s="144"/>
      <c r="AE130" s="144"/>
      <c r="AF130" s="144"/>
      <c r="AG130" s="144"/>
      <c r="AI130" s="144"/>
      <c r="AK130" s="144"/>
    </row>
    <row r="131" spans="1:37" s="56" customFormat="1" x14ac:dyDescent="0.2">
      <c r="A131" s="67"/>
      <c r="B131" s="66"/>
      <c r="C131" s="101"/>
      <c r="D131" s="49"/>
      <c r="E131" s="101"/>
      <c r="AA131" s="144"/>
      <c r="AB131" s="144"/>
      <c r="AC131" s="144"/>
      <c r="AD131" s="144"/>
      <c r="AE131" s="144"/>
      <c r="AF131" s="144"/>
      <c r="AG131" s="144"/>
      <c r="AI131" s="144"/>
      <c r="AK131" s="144"/>
    </row>
    <row r="132" spans="1:37" s="56" customFormat="1" x14ac:dyDescent="0.2">
      <c r="A132" s="67"/>
      <c r="B132" s="66"/>
      <c r="C132" s="101"/>
      <c r="D132" s="49"/>
      <c r="E132" s="101"/>
      <c r="AA132" s="144"/>
      <c r="AB132" s="144"/>
      <c r="AC132" s="144"/>
      <c r="AD132" s="144"/>
      <c r="AE132" s="144"/>
      <c r="AF132" s="144"/>
      <c r="AG132" s="144"/>
      <c r="AI132" s="144"/>
      <c r="AK132" s="144"/>
    </row>
    <row r="133" spans="1:37" s="56" customFormat="1" x14ac:dyDescent="0.2">
      <c r="A133" s="67"/>
      <c r="B133" s="66"/>
      <c r="C133" s="101"/>
      <c r="D133" s="49"/>
      <c r="E133" s="101"/>
      <c r="AA133" s="144"/>
      <c r="AB133" s="144"/>
      <c r="AC133" s="144"/>
      <c r="AD133" s="144"/>
      <c r="AE133" s="144"/>
      <c r="AF133" s="144"/>
      <c r="AG133" s="144"/>
      <c r="AI133" s="144"/>
      <c r="AK133" s="144"/>
    </row>
    <row r="134" spans="1:37" s="56" customFormat="1" x14ac:dyDescent="0.2">
      <c r="A134" s="67"/>
      <c r="B134" s="66"/>
      <c r="C134" s="101"/>
      <c r="D134" s="49"/>
      <c r="E134" s="101"/>
      <c r="AA134" s="144"/>
      <c r="AB134" s="144"/>
      <c r="AC134" s="144"/>
      <c r="AD134" s="144"/>
      <c r="AE134" s="144"/>
      <c r="AF134" s="144"/>
      <c r="AG134" s="144"/>
      <c r="AI134" s="144"/>
      <c r="AK134" s="144"/>
    </row>
    <row r="135" spans="1:37" s="56" customFormat="1" x14ac:dyDescent="0.2">
      <c r="A135" s="67"/>
      <c r="B135" s="66"/>
      <c r="C135" s="101"/>
      <c r="D135" s="49"/>
      <c r="E135" s="101"/>
      <c r="AA135" s="144"/>
      <c r="AB135" s="144"/>
      <c r="AC135" s="144"/>
      <c r="AD135" s="144"/>
      <c r="AE135" s="144"/>
      <c r="AF135" s="144"/>
      <c r="AG135" s="144"/>
      <c r="AI135" s="144"/>
      <c r="AK135" s="144"/>
    </row>
    <row r="136" spans="1:37" s="56" customFormat="1" x14ac:dyDescent="0.2">
      <c r="A136" s="67"/>
      <c r="B136" s="66"/>
      <c r="C136" s="101"/>
      <c r="D136" s="49"/>
      <c r="E136" s="101"/>
      <c r="AA136" s="144"/>
      <c r="AB136" s="144"/>
      <c r="AC136" s="144"/>
      <c r="AD136" s="144"/>
      <c r="AE136" s="144"/>
      <c r="AF136" s="144"/>
      <c r="AG136" s="144"/>
      <c r="AI136" s="144"/>
      <c r="AK136" s="144"/>
    </row>
    <row r="137" spans="1:37" s="56" customFormat="1" x14ac:dyDescent="0.2">
      <c r="A137" s="67"/>
      <c r="B137" s="66"/>
      <c r="C137" s="101"/>
      <c r="D137" s="49"/>
      <c r="E137" s="101"/>
      <c r="AA137" s="144"/>
      <c r="AB137" s="144"/>
      <c r="AC137" s="144"/>
      <c r="AD137" s="144"/>
      <c r="AE137" s="144"/>
      <c r="AF137" s="144"/>
      <c r="AG137" s="144"/>
      <c r="AI137" s="144"/>
      <c r="AK137" s="144"/>
    </row>
    <row r="138" spans="1:37" s="56" customFormat="1" x14ac:dyDescent="0.2">
      <c r="A138" s="67"/>
      <c r="B138" s="66"/>
      <c r="C138" s="101"/>
      <c r="D138" s="49"/>
      <c r="E138" s="101"/>
      <c r="AA138" s="144"/>
      <c r="AB138" s="144"/>
      <c r="AC138" s="144"/>
      <c r="AD138" s="144"/>
      <c r="AE138" s="144"/>
      <c r="AF138" s="144"/>
      <c r="AG138" s="144"/>
      <c r="AI138" s="144"/>
      <c r="AK138" s="144"/>
    </row>
    <row r="139" spans="1:37" s="56" customFormat="1" x14ac:dyDescent="0.2">
      <c r="A139" s="67"/>
      <c r="B139" s="66"/>
      <c r="C139" s="101"/>
      <c r="D139" s="49"/>
      <c r="E139" s="101"/>
      <c r="AA139" s="144"/>
      <c r="AB139" s="144"/>
      <c r="AC139" s="144"/>
      <c r="AD139" s="144"/>
      <c r="AE139" s="144"/>
      <c r="AF139" s="144"/>
      <c r="AG139" s="144"/>
      <c r="AI139" s="144"/>
      <c r="AK139" s="144"/>
    </row>
    <row r="140" spans="1:37" s="56" customFormat="1" x14ac:dyDescent="0.2">
      <c r="A140" s="67"/>
      <c r="B140" s="66"/>
      <c r="C140" s="101"/>
      <c r="D140" s="49"/>
      <c r="E140" s="101"/>
      <c r="AA140" s="144"/>
      <c r="AB140" s="144"/>
      <c r="AC140" s="144"/>
      <c r="AD140" s="144"/>
      <c r="AE140" s="144"/>
      <c r="AF140" s="144"/>
      <c r="AG140" s="144"/>
      <c r="AI140" s="144"/>
      <c r="AK140" s="144"/>
    </row>
    <row r="141" spans="1:37" s="56" customFormat="1" x14ac:dyDescent="0.2">
      <c r="A141" s="67"/>
      <c r="B141" s="66"/>
      <c r="C141" s="101"/>
      <c r="D141" s="49"/>
      <c r="E141" s="101"/>
      <c r="AA141" s="144"/>
      <c r="AB141" s="144"/>
      <c r="AC141" s="144"/>
      <c r="AD141" s="144"/>
      <c r="AE141" s="144"/>
      <c r="AF141" s="144"/>
      <c r="AG141" s="144"/>
      <c r="AI141" s="144"/>
      <c r="AK141" s="144"/>
    </row>
    <row r="142" spans="1:37" s="56" customFormat="1" x14ac:dyDescent="0.2">
      <c r="A142" s="67"/>
      <c r="B142" s="66"/>
      <c r="C142" s="101"/>
      <c r="D142" s="49"/>
      <c r="E142" s="101"/>
      <c r="AA142" s="144"/>
      <c r="AB142" s="144"/>
      <c r="AC142" s="144"/>
      <c r="AD142" s="144"/>
      <c r="AE142" s="144"/>
      <c r="AF142" s="144"/>
      <c r="AG142" s="144"/>
      <c r="AI142" s="144"/>
      <c r="AK142" s="144"/>
    </row>
    <row r="143" spans="1:37" s="56" customFormat="1" x14ac:dyDescent="0.2">
      <c r="A143" s="67"/>
      <c r="B143" s="66"/>
      <c r="C143" s="101"/>
      <c r="D143" s="49"/>
      <c r="E143" s="101"/>
      <c r="AA143" s="144"/>
      <c r="AB143" s="144"/>
      <c r="AC143" s="144"/>
      <c r="AD143" s="144"/>
      <c r="AE143" s="144"/>
      <c r="AF143" s="144"/>
      <c r="AG143" s="144"/>
      <c r="AI143" s="144"/>
      <c r="AK143" s="144"/>
    </row>
    <row r="144" spans="1:37" s="56" customFormat="1" x14ac:dyDescent="0.2">
      <c r="A144" s="67"/>
      <c r="B144" s="66"/>
      <c r="C144" s="101"/>
      <c r="D144" s="49"/>
      <c r="E144" s="101"/>
      <c r="AA144" s="144"/>
      <c r="AB144" s="144"/>
      <c r="AC144" s="144"/>
      <c r="AD144" s="144"/>
      <c r="AE144" s="144"/>
      <c r="AF144" s="144"/>
      <c r="AG144" s="144"/>
      <c r="AI144" s="144"/>
      <c r="AK144" s="144"/>
    </row>
    <row r="145" spans="1:37" s="56" customFormat="1" x14ac:dyDescent="0.2">
      <c r="A145" s="67"/>
      <c r="B145" s="66"/>
      <c r="C145" s="101"/>
      <c r="D145" s="49"/>
      <c r="E145" s="101"/>
      <c r="AA145" s="144"/>
      <c r="AB145" s="144"/>
      <c r="AC145" s="144"/>
      <c r="AD145" s="144"/>
      <c r="AE145" s="144"/>
      <c r="AF145" s="144"/>
      <c r="AG145" s="144"/>
      <c r="AI145" s="144"/>
      <c r="AK145" s="144"/>
    </row>
    <row r="146" spans="1:37" s="56" customFormat="1" x14ac:dyDescent="0.2">
      <c r="A146" s="67"/>
      <c r="B146" s="66"/>
      <c r="C146" s="101"/>
      <c r="D146" s="49"/>
      <c r="E146" s="101"/>
      <c r="AA146" s="144"/>
      <c r="AB146" s="144"/>
      <c r="AC146" s="144"/>
      <c r="AD146" s="144"/>
      <c r="AE146" s="144"/>
      <c r="AF146" s="144"/>
      <c r="AG146" s="144"/>
      <c r="AI146" s="144"/>
      <c r="AK146" s="144"/>
    </row>
    <row r="147" spans="1:37" s="56" customFormat="1" x14ac:dyDescent="0.2">
      <c r="A147" s="67"/>
      <c r="B147" s="66"/>
      <c r="C147" s="101"/>
      <c r="D147" s="49"/>
      <c r="E147" s="101"/>
      <c r="AA147" s="144"/>
      <c r="AB147" s="144"/>
      <c r="AC147" s="144"/>
      <c r="AD147" s="144"/>
      <c r="AE147" s="144"/>
      <c r="AF147" s="144"/>
      <c r="AG147" s="144"/>
      <c r="AI147" s="144"/>
      <c r="AK147" s="144"/>
    </row>
    <row r="148" spans="1:37" s="56" customFormat="1" x14ac:dyDescent="0.2">
      <c r="A148" s="67"/>
      <c r="B148" s="66"/>
      <c r="C148" s="101"/>
      <c r="D148" s="49"/>
      <c r="E148" s="101"/>
      <c r="AA148" s="144"/>
      <c r="AB148" s="144"/>
      <c r="AC148" s="144"/>
      <c r="AD148" s="144"/>
      <c r="AE148" s="144"/>
      <c r="AF148" s="144"/>
      <c r="AG148" s="144"/>
      <c r="AI148" s="144"/>
      <c r="AK148" s="144"/>
    </row>
    <row r="149" spans="1:37" s="56" customFormat="1" x14ac:dyDescent="0.2">
      <c r="A149" s="67"/>
      <c r="B149" s="66"/>
      <c r="C149" s="101"/>
      <c r="D149" s="49"/>
      <c r="E149" s="101"/>
      <c r="AA149" s="144"/>
      <c r="AB149" s="144"/>
      <c r="AC149" s="144"/>
      <c r="AD149" s="144"/>
      <c r="AE149" s="144"/>
      <c r="AF149" s="144"/>
      <c r="AG149" s="144"/>
      <c r="AI149" s="144"/>
      <c r="AK149" s="144"/>
    </row>
    <row r="150" spans="1:37" s="56" customFormat="1" x14ac:dyDescent="0.2">
      <c r="A150" s="67"/>
      <c r="B150" s="66"/>
      <c r="C150" s="101"/>
      <c r="D150" s="49"/>
      <c r="E150" s="101"/>
      <c r="AA150" s="144"/>
      <c r="AB150" s="144"/>
      <c r="AC150" s="144"/>
      <c r="AD150" s="144"/>
      <c r="AE150" s="144"/>
      <c r="AF150" s="144"/>
      <c r="AG150" s="144"/>
      <c r="AI150" s="144"/>
      <c r="AK150" s="144"/>
    </row>
    <row r="151" spans="1:37" s="56" customFormat="1" x14ac:dyDescent="0.2">
      <c r="A151" s="67"/>
      <c r="B151" s="66"/>
      <c r="C151" s="101"/>
      <c r="D151" s="49"/>
      <c r="E151" s="101"/>
      <c r="AA151" s="144"/>
      <c r="AB151" s="144"/>
      <c r="AC151" s="144"/>
      <c r="AD151" s="144"/>
      <c r="AE151" s="144"/>
      <c r="AF151" s="144"/>
      <c r="AG151" s="144"/>
      <c r="AI151" s="144"/>
      <c r="AK151" s="144"/>
    </row>
    <row r="152" spans="1:37" s="56" customFormat="1" x14ac:dyDescent="0.2">
      <c r="A152" s="67"/>
      <c r="B152" s="66"/>
      <c r="C152" s="101"/>
      <c r="D152" s="49"/>
      <c r="E152" s="101"/>
      <c r="AA152" s="144"/>
      <c r="AB152" s="144"/>
      <c r="AC152" s="144"/>
      <c r="AD152" s="144"/>
      <c r="AE152" s="144"/>
      <c r="AF152" s="144"/>
      <c r="AG152" s="144"/>
      <c r="AI152" s="144"/>
      <c r="AK152" s="144"/>
    </row>
    <row r="153" spans="1:37" s="56" customFormat="1" x14ac:dyDescent="0.2">
      <c r="A153" s="67"/>
      <c r="B153" s="66"/>
      <c r="C153" s="101"/>
      <c r="D153" s="49"/>
      <c r="E153" s="101"/>
      <c r="AA153" s="144"/>
      <c r="AB153" s="144"/>
      <c r="AC153" s="144"/>
      <c r="AD153" s="144"/>
      <c r="AE153" s="144"/>
      <c r="AF153" s="144"/>
      <c r="AG153" s="144"/>
      <c r="AI153" s="144"/>
      <c r="AK153" s="144"/>
    </row>
    <row r="154" spans="1:37" s="56" customFormat="1" x14ac:dyDescent="0.2">
      <c r="A154" s="67"/>
      <c r="B154" s="66"/>
      <c r="C154" s="101"/>
      <c r="D154" s="49"/>
      <c r="E154" s="101"/>
      <c r="AA154" s="144"/>
      <c r="AB154" s="144"/>
      <c r="AC154" s="144"/>
      <c r="AD154" s="144"/>
      <c r="AE154" s="144"/>
      <c r="AF154" s="144"/>
      <c r="AG154" s="144"/>
      <c r="AI154" s="144"/>
      <c r="AK154" s="144"/>
    </row>
    <row r="155" spans="1:37" s="56" customFormat="1" x14ac:dyDescent="0.2">
      <c r="A155" s="67"/>
      <c r="B155" s="66"/>
      <c r="C155" s="101"/>
      <c r="D155" s="49"/>
      <c r="E155" s="101"/>
      <c r="AA155" s="144"/>
      <c r="AB155" s="144"/>
      <c r="AC155" s="144"/>
      <c r="AD155" s="144"/>
      <c r="AE155" s="144"/>
      <c r="AF155" s="144"/>
      <c r="AG155" s="144"/>
      <c r="AI155" s="144"/>
      <c r="AK155" s="144"/>
    </row>
    <row r="156" spans="1:37" s="56" customFormat="1" x14ac:dyDescent="0.2">
      <c r="A156" s="67"/>
      <c r="B156" s="66"/>
      <c r="C156" s="101"/>
      <c r="D156" s="49"/>
      <c r="E156" s="101"/>
      <c r="AA156" s="144"/>
      <c r="AB156" s="144"/>
      <c r="AC156" s="144"/>
      <c r="AD156" s="144"/>
      <c r="AE156" s="144"/>
      <c r="AF156" s="144"/>
      <c r="AG156" s="144"/>
      <c r="AI156" s="144"/>
      <c r="AK156" s="144"/>
    </row>
    <row r="157" spans="1:37" s="56" customFormat="1" x14ac:dyDescent="0.2">
      <c r="A157" s="67"/>
      <c r="B157" s="66"/>
      <c r="C157" s="101"/>
      <c r="D157" s="49"/>
      <c r="E157" s="101"/>
      <c r="AA157" s="144"/>
      <c r="AB157" s="144"/>
      <c r="AC157" s="144"/>
      <c r="AD157" s="144"/>
      <c r="AE157" s="144"/>
      <c r="AF157" s="144"/>
      <c r="AG157" s="144"/>
      <c r="AI157" s="144"/>
      <c r="AK157" s="144"/>
    </row>
    <row r="158" spans="1:37" s="56" customFormat="1" x14ac:dyDescent="0.2">
      <c r="A158" s="67"/>
      <c r="B158" s="66"/>
      <c r="C158" s="101"/>
      <c r="D158" s="49"/>
      <c r="E158" s="101"/>
      <c r="AA158" s="144"/>
      <c r="AB158" s="144"/>
      <c r="AC158" s="144"/>
      <c r="AD158" s="144"/>
      <c r="AE158" s="144"/>
      <c r="AF158" s="144"/>
      <c r="AG158" s="144"/>
      <c r="AI158" s="144"/>
      <c r="AK158" s="144"/>
    </row>
    <row r="159" spans="1:37" s="56" customFormat="1" x14ac:dyDescent="0.2">
      <c r="A159" s="67"/>
      <c r="B159" s="66"/>
      <c r="C159" s="101"/>
      <c r="D159" s="49"/>
      <c r="E159" s="101"/>
      <c r="AA159" s="144"/>
      <c r="AB159" s="144"/>
      <c r="AC159" s="144"/>
      <c r="AD159" s="144"/>
      <c r="AE159" s="144"/>
      <c r="AF159" s="144"/>
      <c r="AG159" s="144"/>
      <c r="AI159" s="144"/>
      <c r="AK159" s="144"/>
    </row>
    <row r="160" spans="1:37" s="56" customFormat="1" x14ac:dyDescent="0.2">
      <c r="A160" s="67"/>
      <c r="B160" s="66"/>
      <c r="C160" s="101"/>
      <c r="D160" s="49"/>
      <c r="E160" s="101"/>
      <c r="AA160" s="144"/>
      <c r="AB160" s="144"/>
      <c r="AC160" s="144"/>
      <c r="AD160" s="144"/>
      <c r="AE160" s="144"/>
      <c r="AF160" s="144"/>
      <c r="AG160" s="144"/>
      <c r="AI160" s="144"/>
      <c r="AK160" s="144"/>
    </row>
    <row r="161" spans="1:37" s="56" customFormat="1" x14ac:dyDescent="0.2">
      <c r="A161" s="67"/>
      <c r="B161" s="66"/>
      <c r="C161" s="101"/>
      <c r="D161" s="49"/>
      <c r="E161" s="101"/>
      <c r="AA161" s="144"/>
      <c r="AB161" s="144"/>
      <c r="AC161" s="144"/>
      <c r="AD161" s="144"/>
      <c r="AE161" s="144"/>
      <c r="AF161" s="144"/>
      <c r="AG161" s="144"/>
      <c r="AI161" s="144"/>
      <c r="AK161" s="144"/>
    </row>
    <row r="162" spans="1:37" s="56" customFormat="1" x14ac:dyDescent="0.2">
      <c r="A162" s="67"/>
      <c r="B162" s="66"/>
      <c r="C162" s="101"/>
      <c r="D162" s="49"/>
      <c r="E162" s="101"/>
      <c r="AA162" s="144"/>
      <c r="AB162" s="144"/>
      <c r="AC162" s="144"/>
      <c r="AD162" s="144"/>
      <c r="AE162" s="144"/>
      <c r="AF162" s="144"/>
      <c r="AG162" s="144"/>
      <c r="AI162" s="144"/>
      <c r="AK162" s="144"/>
    </row>
    <row r="163" spans="1:37" s="56" customFormat="1" x14ac:dyDescent="0.2">
      <c r="A163" s="67"/>
      <c r="B163" s="66"/>
      <c r="C163" s="101"/>
      <c r="D163" s="49"/>
      <c r="E163" s="101"/>
      <c r="AA163" s="144"/>
      <c r="AB163" s="144"/>
      <c r="AC163" s="144"/>
      <c r="AD163" s="144"/>
      <c r="AE163" s="144"/>
      <c r="AF163" s="144"/>
      <c r="AG163" s="144"/>
      <c r="AI163" s="144"/>
      <c r="AK163" s="144"/>
    </row>
    <row r="164" spans="1:37" s="56" customFormat="1" x14ac:dyDescent="0.2">
      <c r="A164" s="67"/>
      <c r="B164" s="66"/>
      <c r="C164" s="101"/>
      <c r="D164" s="49"/>
      <c r="E164" s="101"/>
      <c r="AA164" s="144"/>
      <c r="AB164" s="144"/>
      <c r="AC164" s="144"/>
      <c r="AD164" s="144"/>
      <c r="AE164" s="144"/>
      <c r="AF164" s="144"/>
      <c r="AG164" s="144"/>
      <c r="AI164" s="144"/>
      <c r="AK164" s="144"/>
    </row>
    <row r="165" spans="1:37" s="56" customFormat="1" x14ac:dyDescent="0.2">
      <c r="A165" s="67"/>
      <c r="B165" s="66"/>
      <c r="C165" s="101"/>
      <c r="D165" s="49"/>
      <c r="E165" s="101"/>
      <c r="AA165" s="144"/>
      <c r="AB165" s="144"/>
      <c r="AC165" s="144"/>
      <c r="AD165" s="144"/>
      <c r="AE165" s="144"/>
      <c r="AF165" s="144"/>
      <c r="AG165" s="144"/>
      <c r="AI165" s="144"/>
      <c r="AK165" s="144"/>
    </row>
    <row r="166" spans="1:37" s="56" customFormat="1" x14ac:dyDescent="0.2">
      <c r="A166" s="67"/>
      <c r="B166" s="66"/>
      <c r="C166" s="101"/>
      <c r="D166" s="49"/>
      <c r="E166" s="101"/>
      <c r="AA166" s="144"/>
      <c r="AB166" s="144"/>
      <c r="AC166" s="144"/>
      <c r="AD166" s="144"/>
      <c r="AE166" s="144"/>
      <c r="AF166" s="144"/>
      <c r="AG166" s="144"/>
      <c r="AI166" s="144"/>
      <c r="AK166" s="144"/>
    </row>
    <row r="167" spans="1:37" s="56" customFormat="1" x14ac:dyDescent="0.2">
      <c r="A167" s="67"/>
      <c r="B167" s="66"/>
      <c r="C167" s="101"/>
      <c r="D167" s="49"/>
      <c r="E167" s="101"/>
      <c r="AA167" s="144"/>
      <c r="AB167" s="144"/>
      <c r="AC167" s="144"/>
      <c r="AD167" s="144"/>
      <c r="AE167" s="144"/>
      <c r="AF167" s="144"/>
      <c r="AG167" s="144"/>
      <c r="AI167" s="144"/>
      <c r="AK167" s="144"/>
    </row>
    <row r="168" spans="1:37" s="56" customFormat="1" x14ac:dyDescent="0.2">
      <c r="A168" s="67"/>
      <c r="B168" s="66"/>
      <c r="C168" s="101"/>
      <c r="D168" s="49"/>
      <c r="E168" s="101"/>
      <c r="AA168" s="144"/>
      <c r="AB168" s="144"/>
      <c r="AC168" s="144"/>
      <c r="AD168" s="144"/>
      <c r="AE168" s="144"/>
      <c r="AF168" s="144"/>
      <c r="AG168" s="144"/>
      <c r="AI168" s="144"/>
      <c r="AK168" s="144"/>
    </row>
    <row r="169" spans="1:37" s="56" customFormat="1" x14ac:dyDescent="0.2">
      <c r="A169" s="67"/>
      <c r="B169" s="66"/>
      <c r="C169" s="101"/>
      <c r="D169" s="49"/>
      <c r="E169" s="101"/>
      <c r="AA169" s="144"/>
      <c r="AB169" s="144"/>
      <c r="AC169" s="144"/>
      <c r="AD169" s="144"/>
      <c r="AE169" s="144"/>
      <c r="AF169" s="144"/>
      <c r="AG169" s="144"/>
      <c r="AI169" s="144"/>
      <c r="AK169" s="144"/>
    </row>
    <row r="170" spans="1:37" s="56" customFormat="1" x14ac:dyDescent="0.2">
      <c r="A170" s="67"/>
      <c r="B170" s="66"/>
      <c r="C170" s="101"/>
      <c r="D170" s="49"/>
      <c r="E170" s="101"/>
      <c r="AA170" s="144"/>
      <c r="AB170" s="144"/>
      <c r="AC170" s="144"/>
      <c r="AD170" s="144"/>
      <c r="AE170" s="144"/>
      <c r="AF170" s="144"/>
      <c r="AG170" s="144"/>
      <c r="AI170" s="144"/>
      <c r="AK170" s="144"/>
    </row>
    <row r="171" spans="1:37" s="56" customFormat="1" x14ac:dyDescent="0.2">
      <c r="A171" s="67"/>
      <c r="B171" s="66"/>
      <c r="C171" s="101"/>
      <c r="D171" s="49"/>
      <c r="E171" s="101"/>
      <c r="AA171" s="144"/>
      <c r="AB171" s="144"/>
      <c r="AC171" s="144"/>
      <c r="AD171" s="144"/>
      <c r="AE171" s="144"/>
      <c r="AF171" s="144"/>
      <c r="AG171" s="144"/>
      <c r="AI171" s="144"/>
      <c r="AK171" s="144"/>
    </row>
    <row r="172" spans="1:37" s="56" customFormat="1" x14ac:dyDescent="0.2">
      <c r="A172" s="67"/>
      <c r="B172" s="66"/>
      <c r="C172" s="101"/>
      <c r="D172" s="49"/>
      <c r="E172" s="101"/>
      <c r="AA172" s="144"/>
      <c r="AB172" s="144"/>
      <c r="AC172" s="144"/>
      <c r="AD172" s="144"/>
      <c r="AE172" s="144"/>
      <c r="AF172" s="144"/>
      <c r="AG172" s="144"/>
      <c r="AI172" s="144"/>
      <c r="AK172" s="144"/>
    </row>
    <row r="173" spans="1:37" s="56" customFormat="1" x14ac:dyDescent="0.2">
      <c r="A173" s="67"/>
      <c r="B173" s="66"/>
      <c r="C173" s="101"/>
      <c r="D173" s="49"/>
      <c r="E173" s="101"/>
      <c r="AA173" s="144"/>
      <c r="AB173" s="144"/>
      <c r="AC173" s="144"/>
      <c r="AD173" s="144"/>
      <c r="AE173" s="144"/>
      <c r="AF173" s="144"/>
      <c r="AG173" s="144"/>
      <c r="AI173" s="144"/>
      <c r="AK173" s="144"/>
    </row>
    <row r="174" spans="1:37" s="56" customFormat="1" x14ac:dyDescent="0.2">
      <c r="A174" s="67"/>
      <c r="B174" s="66"/>
      <c r="C174" s="101"/>
      <c r="D174" s="49"/>
      <c r="E174" s="101"/>
      <c r="AA174" s="144"/>
      <c r="AB174" s="144"/>
      <c r="AC174" s="144"/>
      <c r="AD174" s="144"/>
      <c r="AE174" s="144"/>
      <c r="AF174" s="144"/>
      <c r="AG174" s="144"/>
      <c r="AI174" s="144"/>
      <c r="AK174" s="144"/>
    </row>
    <row r="175" spans="1:37" s="56" customFormat="1" x14ac:dyDescent="0.2">
      <c r="A175" s="67"/>
      <c r="B175" s="66"/>
      <c r="C175" s="101"/>
      <c r="D175" s="49"/>
      <c r="E175" s="101"/>
      <c r="AA175" s="144"/>
      <c r="AB175" s="144"/>
      <c r="AC175" s="144"/>
      <c r="AD175" s="144"/>
      <c r="AE175" s="144"/>
      <c r="AF175" s="144"/>
      <c r="AG175" s="144"/>
      <c r="AI175" s="144"/>
      <c r="AK175" s="144"/>
    </row>
    <row r="176" spans="1:37" s="56" customFormat="1" x14ac:dyDescent="0.2">
      <c r="A176" s="67"/>
      <c r="B176" s="66"/>
      <c r="C176" s="101"/>
      <c r="D176" s="49"/>
      <c r="E176" s="101"/>
      <c r="AA176" s="144"/>
      <c r="AB176" s="144"/>
      <c r="AC176" s="144"/>
      <c r="AD176" s="144"/>
      <c r="AE176" s="144"/>
      <c r="AF176" s="144"/>
      <c r="AG176" s="144"/>
      <c r="AI176" s="144"/>
      <c r="AK176" s="144"/>
    </row>
    <row r="177" spans="1:37" s="56" customFormat="1" x14ac:dyDescent="0.2">
      <c r="A177" s="67"/>
      <c r="B177" s="66"/>
      <c r="C177" s="101"/>
      <c r="D177" s="49"/>
      <c r="E177" s="101"/>
      <c r="AA177" s="144"/>
      <c r="AB177" s="144"/>
      <c r="AC177" s="144"/>
      <c r="AD177" s="144"/>
      <c r="AE177" s="144"/>
      <c r="AF177" s="144"/>
      <c r="AG177" s="144"/>
      <c r="AI177" s="144"/>
      <c r="AK177" s="144"/>
    </row>
    <row r="178" spans="1:37" s="56" customFormat="1" x14ac:dyDescent="0.2">
      <c r="A178" s="67"/>
      <c r="B178" s="66"/>
      <c r="C178" s="101"/>
      <c r="D178" s="49"/>
      <c r="E178" s="101"/>
      <c r="AA178" s="144"/>
      <c r="AB178" s="144"/>
      <c r="AC178" s="144"/>
      <c r="AD178" s="144"/>
      <c r="AE178" s="144"/>
      <c r="AF178" s="144"/>
      <c r="AG178" s="144"/>
      <c r="AI178" s="144"/>
      <c r="AK178" s="144"/>
    </row>
    <row r="179" spans="1:37" s="56" customFormat="1" x14ac:dyDescent="0.2">
      <c r="A179" s="67"/>
      <c r="B179" s="66"/>
      <c r="C179" s="101"/>
      <c r="D179" s="49"/>
      <c r="E179" s="101"/>
      <c r="AA179" s="144"/>
      <c r="AB179" s="144"/>
      <c r="AC179" s="144"/>
      <c r="AD179" s="144"/>
      <c r="AE179" s="144"/>
      <c r="AF179" s="144"/>
      <c r="AG179" s="144"/>
      <c r="AI179" s="144"/>
      <c r="AK179" s="144"/>
    </row>
    <row r="180" spans="1:37" s="56" customFormat="1" x14ac:dyDescent="0.2">
      <c r="A180" s="67"/>
      <c r="B180" s="66"/>
      <c r="C180" s="101"/>
      <c r="D180" s="49"/>
      <c r="E180" s="101"/>
      <c r="AA180" s="144"/>
      <c r="AB180" s="144"/>
      <c r="AC180" s="144"/>
      <c r="AD180" s="144"/>
      <c r="AE180" s="144"/>
      <c r="AF180" s="144"/>
      <c r="AG180" s="144"/>
      <c r="AI180" s="144"/>
      <c r="AK180" s="144"/>
    </row>
    <row r="181" spans="1:37" s="56" customFormat="1" x14ac:dyDescent="0.2">
      <c r="A181" s="67"/>
      <c r="B181" s="66"/>
      <c r="C181" s="101"/>
      <c r="D181" s="49"/>
      <c r="E181" s="101"/>
      <c r="AA181" s="144"/>
      <c r="AB181" s="144"/>
      <c r="AC181" s="144"/>
      <c r="AD181" s="144"/>
      <c r="AE181" s="144"/>
      <c r="AF181" s="144"/>
      <c r="AG181" s="144"/>
      <c r="AI181" s="144"/>
      <c r="AK181" s="144"/>
    </row>
    <row r="182" spans="1:37" s="56" customFormat="1" x14ac:dyDescent="0.2">
      <c r="A182" s="67"/>
      <c r="B182" s="66"/>
      <c r="C182" s="101"/>
      <c r="D182" s="49"/>
      <c r="E182" s="101"/>
      <c r="AA182" s="144"/>
      <c r="AB182" s="144"/>
      <c r="AC182" s="144"/>
      <c r="AD182" s="144"/>
      <c r="AE182" s="144"/>
      <c r="AF182" s="144"/>
      <c r="AG182" s="144"/>
      <c r="AI182" s="144"/>
      <c r="AK182" s="144"/>
    </row>
    <row r="183" spans="1:37" s="56" customFormat="1" x14ac:dyDescent="0.2">
      <c r="A183" s="67"/>
      <c r="B183" s="66"/>
      <c r="C183" s="101"/>
      <c r="D183" s="49"/>
      <c r="E183" s="101"/>
      <c r="AA183" s="144"/>
      <c r="AB183" s="144"/>
      <c r="AC183" s="144"/>
      <c r="AD183" s="144"/>
      <c r="AE183" s="144"/>
      <c r="AF183" s="144"/>
      <c r="AG183" s="144"/>
      <c r="AI183" s="144"/>
      <c r="AK183" s="144"/>
    </row>
    <row r="184" spans="1:37" s="56" customFormat="1" x14ac:dyDescent="0.2">
      <c r="A184" s="67"/>
      <c r="B184" s="66"/>
      <c r="C184" s="101"/>
      <c r="D184" s="49"/>
      <c r="E184" s="101"/>
      <c r="AA184" s="144"/>
      <c r="AB184" s="144"/>
      <c r="AC184" s="144"/>
      <c r="AD184" s="144"/>
      <c r="AE184" s="144"/>
      <c r="AF184" s="144"/>
      <c r="AG184" s="144"/>
      <c r="AI184" s="144"/>
      <c r="AK184" s="144"/>
    </row>
    <row r="185" spans="1:37" s="56" customFormat="1" x14ac:dyDescent="0.2">
      <c r="A185" s="67"/>
      <c r="B185" s="66"/>
      <c r="C185" s="101"/>
      <c r="D185" s="49"/>
      <c r="E185" s="101"/>
      <c r="AA185" s="144"/>
      <c r="AB185" s="144"/>
      <c r="AC185" s="144"/>
      <c r="AD185" s="144"/>
      <c r="AE185" s="144"/>
      <c r="AF185" s="144"/>
      <c r="AG185" s="144"/>
      <c r="AI185" s="144"/>
      <c r="AK185" s="144"/>
    </row>
    <row r="186" spans="1:37" s="56" customFormat="1" x14ac:dyDescent="0.2">
      <c r="A186" s="67"/>
      <c r="B186" s="66"/>
      <c r="C186" s="101"/>
      <c r="D186" s="49"/>
      <c r="E186" s="101"/>
      <c r="AA186" s="144"/>
      <c r="AB186" s="144"/>
      <c r="AC186" s="144"/>
      <c r="AD186" s="144"/>
      <c r="AE186" s="144"/>
      <c r="AF186" s="144"/>
      <c r="AG186" s="144"/>
      <c r="AI186" s="144"/>
      <c r="AK186" s="144"/>
    </row>
    <row r="187" spans="1:37" s="56" customFormat="1" x14ac:dyDescent="0.2">
      <c r="A187" s="67"/>
      <c r="B187" s="66"/>
      <c r="C187" s="101"/>
      <c r="D187" s="49"/>
      <c r="E187" s="101"/>
      <c r="AA187" s="144"/>
      <c r="AB187" s="144"/>
      <c r="AC187" s="144"/>
      <c r="AD187" s="144"/>
      <c r="AE187" s="144"/>
      <c r="AF187" s="144"/>
      <c r="AG187" s="144"/>
      <c r="AI187" s="144"/>
      <c r="AK187" s="144"/>
    </row>
    <row r="188" spans="1:37" s="56" customFormat="1" x14ac:dyDescent="0.2">
      <c r="A188" s="67"/>
      <c r="B188" s="66"/>
      <c r="C188" s="101"/>
      <c r="D188" s="49"/>
      <c r="E188" s="101"/>
      <c r="AA188" s="144"/>
      <c r="AB188" s="144"/>
      <c r="AC188" s="144"/>
      <c r="AD188" s="144"/>
      <c r="AE188" s="144"/>
      <c r="AF188" s="144"/>
      <c r="AG188" s="144"/>
      <c r="AI188" s="144"/>
      <c r="AK188" s="144"/>
    </row>
    <row r="189" spans="1:37" s="56" customFormat="1" x14ac:dyDescent="0.2">
      <c r="A189" s="67"/>
      <c r="B189" s="66"/>
      <c r="C189" s="101"/>
      <c r="D189" s="49"/>
      <c r="E189" s="101"/>
      <c r="AA189" s="144"/>
      <c r="AB189" s="144"/>
      <c r="AC189" s="144"/>
      <c r="AD189" s="144"/>
      <c r="AE189" s="144"/>
      <c r="AF189" s="144"/>
      <c r="AG189" s="144"/>
      <c r="AI189" s="144"/>
      <c r="AK189" s="144"/>
    </row>
    <row r="190" spans="1:37" s="56" customFormat="1" x14ac:dyDescent="0.2">
      <c r="A190" s="67"/>
      <c r="B190" s="66"/>
      <c r="C190" s="101"/>
      <c r="D190" s="49"/>
      <c r="E190" s="101"/>
      <c r="AA190" s="144"/>
      <c r="AB190" s="144"/>
      <c r="AC190" s="144"/>
      <c r="AD190" s="144"/>
      <c r="AE190" s="144"/>
      <c r="AF190" s="144"/>
      <c r="AG190" s="144"/>
      <c r="AI190" s="144"/>
      <c r="AK190" s="144"/>
    </row>
    <row r="191" spans="1:37" s="56" customFormat="1" x14ac:dyDescent="0.2">
      <c r="A191" s="67"/>
      <c r="B191" s="66"/>
      <c r="C191" s="101"/>
      <c r="D191" s="49"/>
      <c r="E191" s="101"/>
      <c r="AA191" s="144"/>
      <c r="AB191" s="144"/>
      <c r="AC191" s="144"/>
      <c r="AD191" s="144"/>
      <c r="AE191" s="144"/>
      <c r="AF191" s="144"/>
      <c r="AG191" s="144"/>
      <c r="AI191" s="144"/>
      <c r="AK191" s="144"/>
    </row>
    <row r="192" spans="1:37" s="56" customFormat="1" x14ac:dyDescent="0.2">
      <c r="A192" s="67"/>
      <c r="B192" s="66"/>
      <c r="C192" s="101"/>
      <c r="D192" s="49"/>
      <c r="E192" s="101"/>
      <c r="AA192" s="144"/>
      <c r="AB192" s="144"/>
      <c r="AC192" s="144"/>
      <c r="AD192" s="144"/>
      <c r="AE192" s="144"/>
      <c r="AF192" s="144"/>
      <c r="AG192" s="144"/>
      <c r="AI192" s="144"/>
      <c r="AK192" s="144"/>
    </row>
    <row r="193" spans="1:177" s="56" customFormat="1" x14ac:dyDescent="0.2">
      <c r="A193" s="67"/>
      <c r="B193" s="66"/>
      <c r="C193" s="101"/>
      <c r="D193" s="49"/>
      <c r="E193" s="101"/>
      <c r="AA193" s="144"/>
      <c r="AB193" s="144"/>
      <c r="AC193" s="144"/>
      <c r="AD193" s="144"/>
      <c r="AE193" s="144"/>
      <c r="AF193" s="144"/>
      <c r="AG193" s="144"/>
      <c r="AI193" s="144"/>
      <c r="AK193" s="144"/>
    </row>
    <row r="194" spans="1:177" s="56" customFormat="1" x14ac:dyDescent="0.2">
      <c r="A194" s="67"/>
      <c r="B194" s="66"/>
      <c r="C194" s="101"/>
      <c r="D194" s="49"/>
      <c r="E194" s="101"/>
      <c r="AA194" s="144"/>
      <c r="AB194" s="144"/>
      <c r="AC194" s="144"/>
      <c r="AD194" s="144"/>
      <c r="AE194" s="144"/>
      <c r="AF194" s="144"/>
      <c r="AG194" s="144"/>
      <c r="AI194" s="144"/>
      <c r="AK194" s="144"/>
    </row>
    <row r="195" spans="1:177" s="56" customFormat="1" x14ac:dyDescent="0.2">
      <c r="A195" s="67"/>
      <c r="B195" s="66"/>
      <c r="C195" s="101"/>
      <c r="D195" s="49"/>
      <c r="E195" s="101"/>
      <c r="AA195" s="144"/>
      <c r="AB195" s="144"/>
      <c r="AC195" s="144"/>
      <c r="AD195" s="144"/>
      <c r="AE195" s="144"/>
      <c r="AF195" s="144"/>
      <c r="AG195" s="144"/>
      <c r="AI195" s="144"/>
      <c r="AK195" s="144"/>
    </row>
    <row r="196" spans="1:177" s="56" customFormat="1" x14ac:dyDescent="0.2">
      <c r="A196" s="67"/>
      <c r="B196" s="66"/>
      <c r="C196" s="101"/>
      <c r="D196" s="49"/>
      <c r="E196" s="101"/>
      <c r="AA196" s="144"/>
      <c r="AB196" s="144"/>
      <c r="AC196" s="144"/>
      <c r="AD196" s="144"/>
      <c r="AE196" s="144"/>
      <c r="AF196" s="144"/>
      <c r="AG196" s="144"/>
      <c r="AI196" s="144"/>
      <c r="AK196" s="144"/>
    </row>
    <row r="197" spans="1:177" s="56" customFormat="1" x14ac:dyDescent="0.2">
      <c r="A197" s="67"/>
      <c r="B197" s="66"/>
      <c r="C197" s="101"/>
      <c r="D197" s="49"/>
      <c r="E197" s="101"/>
      <c r="AA197" s="144"/>
      <c r="AB197" s="144"/>
      <c r="AC197" s="144"/>
      <c r="AD197" s="144"/>
      <c r="AE197" s="144"/>
      <c r="AF197" s="144"/>
      <c r="AG197" s="144"/>
      <c r="AI197" s="144"/>
      <c r="AK197" s="144"/>
    </row>
    <row r="198" spans="1:177" s="56" customFormat="1" x14ac:dyDescent="0.2">
      <c r="A198" s="67"/>
      <c r="B198" s="66"/>
      <c r="C198" s="101"/>
      <c r="D198" s="49"/>
      <c r="E198" s="101"/>
      <c r="AA198" s="144"/>
      <c r="AB198" s="144"/>
      <c r="AC198" s="144"/>
      <c r="AD198" s="144"/>
      <c r="AE198" s="144"/>
      <c r="AF198" s="144"/>
      <c r="AG198" s="144"/>
      <c r="AI198" s="144"/>
      <c r="AK198" s="144"/>
    </row>
    <row r="199" spans="1:177" s="56" customFormat="1" x14ac:dyDescent="0.2">
      <c r="A199" s="67"/>
      <c r="B199" s="66"/>
      <c r="C199" s="101"/>
      <c r="D199" s="49"/>
      <c r="E199" s="101"/>
      <c r="AA199" s="144"/>
      <c r="AB199" s="144"/>
      <c r="AC199" s="144"/>
      <c r="AD199" s="144"/>
      <c r="AE199" s="144"/>
      <c r="AF199" s="144"/>
      <c r="AG199" s="144"/>
      <c r="AI199" s="146"/>
      <c r="AK199" s="144"/>
    </row>
    <row r="200" spans="1:177" s="58" customFormat="1" x14ac:dyDescent="0.2">
      <c r="A200" s="63"/>
      <c r="B200" s="62"/>
      <c r="C200" s="61"/>
      <c r="D200" s="60"/>
      <c r="E200" s="59"/>
      <c r="S200" s="56"/>
      <c r="Z200" s="56"/>
      <c r="AA200" s="144"/>
      <c r="AB200" s="144"/>
      <c r="AC200" s="144"/>
      <c r="AD200" s="144"/>
      <c r="AE200" s="144"/>
      <c r="AF200" s="144"/>
      <c r="AG200" s="144"/>
      <c r="AH200" s="56"/>
      <c r="AI200" s="139"/>
      <c r="AJ200" s="56"/>
      <c r="AK200" s="144"/>
    </row>
    <row r="201" spans="1:177" s="55" customFormat="1" x14ac:dyDescent="0.2">
      <c r="A201" s="54"/>
      <c r="B201" s="53"/>
      <c r="C201" s="52"/>
      <c r="D201" s="51"/>
      <c r="E201" s="50"/>
      <c r="S201" s="56"/>
      <c r="Z201" s="56"/>
      <c r="AA201" s="144"/>
      <c r="AB201" s="144"/>
      <c r="AC201" s="144"/>
      <c r="AD201" s="144"/>
      <c r="AE201" s="144"/>
      <c r="AF201" s="144"/>
      <c r="AG201" s="144"/>
      <c r="AH201" s="56"/>
      <c r="AI201" s="139"/>
      <c r="AJ201" s="56"/>
      <c r="AK201" s="144"/>
    </row>
    <row r="202" spans="1:177" x14ac:dyDescent="0.2">
      <c r="A202" s="54"/>
      <c r="B202" s="53"/>
      <c r="C202" s="52"/>
      <c r="D202" s="51"/>
      <c r="E202" s="50"/>
      <c r="S202" s="56"/>
      <c r="Z202" s="56"/>
      <c r="AA202" s="144"/>
      <c r="AB202" s="144"/>
      <c r="AC202" s="144"/>
      <c r="AD202" s="146"/>
      <c r="AE202" s="146"/>
      <c r="AF202" s="146"/>
      <c r="AG202" s="146"/>
      <c r="AH202" s="56"/>
      <c r="AJ202" s="56"/>
      <c r="AK202" s="146"/>
    </row>
    <row r="203" spans="1:177" x14ac:dyDescent="0.2">
      <c r="S203" s="58"/>
      <c r="Z203" s="58"/>
      <c r="AA203" s="144"/>
      <c r="AB203" s="144"/>
      <c r="AC203" s="144"/>
      <c r="AH203" s="58"/>
      <c r="AJ203" s="58"/>
    </row>
    <row r="204" spans="1:177" x14ac:dyDescent="0.2">
      <c r="S204" s="55"/>
      <c r="Z204" s="55"/>
      <c r="AA204" s="146"/>
      <c r="AB204" s="144"/>
      <c r="AC204" s="144"/>
      <c r="AH204" s="55"/>
      <c r="AJ204" s="55"/>
    </row>
    <row r="205" spans="1:177" s="139" customFormat="1" x14ac:dyDescent="0.2">
      <c r="A205" s="48"/>
      <c r="B205" s="47"/>
      <c r="C205" s="46"/>
      <c r="D205" s="45"/>
      <c r="E205" s="44"/>
      <c r="F205" s="42"/>
      <c r="G205" s="42"/>
      <c r="H205" s="42"/>
      <c r="I205" s="42"/>
      <c r="J205" s="42"/>
      <c r="K205" s="42"/>
      <c r="L205" s="42"/>
      <c r="M205" s="42"/>
      <c r="N205" s="42"/>
      <c r="O205" s="42"/>
      <c r="P205" s="42"/>
      <c r="Q205" s="42"/>
      <c r="R205" s="42"/>
      <c r="S205" s="42"/>
      <c r="T205" s="42"/>
      <c r="U205" s="42"/>
      <c r="V205" s="42"/>
      <c r="W205" s="42"/>
      <c r="X205" s="42"/>
      <c r="Y205" s="42"/>
      <c r="Z205" s="42"/>
      <c r="AB205" s="146"/>
      <c r="AC205" s="144"/>
      <c r="AH205" s="42"/>
      <c r="AJ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3"/>
    </row>
    <row r="206" spans="1:177" s="139" customFormat="1" x14ac:dyDescent="0.2">
      <c r="A206" s="48"/>
      <c r="B206" s="47"/>
      <c r="C206" s="46"/>
      <c r="D206" s="45"/>
      <c r="E206" s="44"/>
      <c r="F206" s="42"/>
      <c r="G206" s="42"/>
      <c r="H206" s="42"/>
      <c r="I206" s="42"/>
      <c r="J206" s="42"/>
      <c r="K206" s="42"/>
      <c r="L206" s="42"/>
      <c r="M206" s="42"/>
      <c r="N206" s="42"/>
      <c r="O206" s="42"/>
      <c r="P206" s="42"/>
      <c r="Q206" s="42"/>
      <c r="R206" s="42"/>
      <c r="S206" s="42"/>
      <c r="T206" s="42"/>
      <c r="U206" s="42"/>
      <c r="V206" s="42"/>
      <c r="W206" s="42"/>
      <c r="X206" s="42"/>
      <c r="Y206" s="42"/>
      <c r="Z206" s="42"/>
      <c r="AC206" s="144"/>
      <c r="AH206" s="42"/>
      <c r="AJ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c r="DX206" s="42"/>
      <c r="DY206" s="42"/>
      <c r="DZ206" s="42"/>
      <c r="EA206" s="42"/>
      <c r="EB206" s="42"/>
      <c r="EC206" s="42"/>
      <c r="ED206" s="42"/>
      <c r="EE206" s="42"/>
      <c r="EF206" s="42"/>
      <c r="EG206" s="42"/>
      <c r="EH206" s="42"/>
      <c r="EI206" s="42"/>
      <c r="EJ206" s="42"/>
      <c r="EK206" s="42"/>
      <c r="EL206" s="42"/>
      <c r="EM206" s="42"/>
      <c r="EN206" s="42"/>
      <c r="EO206" s="42"/>
      <c r="EP206" s="42"/>
      <c r="EQ206" s="42"/>
      <c r="ER206" s="42"/>
      <c r="ES206" s="42"/>
      <c r="ET206" s="42"/>
      <c r="EU206" s="42"/>
      <c r="EV206" s="42"/>
      <c r="EW206" s="42"/>
      <c r="EX206" s="42"/>
      <c r="EY206" s="42"/>
      <c r="EZ206" s="42"/>
      <c r="FA206" s="42"/>
      <c r="FB206" s="42"/>
      <c r="FC206" s="42"/>
      <c r="FD206" s="42"/>
      <c r="FE206" s="42"/>
      <c r="FF206" s="42"/>
      <c r="FG206" s="42"/>
      <c r="FH206" s="42"/>
      <c r="FI206" s="42"/>
      <c r="FJ206" s="42"/>
      <c r="FK206" s="42"/>
      <c r="FL206" s="42"/>
      <c r="FM206" s="42"/>
      <c r="FN206" s="42"/>
      <c r="FO206" s="42"/>
      <c r="FP206" s="42"/>
      <c r="FQ206" s="42"/>
      <c r="FR206" s="42"/>
      <c r="FS206" s="42"/>
      <c r="FT206" s="42"/>
      <c r="FU206" s="43"/>
    </row>
    <row r="207" spans="1:177" s="139" customFormat="1" x14ac:dyDescent="0.2">
      <c r="A207" s="48"/>
      <c r="B207" s="47"/>
      <c r="C207" s="46"/>
      <c r="D207" s="45"/>
      <c r="E207" s="44"/>
      <c r="F207" s="42"/>
      <c r="G207" s="42"/>
      <c r="H207" s="42"/>
      <c r="I207" s="42"/>
      <c r="J207" s="42"/>
      <c r="K207" s="42"/>
      <c r="L207" s="42"/>
      <c r="M207" s="42"/>
      <c r="N207" s="42"/>
      <c r="O207" s="42"/>
      <c r="P207" s="42"/>
      <c r="Q207" s="42"/>
      <c r="R207" s="42"/>
      <c r="S207" s="42"/>
      <c r="T207" s="42"/>
      <c r="U207" s="42"/>
      <c r="V207" s="42"/>
      <c r="W207" s="42"/>
      <c r="X207" s="42"/>
      <c r="Y207" s="42"/>
      <c r="Z207" s="42"/>
      <c r="AC207" s="144"/>
      <c r="AH207" s="42"/>
      <c r="AJ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3"/>
    </row>
    <row r="208" spans="1:177" s="139" customFormat="1" x14ac:dyDescent="0.2">
      <c r="A208" s="48"/>
      <c r="B208" s="47"/>
      <c r="C208" s="46"/>
      <c r="D208" s="45"/>
      <c r="E208" s="44"/>
      <c r="F208" s="42"/>
      <c r="G208" s="42"/>
      <c r="H208" s="42"/>
      <c r="I208" s="42"/>
      <c r="J208" s="42"/>
      <c r="K208" s="42"/>
      <c r="L208" s="42"/>
      <c r="M208" s="42"/>
      <c r="N208" s="42"/>
      <c r="O208" s="42"/>
      <c r="P208" s="42"/>
      <c r="Q208" s="42"/>
      <c r="R208" s="42"/>
      <c r="S208" s="42"/>
      <c r="T208" s="42"/>
      <c r="U208" s="42"/>
      <c r="V208" s="42"/>
      <c r="W208" s="42"/>
      <c r="X208" s="42"/>
      <c r="Y208" s="42"/>
      <c r="Z208" s="42"/>
      <c r="AC208" s="146"/>
      <c r="AH208" s="42"/>
      <c r="AJ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c r="DX208" s="42"/>
      <c r="DY208" s="42"/>
      <c r="DZ208" s="42"/>
      <c r="EA208" s="42"/>
      <c r="EB208" s="42"/>
      <c r="EC208" s="42"/>
      <c r="ED208" s="42"/>
      <c r="EE208" s="42"/>
      <c r="EF208" s="42"/>
      <c r="EG208" s="42"/>
      <c r="EH208" s="42"/>
      <c r="EI208" s="42"/>
      <c r="EJ208" s="42"/>
      <c r="EK208" s="42"/>
      <c r="EL208" s="42"/>
      <c r="EM208" s="42"/>
      <c r="EN208" s="42"/>
      <c r="EO208" s="42"/>
      <c r="EP208" s="42"/>
      <c r="EQ208" s="42"/>
      <c r="ER208" s="42"/>
      <c r="ES208" s="42"/>
      <c r="ET208" s="42"/>
      <c r="EU208" s="42"/>
      <c r="EV208" s="42"/>
      <c r="EW208" s="42"/>
      <c r="EX208" s="42"/>
      <c r="EY208" s="42"/>
      <c r="EZ208" s="42"/>
      <c r="FA208" s="42"/>
      <c r="FB208" s="42"/>
      <c r="FC208" s="42"/>
      <c r="FD208" s="42"/>
      <c r="FE208" s="42"/>
      <c r="FF208" s="42"/>
      <c r="FG208" s="42"/>
      <c r="FH208" s="42"/>
      <c r="FI208" s="42"/>
      <c r="FJ208" s="42"/>
      <c r="FK208" s="42"/>
      <c r="FL208" s="42"/>
      <c r="FM208" s="42"/>
      <c r="FN208" s="42"/>
      <c r="FO208" s="42"/>
      <c r="FP208" s="42"/>
      <c r="FQ208" s="42"/>
      <c r="FR208" s="42"/>
      <c r="FS208" s="42"/>
      <c r="FT208" s="42"/>
      <c r="FU208" s="43"/>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T66"/>
  <sheetViews>
    <sheetView workbookViewId="0">
      <selection activeCell="D10" sqref="D10"/>
    </sheetView>
  </sheetViews>
  <sheetFormatPr defaultColWidth="23.7109375" defaultRowHeight="15" x14ac:dyDescent="0.25"/>
  <cols>
    <col min="1" max="1" width="23.5703125" bestFit="1" customWidth="1"/>
    <col min="2" max="2" width="3.28515625" bestFit="1" customWidth="1"/>
    <col min="3" max="3" width="11.5703125" bestFit="1" customWidth="1"/>
    <col min="4" max="4" width="48.5703125" customWidth="1"/>
    <col min="5" max="5" width="11.140625" bestFit="1" customWidth="1"/>
    <col min="6" max="6" width="10.85546875" bestFit="1" customWidth="1"/>
    <col min="7" max="7" width="8.5703125" bestFit="1" customWidth="1"/>
    <col min="8" max="10" width="12.7109375" bestFit="1" customWidth="1"/>
    <col min="11" max="11" width="12.5703125" bestFit="1" customWidth="1"/>
    <col min="12" max="17" width="11.5703125" bestFit="1" customWidth="1"/>
    <col min="18" max="18" width="12.5703125" bestFit="1" customWidth="1"/>
    <col min="19" max="22" width="11.5703125" bestFit="1" customWidth="1"/>
    <col min="23" max="23" width="14.140625" bestFit="1" customWidth="1"/>
    <col min="24" max="24" width="24.140625" bestFit="1" customWidth="1"/>
    <col min="25" max="27" width="19.140625" bestFit="1" customWidth="1"/>
    <col min="28" max="30" width="11.5703125" bestFit="1" customWidth="1"/>
    <col min="31" max="31" width="20.42578125" bestFit="1" customWidth="1"/>
    <col min="32" max="32" width="11.5703125" bestFit="1" customWidth="1"/>
    <col min="33" max="176" width="8.5703125" bestFit="1" customWidth="1"/>
  </cols>
  <sheetData>
    <row r="1" spans="1:176" ht="15.75" customHeight="1" thickBot="1" x14ac:dyDescent="0.3">
      <c r="A1" s="48"/>
      <c r="B1" s="47"/>
      <c r="C1" s="46"/>
      <c r="D1" s="45"/>
      <c r="E1" s="530" t="s">
        <v>221</v>
      </c>
      <c r="F1" s="495"/>
      <c r="G1" s="90"/>
      <c r="H1" s="304" t="s">
        <v>981</v>
      </c>
      <c r="I1" s="304" t="s">
        <v>1623</v>
      </c>
      <c r="J1" s="304" t="s">
        <v>1623</v>
      </c>
      <c r="K1" s="305" t="s">
        <v>2430</v>
      </c>
      <c r="L1" s="305" t="s">
        <v>1623</v>
      </c>
      <c r="M1" s="305" t="s">
        <v>1623</v>
      </c>
      <c r="N1" s="170" t="s">
        <v>1623</v>
      </c>
      <c r="O1" s="170" t="s">
        <v>1623</v>
      </c>
      <c r="P1" s="170" t="s">
        <v>2619</v>
      </c>
      <c r="Q1" s="170" t="s">
        <v>1623</v>
      </c>
      <c r="R1" s="170" t="s">
        <v>2430</v>
      </c>
      <c r="S1" s="170" t="s">
        <v>1274</v>
      </c>
      <c r="T1" s="170" t="s">
        <v>1623</v>
      </c>
      <c r="U1" s="170" t="s">
        <v>1623</v>
      </c>
      <c r="V1" s="170" t="s">
        <v>1623</v>
      </c>
      <c r="W1" s="170" t="s">
        <v>2506</v>
      </c>
      <c r="X1" s="170" t="s">
        <v>2827</v>
      </c>
      <c r="Y1" s="170" t="s">
        <v>3456</v>
      </c>
      <c r="Z1" s="170" t="s">
        <v>3456</v>
      </c>
      <c r="AA1" s="170" t="s">
        <v>3456</v>
      </c>
      <c r="AB1" s="170" t="s">
        <v>1274</v>
      </c>
      <c r="AC1" s="170" t="s">
        <v>1623</v>
      </c>
      <c r="AD1" s="170" t="s">
        <v>1623</v>
      </c>
      <c r="AE1" s="170" t="s">
        <v>82</v>
      </c>
      <c r="AF1" s="170" t="s">
        <v>1623</v>
      </c>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4432</v>
      </c>
      <c r="B2" s="551" t="s">
        <v>4144</v>
      </c>
      <c r="C2" s="542"/>
      <c r="D2" s="531" t="s">
        <v>4433</v>
      </c>
      <c r="E2" s="558" t="s">
        <v>4146</v>
      </c>
      <c r="F2" s="540"/>
      <c r="G2" s="90"/>
      <c r="H2" s="302" t="s">
        <v>1018</v>
      </c>
      <c r="I2" s="302" t="s">
        <v>2512</v>
      </c>
      <c r="J2" s="302" t="s">
        <v>2516</v>
      </c>
      <c r="K2" s="446" t="s">
        <v>2550</v>
      </c>
      <c r="L2" s="303" t="s">
        <v>2719</v>
      </c>
      <c r="M2" s="303" t="s">
        <v>2761</v>
      </c>
      <c r="N2" s="171" t="s">
        <v>2790</v>
      </c>
      <c r="O2" s="171" t="s">
        <v>2793</v>
      </c>
      <c r="P2" s="171" t="s">
        <v>2819</v>
      </c>
      <c r="Q2" s="435" t="s">
        <v>2898</v>
      </c>
      <c r="R2" s="171" t="s">
        <v>2924</v>
      </c>
      <c r="S2" s="171" t="s">
        <v>2939</v>
      </c>
      <c r="T2" s="171" t="s">
        <v>3026</v>
      </c>
      <c r="U2" s="435" t="s">
        <v>3034</v>
      </c>
      <c r="V2" s="171" t="s">
        <v>3154</v>
      </c>
      <c r="W2" s="435" t="s">
        <v>3317</v>
      </c>
      <c r="X2" s="435" t="s">
        <v>3344</v>
      </c>
      <c r="Y2" s="435" t="s">
        <v>3455</v>
      </c>
      <c r="Z2" s="435" t="s">
        <v>3460</v>
      </c>
      <c r="AA2" s="435" t="s">
        <v>3464</v>
      </c>
      <c r="AB2" s="435" t="s">
        <v>3550</v>
      </c>
      <c r="AC2" s="435" t="s">
        <v>3614</v>
      </c>
      <c r="AD2" s="435" t="s">
        <v>3635</v>
      </c>
      <c r="AE2" s="435" t="s">
        <v>3757</v>
      </c>
      <c r="AF2" s="435" t="s">
        <v>3816</v>
      </c>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4162</v>
      </c>
      <c r="T3" s="40" t="s">
        <v>4163</v>
      </c>
      <c r="U3" s="40" t="s">
        <v>4164</v>
      </c>
      <c r="V3" s="40" t="s">
        <v>4165</v>
      </c>
      <c r="W3" s="40" t="s">
        <v>4167</v>
      </c>
      <c r="X3" s="171" t="s">
        <v>4168</v>
      </c>
      <c r="Y3" s="171" t="s">
        <v>4169</v>
      </c>
      <c r="Z3" s="40" t="s">
        <v>4170</v>
      </c>
      <c r="AA3" s="40" t="s">
        <v>4171</v>
      </c>
      <c r="AB3" s="40" t="s">
        <v>4172</v>
      </c>
      <c r="AC3" s="40" t="s">
        <v>4173</v>
      </c>
      <c r="AD3" s="40" t="s">
        <v>4174</v>
      </c>
      <c r="AE3" s="40" t="s">
        <v>81</v>
      </c>
      <c r="AF3" s="40" t="s">
        <v>4177</v>
      </c>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37994</v>
      </c>
      <c r="T4" s="331">
        <v>38281</v>
      </c>
      <c r="U4" s="331">
        <v>38365</v>
      </c>
      <c r="V4" s="331">
        <v>38658</v>
      </c>
      <c r="W4" s="331">
        <v>39197</v>
      </c>
      <c r="X4" s="332">
        <v>39612</v>
      </c>
      <c r="Y4" s="332">
        <v>40592</v>
      </c>
      <c r="Z4" s="331">
        <v>40592</v>
      </c>
      <c r="AA4" s="331">
        <v>40592</v>
      </c>
      <c r="AB4" s="331">
        <v>41304</v>
      </c>
      <c r="AC4" s="331">
        <v>41774</v>
      </c>
      <c r="AD4" s="331">
        <v>41927</v>
      </c>
      <c r="AE4" s="331">
        <v>43382</v>
      </c>
      <c r="AF4" s="331">
        <v>44377</v>
      </c>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40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37">
        <v>40</v>
      </c>
      <c r="D6" s="554" t="s">
        <v>166</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IFERROR(IF($E10&gt;0,$E10/SUMIF($E$10:$E$65,"&gt;0")*$D$5,""),"")</f>
        <v/>
      </c>
      <c r="D10" s="147" t="s">
        <v>983</v>
      </c>
      <c r="E10" s="101">
        <f t="array" ref="E10">SUMPRODUCT(H$9:AF$9,IF(ISNUMBER(H10:AF10),H10:AF10,0))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f t="shared" si="13"/>
        <v>3.333333333333333</v>
      </c>
      <c r="D11" s="147" t="s">
        <v>989</v>
      </c>
      <c r="E11" s="101">
        <f t="array" ref="E11">SUMPRODUCT(H$9:AF$9,IF(ISNUMBER(H11:AF11),H11:AF11,0))</f>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610</v>
      </c>
      <c r="E12" s="101">
        <f t="array" ref="E12">SUMPRODUCT(H$9:AF$9,IF(ISNUMBER(H12:AF12),H12:AF12,0))</f>
        <v>-1</v>
      </c>
      <c r="F12" s="64"/>
      <c r="G12" s="173"/>
      <c r="H12" s="173"/>
      <c r="I12" s="437">
        <v>-1</v>
      </c>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38"/>
      <c r="B13" s="339"/>
      <c r="C13" s="420">
        <f t="shared" si="13"/>
        <v>3.333333333333333</v>
      </c>
      <c r="D13" s="147" t="s">
        <v>2514</v>
      </c>
      <c r="E13" s="101">
        <f t="array" ref="E13">SUMPRODUCT(H$9:AF$9,IF(ISNUMBER(H13:AF13),H13:AF13,0))</f>
        <v>1</v>
      </c>
      <c r="F13" s="64"/>
      <c r="G13" s="173"/>
      <c r="H13" s="174"/>
      <c r="I13" s="431">
        <v>1</v>
      </c>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342"/>
      <c r="B14" s="95"/>
      <c r="C14" s="420" t="str">
        <f t="shared" si="13"/>
        <v/>
      </c>
      <c r="D14" s="147" t="s">
        <v>2518</v>
      </c>
      <c r="E14" s="101">
        <f t="array" ref="E14">SUMPRODUCT(H$9:AF$9,IF(ISNUMBER(H14:AF14),H14:AF14,0))</f>
        <v>-2</v>
      </c>
      <c r="F14" s="64"/>
      <c r="G14" s="173"/>
      <c r="H14" s="173"/>
      <c r="I14" s="173"/>
      <c r="J14" s="437">
        <v>-1</v>
      </c>
      <c r="K14" s="173"/>
      <c r="L14" s="173"/>
      <c r="M14" s="173"/>
      <c r="N14" s="173"/>
      <c r="O14" s="173"/>
      <c r="P14" s="173"/>
      <c r="Q14" s="173"/>
      <c r="R14" s="173"/>
      <c r="S14" s="173"/>
      <c r="T14" s="173"/>
      <c r="U14" s="173"/>
      <c r="V14" s="437">
        <v>-1</v>
      </c>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343"/>
      <c r="B15" s="66"/>
      <c r="C15" s="420">
        <f t="shared" si="13"/>
        <v>3.333333333333333</v>
      </c>
      <c r="D15" s="147" t="s">
        <v>2519</v>
      </c>
      <c r="E15" s="101">
        <f t="array" ref="E15">SUMPRODUCT(H$9:AF$9,IF(ISNUMBER(H15:AF15),H15:AF15,0))</f>
        <v>1</v>
      </c>
      <c r="F15" s="64"/>
      <c r="G15" s="173"/>
      <c r="H15" s="174"/>
      <c r="I15" s="174"/>
      <c r="J15" s="431">
        <v>1</v>
      </c>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436</v>
      </c>
      <c r="E16" s="101">
        <f t="array" ref="E16">SUMPRODUCT(H$9:AF$9,IF(ISNUMBER(H16:AF16),H16:AF16,0))</f>
        <v>0</v>
      </c>
      <c r="F16" s="64"/>
      <c r="G16" s="173"/>
      <c r="H16" s="173"/>
      <c r="I16" s="173"/>
      <c r="J16" s="173"/>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340"/>
      <c r="B17" s="68"/>
      <c r="C17" s="420" t="str">
        <f t="shared" si="13"/>
        <v/>
      </c>
      <c r="D17" s="148" t="s">
        <v>4188</v>
      </c>
      <c r="E17" s="101">
        <f t="array" ref="E17">SUMPRODUCT(H$9:AF$9,IF(ISNUMBER(H17:AF17),H17:AF17,0))</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4189</v>
      </c>
      <c r="E18" s="101">
        <f t="array" ref="E18">SUMPRODUCT(H$9:AF$9,IF(ISNUMBER(H18:AF18),H18:AF18,0))</f>
        <v>0</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2580</v>
      </c>
      <c r="E19" s="101">
        <f t="array" ref="E19">SUMPRODUCT(H$9:AF$9,IF(ISNUMBER(H19:AF19),H19:AF19,0))</f>
        <v>-1</v>
      </c>
      <c r="F19" s="64"/>
      <c r="G19" s="173"/>
      <c r="H19" s="173"/>
      <c r="I19" s="173"/>
      <c r="J19" s="173"/>
      <c r="K19" s="173"/>
      <c r="L19" s="437">
        <v>-1</v>
      </c>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f t="shared" si="13"/>
        <v>3.333333333333333</v>
      </c>
      <c r="D20" s="147" t="s">
        <v>2721</v>
      </c>
      <c r="E20" s="101">
        <f t="array" ref="E20">SUMPRODUCT(H$9:AF$9,IF(ISNUMBER(H20:AF20),H20:AF20,0))</f>
        <v>1</v>
      </c>
      <c r="F20" s="64"/>
      <c r="G20" s="173"/>
      <c r="H20" s="173"/>
      <c r="I20" s="173"/>
      <c r="J20" s="173"/>
      <c r="K20" s="173"/>
      <c r="L20" s="437">
        <v>1</v>
      </c>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533</v>
      </c>
      <c r="E21" s="101">
        <f t="array" ref="E21">SUMPRODUCT(H$9:AF$9,IF(ISNUMBER(H21:AF21),H21:AF21,0))</f>
        <v>-1</v>
      </c>
      <c r="F21" s="64"/>
      <c r="G21" s="173"/>
      <c r="H21" s="173"/>
      <c r="I21" s="173"/>
      <c r="J21" s="173"/>
      <c r="K21" s="173"/>
      <c r="L21" s="173"/>
      <c r="M21" s="437">
        <v>-1</v>
      </c>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f t="shared" si="13"/>
        <v>10</v>
      </c>
      <c r="D22" s="38" t="s">
        <v>944</v>
      </c>
      <c r="E22" s="101">
        <f t="array" ref="E22">SUMPRODUCT(H$9:AF$9,IF(ISNUMBER(H22:AF22),H22:AF22,0))</f>
        <v>3</v>
      </c>
      <c r="F22" s="64"/>
      <c r="G22" s="173"/>
      <c r="H22" s="173"/>
      <c r="I22" s="173"/>
      <c r="J22" s="173"/>
      <c r="K22" s="173"/>
      <c r="L22" s="173"/>
      <c r="M22" s="437">
        <v>1</v>
      </c>
      <c r="N22" s="437">
        <v>1</v>
      </c>
      <c r="O22" s="437">
        <v>1</v>
      </c>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2792</v>
      </c>
      <c r="E23" s="101">
        <f t="array" ref="E23">SUMPRODUCT(H$9:AF$9,IF(ISNUMBER(H23:AF23),H23:AF23,0))</f>
        <v>-1</v>
      </c>
      <c r="F23" s="64"/>
      <c r="G23" s="173"/>
      <c r="H23" s="173"/>
      <c r="I23" s="173"/>
      <c r="J23" s="173"/>
      <c r="K23" s="173"/>
      <c r="L23" s="173"/>
      <c r="M23" s="173"/>
      <c r="N23" s="437">
        <v>-1</v>
      </c>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2795</v>
      </c>
      <c r="E24" s="101">
        <f t="array" ref="E24">SUMPRODUCT(H$9:AF$9,IF(ISNUMBER(H24:AF24),H24:AF24,0))</f>
        <v>-1</v>
      </c>
      <c r="F24" s="64"/>
      <c r="G24" s="173"/>
      <c r="H24" s="173"/>
      <c r="I24" s="173"/>
      <c r="J24" s="173"/>
      <c r="K24" s="173"/>
      <c r="L24" s="173"/>
      <c r="M24" s="173"/>
      <c r="N24" s="173"/>
      <c r="O24" s="437">
        <v>-1</v>
      </c>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4190</v>
      </c>
      <c r="E25" s="101">
        <f t="array" ref="E25">SUMPRODUCT(H$9:AF$9,IF(ISNUMBER(H25:AF25),H25:AF25,0))</f>
        <v>-1</v>
      </c>
      <c r="F25" s="64"/>
      <c r="G25" s="173"/>
      <c r="H25" s="173"/>
      <c r="I25" s="173"/>
      <c r="J25" s="173"/>
      <c r="K25" s="173"/>
      <c r="L25" s="173"/>
      <c r="M25" s="173"/>
      <c r="N25" s="173"/>
      <c r="O25" s="173"/>
      <c r="P25" s="437">
        <v>-1</v>
      </c>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6.6666666666666661</v>
      </c>
      <c r="D26" s="148" t="s">
        <v>1110</v>
      </c>
      <c r="E26" s="101">
        <f t="array" ref="E26">SUMPRODUCT(H$9:AF$9,IF(ISNUMBER(H26:AF26),H26:AF26,0))</f>
        <v>2</v>
      </c>
      <c r="F26" s="64"/>
      <c r="G26" s="173"/>
      <c r="H26" s="173"/>
      <c r="I26" s="173"/>
      <c r="J26" s="173"/>
      <c r="K26" s="173"/>
      <c r="L26" s="173"/>
      <c r="M26" s="173"/>
      <c r="N26" s="173"/>
      <c r="O26" s="173"/>
      <c r="P26" s="437">
        <v>1</v>
      </c>
      <c r="Q26" s="173"/>
      <c r="R26" s="181"/>
      <c r="S26" s="437">
        <v>1</v>
      </c>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4191</v>
      </c>
      <c r="E27" s="101">
        <f t="array" ref="E27">SUMPRODUCT(H$9:AF$9,IF(ISNUMBER(H27:AF27),H27:AF27,0))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4192</v>
      </c>
      <c r="E28" s="101">
        <f t="array" ref="E28">SUMPRODUCT(H$9:AF$9,IF(ISNUMBER(H28:AF28),H28:AF28,0))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2272</v>
      </c>
      <c r="E29" s="101">
        <f t="array" ref="E29">SUMPRODUCT(H$9:AF$9,IF(ISNUMBER(H29:AF29),H29:AF29,0))</f>
        <v>-1</v>
      </c>
      <c r="F29" s="64"/>
      <c r="G29" s="173"/>
      <c r="H29" s="173"/>
      <c r="I29" s="173"/>
      <c r="J29" s="173"/>
      <c r="K29" s="173"/>
      <c r="L29" s="173"/>
      <c r="M29" s="173"/>
      <c r="N29" s="173"/>
      <c r="O29" s="175"/>
      <c r="P29" s="175"/>
      <c r="Q29" s="173"/>
      <c r="R29" s="437">
        <v>-1</v>
      </c>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f t="shared" si="13"/>
        <v>3.333333333333333</v>
      </c>
      <c r="D30" s="147" t="s">
        <v>2926</v>
      </c>
      <c r="E30" s="101">
        <f t="array" ref="E30">SUMPRODUCT(H$9:AF$9,IF(ISNUMBER(H30:AF30),H30:AF30,0))</f>
        <v>1</v>
      </c>
      <c r="F30" s="64"/>
      <c r="G30" s="173"/>
      <c r="H30" s="173"/>
      <c r="I30" s="173"/>
      <c r="J30" s="173"/>
      <c r="K30" s="173"/>
      <c r="L30" s="173"/>
      <c r="M30" s="173"/>
      <c r="N30" s="173"/>
      <c r="O30" s="173"/>
      <c r="P30" s="173"/>
      <c r="Q30" s="173"/>
      <c r="R30" s="437">
        <v>1</v>
      </c>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4193</v>
      </c>
      <c r="E31" s="101">
        <f t="array" ref="E31">SUMPRODUCT(H$9:AF$9,IF(ISNUMBER(H31:AF31),H31:AF31,0))</f>
        <v>-1</v>
      </c>
      <c r="F31" s="64"/>
      <c r="G31" s="173"/>
      <c r="H31" s="173"/>
      <c r="I31" s="173"/>
      <c r="J31" s="173"/>
      <c r="K31" s="173"/>
      <c r="L31" s="173"/>
      <c r="M31" s="173"/>
      <c r="N31" s="173"/>
      <c r="O31" s="173"/>
      <c r="P31" s="173"/>
      <c r="Q31" s="173"/>
      <c r="R31" s="173"/>
      <c r="S31" s="445">
        <v>-1</v>
      </c>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3028</v>
      </c>
      <c r="E32" s="101">
        <f t="array" ref="E32">SUMPRODUCT(H$9:AF$9,IF(ISNUMBER(H32:AF32),H32:AF32,0))</f>
        <v>-1</v>
      </c>
      <c r="F32" s="64"/>
      <c r="G32" s="173"/>
      <c r="H32" s="173"/>
      <c r="I32" s="173"/>
      <c r="J32" s="173"/>
      <c r="K32" s="173"/>
      <c r="L32" s="173"/>
      <c r="M32" s="173"/>
      <c r="N32" s="173"/>
      <c r="O32" s="173"/>
      <c r="P32" s="173"/>
      <c r="Q32" s="173"/>
      <c r="R32" s="173"/>
      <c r="S32" s="181"/>
      <c r="T32" s="445">
        <v>-1</v>
      </c>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f t="shared" si="13"/>
        <v>3.333333333333333</v>
      </c>
      <c r="D33" s="147" t="s">
        <v>3029</v>
      </c>
      <c r="E33" s="101">
        <f t="array" ref="E33">SUMPRODUCT(H$9:AF$9,IF(ISNUMBER(H33:AF33),H33:AF33,0))</f>
        <v>1</v>
      </c>
      <c r="F33" s="64"/>
      <c r="G33" s="173"/>
      <c r="H33" s="173"/>
      <c r="I33" s="173"/>
      <c r="J33" s="173"/>
      <c r="K33" s="173"/>
      <c r="L33" s="173"/>
      <c r="M33" s="173"/>
      <c r="N33" s="173"/>
      <c r="O33" s="173"/>
      <c r="P33" s="173"/>
      <c r="Q33" s="173"/>
      <c r="R33" s="173"/>
      <c r="S33" s="173"/>
      <c r="T33" s="445">
        <v>1</v>
      </c>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4194</v>
      </c>
      <c r="E34" s="101">
        <f t="array" ref="E34">SUMPRODUCT(H$9:AF$9,IF(ISNUMBER(H34:AF34),H34:AF34,0))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4195</v>
      </c>
      <c r="E35" s="101">
        <f t="array" ref="E35">SUMPRODUCT(H$9:AF$9,IF(ISNUMBER(H35:AF35),H35:AF35,0))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f t="shared" si="13"/>
        <v>3.333333333333333</v>
      </c>
      <c r="D36" s="147" t="s">
        <v>3037</v>
      </c>
      <c r="E36" s="101">
        <f t="array" ref="E36">SUMPRODUCT(H$9:AF$9,IF(ISNUMBER(H36:AF36),H36:AF36,0))</f>
        <v>1</v>
      </c>
      <c r="F36" s="64"/>
      <c r="G36" s="173"/>
      <c r="H36" s="173"/>
      <c r="I36" s="173"/>
      <c r="J36" s="173"/>
      <c r="K36" s="173"/>
      <c r="L36" s="173"/>
      <c r="M36" s="173"/>
      <c r="N36" s="173"/>
      <c r="O36" s="173"/>
      <c r="P36" s="173"/>
      <c r="Q36" s="173"/>
      <c r="R36" s="173"/>
      <c r="S36" s="173"/>
      <c r="T36" s="173"/>
      <c r="U36" s="173"/>
      <c r="V36" s="437">
        <v>1</v>
      </c>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4197</v>
      </c>
      <c r="E37" s="101">
        <f t="array" ref="E37">SUMPRODUCT(H$9:AF$9,IF(ISNUMBER(H37:AF37),H37:AF37,0))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t="str">
        <f t="shared" si="13"/>
        <v/>
      </c>
      <c r="D38" s="38" t="s">
        <v>4198</v>
      </c>
      <c r="E38" s="101">
        <f t="array" ref="E38">SUMPRODUCT(H$9:AF$9,IF(ISNUMBER(H38:AF38),H38:AF38,0))</f>
        <v>0</v>
      </c>
      <c r="F38" s="64"/>
      <c r="G38" s="173"/>
      <c r="H38" s="173"/>
      <c r="I38" s="173"/>
      <c r="J38" s="173"/>
      <c r="K38" s="173"/>
      <c r="L38" s="173"/>
      <c r="M38" s="173"/>
      <c r="N38" s="173"/>
      <c r="O38" s="181"/>
      <c r="P38" s="173"/>
      <c r="Q38" s="173"/>
      <c r="R38" s="173"/>
      <c r="S38" s="173"/>
      <c r="T38" s="173"/>
      <c r="U38" s="173"/>
      <c r="V38" s="175"/>
      <c r="W38" s="173"/>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8640</v>
      </c>
      <c r="E39" s="101">
        <f t="array" ref="E39">SUMPRODUCT(H$9:AF$9,IF(ISNUMBER(H39:AF39),H39:AF39,0))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4199</v>
      </c>
      <c r="E40" s="101">
        <f t="array" ref="E40">SUMPRODUCT(H$9:AF$9,IF(ISNUMBER(H40:AF40),H40:AF40,0))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8641</v>
      </c>
      <c r="E41" s="101">
        <f t="array" ref="E41">SUMPRODUCT(H$9:AF$9,IF(ISNUMBER(H41:AF41),H41:AF41,0))</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65" si="14">IFERROR(IF($E42&gt;0,$E42/SUMIF($E$10:$E$65,"&gt;0")*$D$5,""),"")</f>
        <v/>
      </c>
      <c r="D42" s="37" t="s">
        <v>4200</v>
      </c>
      <c r="E42" s="101">
        <f t="array" ref="E42">SUMPRODUCT(H$9:AF$9,IF(ISNUMBER(H42:AF42),H42:AF42,0))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8642</v>
      </c>
      <c r="E43" s="101">
        <f t="array" ref="E43">SUMPRODUCT(H$9:AF$9,IF(ISNUMBER(H43:AF43),H43:AF43,0))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4201</v>
      </c>
      <c r="E44" s="101">
        <f t="array" ref="E44">SUMPRODUCT(H$9:AF$9,IF(ISNUMBER(H44:AF44),H44:AF44,0))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4202</v>
      </c>
      <c r="E45" s="101">
        <f t="array" ref="E45">SUMPRODUCT(H$9:AF$9,IF(ISNUMBER(H45:AF45),H45:AF45,0))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4203</v>
      </c>
      <c r="E46" s="101">
        <f t="array" ref="E46">SUMPRODUCT(H$9:AF$9,IF(ISNUMBER(H46:AF46),H46:AF46,0))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4204</v>
      </c>
      <c r="E47" s="101">
        <f t="array" ref="E47">SUMPRODUCT(H$9:AF$9,IF(ISNUMBER(H47:AF47),H47:AF47,0))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8643</v>
      </c>
      <c r="E48" s="101">
        <f t="array" ref="E48">SUMPRODUCT(H$9:AF$9,IF(ISNUMBER(H48:AF48),H48:AF48,0))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8644</v>
      </c>
      <c r="E49" s="101">
        <f t="array" ref="E49">SUMPRODUCT(H$9:AF$9,IF(ISNUMBER(H49:AF49),H49:AF49,0))</f>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4205</v>
      </c>
      <c r="E50" s="101">
        <f t="array" ref="E50">SUMPRODUCT(H$9:AF$9,IF(ISNUMBER(H50:AF50),H50:AF50,0))</f>
        <v>0</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4206</v>
      </c>
      <c r="E51" s="101">
        <f t="array" ref="E51">SUMPRODUCT(H$9:AF$9,IF(ISNUMBER(H51:AF51),H51:AF51,0))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4207</v>
      </c>
      <c r="E52" s="101">
        <f t="array" ref="E52">SUMPRODUCT(H$9:AF$9,IF(ISNUMBER(H52:AF52),H52:AF52,0))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1544</v>
      </c>
      <c r="E53" s="101">
        <f t="array" ref="E53">SUMPRODUCT(H$9:AF$9,IF(ISNUMBER(H53:AF53),H53:AF53,0))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8645</v>
      </c>
      <c r="E54" s="101">
        <f t="array" ref="E54">SUMPRODUCT(H$9:AF$9,IF(ISNUMBER(H54:AF54),H54:AF54,0))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4208</v>
      </c>
      <c r="E55" s="101">
        <f t="array" ref="E55">SUMPRODUCT(H$9:AF$9,IF(ISNUMBER(H55:AF55),H55:AF55,0))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4209</v>
      </c>
      <c r="E56" s="101">
        <f t="array" ref="E56">SUMPRODUCT(H$9:AF$9,IF(ISNUMBER(H56:AF56),H56:AF56,0))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4210</v>
      </c>
      <c r="E57" s="101">
        <f t="array" ref="E57">SUMPRODUCT(H$9:AF$9,IF(ISNUMBER(H57:AF57),H57:AF57,0))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4211</v>
      </c>
      <c r="E58" s="101">
        <f t="array" ref="E58">SUMPRODUCT(H$9:AF$9,IF(ISNUMBER(H58:AF58),H58:AF58,0))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280</v>
      </c>
      <c r="E59" s="101">
        <f t="array" ref="E59">SUMPRODUCT(H$9:AF$9,IF(ISNUMBER(H59:AF59),H59:AF59,0))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3638</v>
      </c>
      <c r="E60" s="101">
        <f t="array" ref="E60">SUMPRODUCT(H$9:AF$9,IF(ISNUMBER(H60:AF60),H60:AF60,0))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4212</v>
      </c>
      <c r="E61" s="101">
        <f t="array" ref="E61">SUMPRODUCT(H$9:AF$9,IF(ISNUMBER(H61:AF61),H61:AF61,0))</f>
        <v>0</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t="str">
        <f t="shared" si="14"/>
        <v/>
      </c>
      <c r="D62" s="37" t="s">
        <v>4213</v>
      </c>
      <c r="E62" s="101">
        <f t="array" ref="E62">SUMPRODUCT(H$9:AF$9,IF(ISNUMBER(H62:AF62),H62:AF62,0))</f>
        <v>0</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4214</v>
      </c>
      <c r="E63" s="101">
        <f t="array" ref="E63">SUMPRODUCT(H$9:AF$9,IF(ISNUMBER(H63:AF63),H63:AF63,0))</f>
        <v>0</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8646</v>
      </c>
      <c r="E64" s="101">
        <f t="array" ref="E64">SUMPRODUCT(H$9:AF$9,IF(ISNUMBER(H64:AF64),H64:AF64,0))</f>
        <v>0</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t="str">
        <f t="shared" si="14"/>
        <v/>
      </c>
      <c r="D65" s="37" t="s">
        <v>3819</v>
      </c>
      <c r="E65" s="101">
        <f t="array" ref="E65">SUMPRODUCT(H$9:AF$9,IF(ISNUMBER(H65:AF65),H65:AF65,0))</f>
        <v>0</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C66" s="418">
        <f>SUM(C10:C65)</f>
        <v>40.000000000000007</v>
      </c>
      <c r="D66" s="417" t="s">
        <v>4431</v>
      </c>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T130"/>
  <sheetViews>
    <sheetView topLeftCell="C1" workbookViewId="0">
      <selection activeCell="J31" sqref="J31"/>
    </sheetView>
  </sheetViews>
  <sheetFormatPr defaultColWidth="29.5703125" defaultRowHeight="15" x14ac:dyDescent="0.25"/>
  <cols>
    <col min="1" max="1" width="8.140625" bestFit="1" customWidth="1"/>
    <col min="2" max="2" width="3.28515625" bestFit="1" customWidth="1"/>
    <col min="3" max="3" width="12.5703125" bestFit="1" customWidth="1"/>
    <col min="4" max="4" width="38.7109375" customWidth="1"/>
    <col min="5" max="5" width="11.140625" bestFit="1" customWidth="1"/>
    <col min="6" max="6" width="10.85546875" bestFit="1" customWidth="1"/>
    <col min="7" max="7" width="8.5703125" bestFit="1" customWidth="1"/>
    <col min="8" max="8" width="12.7109375" bestFit="1" customWidth="1"/>
    <col min="9" max="9" width="14.140625" bestFit="1" customWidth="1"/>
    <col min="10" max="10" width="12.7109375" bestFit="1" customWidth="1"/>
    <col min="11" max="11" width="11.5703125" bestFit="1" customWidth="1"/>
    <col min="12" max="13" width="20.42578125" bestFit="1" customWidth="1"/>
    <col min="14" max="22" width="11.5703125" bestFit="1" customWidth="1"/>
    <col min="23" max="23" width="20.42578125" bestFit="1" customWidth="1"/>
    <col min="24" max="28" width="11.5703125" bestFit="1" customWidth="1"/>
    <col min="29" max="29" width="14.140625" bestFit="1" customWidth="1"/>
    <col min="30" max="37" width="11.5703125" bestFit="1" customWidth="1"/>
    <col min="38" max="40" width="11.85546875" bestFit="1" customWidth="1"/>
    <col min="41" max="41" width="11.5703125" bestFit="1" customWidth="1"/>
    <col min="42" max="43" width="11.85546875" bestFit="1" customWidth="1"/>
    <col min="44" max="44" width="21.5703125" bestFit="1" customWidth="1"/>
    <col min="45" max="48" width="11.85546875" bestFit="1" customWidth="1"/>
    <col min="49" max="49" width="11.5703125" bestFit="1" customWidth="1"/>
    <col min="50" max="56" width="11.85546875" bestFit="1" customWidth="1"/>
    <col min="57" max="57" width="11.5703125" bestFit="1" customWidth="1"/>
    <col min="58" max="61" width="11.85546875" bestFit="1" customWidth="1"/>
    <col min="62" max="62" width="21.5703125" bestFit="1" customWidth="1"/>
    <col min="63" max="68" width="11.85546875" bestFit="1" customWidth="1"/>
    <col min="69" max="69" width="11.5703125" bestFit="1" customWidth="1"/>
    <col min="70" max="176" width="8.5703125" bestFit="1" customWidth="1"/>
  </cols>
  <sheetData>
    <row r="1" spans="1:176" ht="15.75" customHeight="1" thickBot="1" x14ac:dyDescent="0.3">
      <c r="A1" s="48"/>
      <c r="B1" s="47"/>
      <c r="C1" s="46"/>
      <c r="D1" s="45"/>
      <c r="E1" s="530" t="s">
        <v>221</v>
      </c>
      <c r="F1" s="495"/>
      <c r="G1" s="90"/>
      <c r="H1" s="304" t="s">
        <v>981</v>
      </c>
      <c r="I1" s="304" t="s">
        <v>2506</v>
      </c>
      <c r="J1" s="304" t="s">
        <v>1623</v>
      </c>
      <c r="K1" s="305" t="s">
        <v>1274</v>
      </c>
      <c r="L1" s="305" t="s">
        <v>82</v>
      </c>
      <c r="M1" s="305" t="s">
        <v>82</v>
      </c>
      <c r="N1" s="170" t="s">
        <v>1623</v>
      </c>
      <c r="O1" s="170" t="s">
        <v>1623</v>
      </c>
      <c r="P1" s="170" t="s">
        <v>1623</v>
      </c>
      <c r="Q1" s="170" t="s">
        <v>1623</v>
      </c>
      <c r="R1" s="170" t="s">
        <v>1623</v>
      </c>
      <c r="S1" s="170" t="s">
        <v>1623</v>
      </c>
      <c r="T1" s="170" t="s">
        <v>1623</v>
      </c>
      <c r="U1" s="170" t="s">
        <v>1623</v>
      </c>
      <c r="V1" s="170" t="s">
        <v>1623</v>
      </c>
      <c r="W1" s="170" t="s">
        <v>82</v>
      </c>
      <c r="X1" s="170" t="s">
        <v>1623</v>
      </c>
      <c r="Y1" s="170" t="s">
        <v>1623</v>
      </c>
      <c r="Z1" s="170" t="s">
        <v>1623</v>
      </c>
      <c r="AA1" s="170" t="s">
        <v>1623</v>
      </c>
      <c r="AB1" s="170" t="s">
        <v>1623</v>
      </c>
      <c r="AC1" s="170" t="s">
        <v>2506</v>
      </c>
      <c r="AD1" s="170" t="s">
        <v>969</v>
      </c>
      <c r="AE1" s="170" t="s">
        <v>1623</v>
      </c>
      <c r="AF1" s="170" t="s">
        <v>1623</v>
      </c>
      <c r="AG1" s="170" t="s">
        <v>1623</v>
      </c>
      <c r="AH1" s="170" t="s">
        <v>1623</v>
      </c>
      <c r="AI1" s="170" t="s">
        <v>1623</v>
      </c>
      <c r="AJ1" s="170" t="s">
        <v>1623</v>
      </c>
      <c r="AK1" s="170" t="s">
        <v>1623</v>
      </c>
      <c r="AL1" s="139" t="s">
        <v>1623</v>
      </c>
      <c r="AM1" s="139" t="s">
        <v>1623</v>
      </c>
      <c r="AN1" s="139" t="s">
        <v>1623</v>
      </c>
      <c r="AO1" s="139" t="s">
        <v>1274</v>
      </c>
      <c r="AP1" s="139" t="s">
        <v>1623</v>
      </c>
      <c r="AQ1" s="139" t="s">
        <v>1623</v>
      </c>
      <c r="AR1" s="139" t="s">
        <v>82</v>
      </c>
      <c r="AS1" s="139" t="s">
        <v>1623</v>
      </c>
      <c r="AT1" s="139" t="s">
        <v>1623</v>
      </c>
      <c r="AU1" s="139" t="s">
        <v>1623</v>
      </c>
      <c r="AV1" s="139" t="s">
        <v>1623</v>
      </c>
      <c r="AW1" s="139" t="s">
        <v>969</v>
      </c>
      <c r="AX1" s="139" t="s">
        <v>1623</v>
      </c>
      <c r="AY1" s="139" t="s">
        <v>1623</v>
      </c>
      <c r="AZ1" s="139" t="s">
        <v>1623</v>
      </c>
      <c r="BA1" s="139" t="s">
        <v>1623</v>
      </c>
      <c r="BB1" s="139" t="s">
        <v>1623</v>
      </c>
      <c r="BC1" s="139" t="s">
        <v>1623</v>
      </c>
      <c r="BD1" s="139" t="s">
        <v>1623</v>
      </c>
      <c r="BE1" s="139" t="s">
        <v>1274</v>
      </c>
      <c r="BF1" s="139" t="s">
        <v>1623</v>
      </c>
      <c r="BG1" s="139" t="s">
        <v>1623</v>
      </c>
      <c r="BH1" s="139" t="s">
        <v>1623</v>
      </c>
      <c r="BI1" s="139" t="s">
        <v>1623</v>
      </c>
      <c r="BJ1" s="139" t="s">
        <v>82</v>
      </c>
      <c r="BK1" s="139" t="s">
        <v>1623</v>
      </c>
      <c r="BL1" s="139" t="s">
        <v>1623</v>
      </c>
      <c r="BM1" s="139" t="s">
        <v>1623</v>
      </c>
      <c r="BN1" s="139" t="s">
        <v>1623</v>
      </c>
      <c r="BO1" s="139" t="s">
        <v>1623</v>
      </c>
      <c r="BP1" s="139" t="s">
        <v>1623</v>
      </c>
      <c r="BQ1" s="139" t="s">
        <v>1274</v>
      </c>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4434</v>
      </c>
      <c r="B2" s="551" t="s">
        <v>4144</v>
      </c>
      <c r="C2" s="542"/>
      <c r="D2" s="531" t="s">
        <v>4435</v>
      </c>
      <c r="E2" s="558" t="s">
        <v>4146</v>
      </c>
      <c r="F2" s="540"/>
      <c r="G2" s="90"/>
      <c r="H2" s="434"/>
      <c r="I2" s="434" t="s">
        <v>2527</v>
      </c>
      <c r="J2" s="302" t="s">
        <v>2531</v>
      </c>
      <c r="K2" s="303" t="s">
        <v>2540</v>
      </c>
      <c r="L2" s="446" t="s">
        <v>2581</v>
      </c>
      <c r="M2" s="446" t="s">
        <v>2584</v>
      </c>
      <c r="N2" s="171" t="s">
        <v>2587</v>
      </c>
      <c r="O2" s="171" t="s">
        <v>2589</v>
      </c>
      <c r="P2" s="171" t="s">
        <v>2591</v>
      </c>
      <c r="Q2" s="435" t="s">
        <v>2599</v>
      </c>
      <c r="R2" s="435" t="s">
        <v>2603</v>
      </c>
      <c r="S2" s="435" t="s">
        <v>2606</v>
      </c>
      <c r="T2" s="435" t="s">
        <v>2608</v>
      </c>
      <c r="U2" s="435" t="s">
        <v>2611</v>
      </c>
      <c r="V2" s="435" t="s">
        <v>2613</v>
      </c>
      <c r="W2" s="171" t="s">
        <v>2732</v>
      </c>
      <c r="X2" s="435" t="s">
        <v>2742</v>
      </c>
      <c r="Y2" s="435" t="s">
        <v>2754</v>
      </c>
      <c r="Z2" s="435" t="s">
        <v>2757</v>
      </c>
      <c r="AA2" s="435" t="s">
        <v>2759</v>
      </c>
      <c r="AB2" s="435" t="s">
        <v>2894</v>
      </c>
      <c r="AC2" s="171" t="s">
        <v>2918</v>
      </c>
      <c r="AD2" s="435" t="s">
        <v>3038</v>
      </c>
      <c r="AE2" s="435" t="s">
        <v>3053</v>
      </c>
      <c r="AF2" s="435" t="s">
        <v>3077</v>
      </c>
      <c r="AG2" s="171" t="s">
        <v>3139</v>
      </c>
      <c r="AH2" s="171" t="s">
        <v>3136</v>
      </c>
      <c r="AI2" s="171" t="s">
        <v>3141</v>
      </c>
      <c r="AJ2" s="171" t="s">
        <v>3143</v>
      </c>
      <c r="AK2" s="171" t="s">
        <v>3148</v>
      </c>
      <c r="AL2" s="443" t="s">
        <v>3151</v>
      </c>
      <c r="AM2" s="443" t="s">
        <v>3262</v>
      </c>
      <c r="AN2" s="140" t="s">
        <v>3313</v>
      </c>
      <c r="AO2" s="140" t="s">
        <v>3342</v>
      </c>
      <c r="AP2" s="140" t="s">
        <v>3359</v>
      </c>
      <c r="AQ2" s="443" t="s">
        <v>3382</v>
      </c>
      <c r="AR2" s="443" t="s">
        <v>3413</v>
      </c>
      <c r="AS2" s="443" t="s">
        <v>3421</v>
      </c>
      <c r="AT2" s="140" t="s">
        <v>3435</v>
      </c>
      <c r="AU2" s="443" t="s">
        <v>3440</v>
      </c>
      <c r="AV2" s="443" t="s">
        <v>3468</v>
      </c>
      <c r="AW2" s="443" t="s">
        <v>3481</v>
      </c>
      <c r="AX2" s="443" t="s">
        <v>3485</v>
      </c>
      <c r="AY2" s="443" t="s">
        <v>3495</v>
      </c>
      <c r="AZ2" s="443" t="s">
        <v>3518</v>
      </c>
      <c r="BA2" s="443" t="s">
        <v>3522</v>
      </c>
      <c r="BB2" s="443" t="s">
        <v>3575</v>
      </c>
      <c r="BC2" s="443" t="s">
        <v>3600</v>
      </c>
      <c r="BD2" s="140" t="s">
        <v>3611</v>
      </c>
      <c r="BE2" s="443" t="s">
        <v>3618</v>
      </c>
      <c r="BF2" s="443" t="s">
        <v>3648</v>
      </c>
      <c r="BG2" s="443" t="s">
        <v>3676</v>
      </c>
      <c r="BH2" s="443" t="s">
        <v>3688</v>
      </c>
      <c r="BI2" s="443" t="s">
        <v>3764</v>
      </c>
      <c r="BJ2" s="443" t="s">
        <v>3796</v>
      </c>
      <c r="BK2" s="443" t="s">
        <v>3852</v>
      </c>
      <c r="BL2" s="443" t="s">
        <v>3868</v>
      </c>
      <c r="BM2" s="443" t="s">
        <v>3937</v>
      </c>
      <c r="BN2" s="443" t="s">
        <v>3935</v>
      </c>
      <c r="BO2" s="443" t="s">
        <v>3947</v>
      </c>
      <c r="BP2" s="443" t="s">
        <v>3950</v>
      </c>
      <c r="BQ2" s="140" t="s">
        <v>4044</v>
      </c>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4217</v>
      </c>
      <c r="I3" s="40" t="s">
        <v>4218</v>
      </c>
      <c r="J3" s="40" t="s">
        <v>4219</v>
      </c>
      <c r="K3" s="40" t="s">
        <v>4220</v>
      </c>
      <c r="L3" s="40" t="s">
        <v>4221</v>
      </c>
      <c r="M3" s="40" t="s">
        <v>4222</v>
      </c>
      <c r="N3" s="40" t="s">
        <v>4223</v>
      </c>
      <c r="O3" s="40" t="s">
        <v>4224</v>
      </c>
      <c r="P3" s="40" t="s">
        <v>4225</v>
      </c>
      <c r="Q3" s="40" t="s">
        <v>4226</v>
      </c>
      <c r="R3" s="40" t="s">
        <v>4227</v>
      </c>
      <c r="S3" s="40" t="s">
        <v>4228</v>
      </c>
      <c r="T3" s="40" t="s">
        <v>4229</v>
      </c>
      <c r="U3" s="40" t="s">
        <v>4230</v>
      </c>
      <c r="V3" s="40" t="s">
        <v>4231</v>
      </c>
      <c r="W3" s="40" t="s">
        <v>4232</v>
      </c>
      <c r="X3" s="171" t="s">
        <v>4233</v>
      </c>
      <c r="Y3" s="171" t="s">
        <v>4234</v>
      </c>
      <c r="Z3" s="40" t="s">
        <v>4235</v>
      </c>
      <c r="AA3" s="40" t="s">
        <v>4236</v>
      </c>
      <c r="AB3" s="40" t="s">
        <v>4237</v>
      </c>
      <c r="AC3" s="40" t="s">
        <v>4238</v>
      </c>
      <c r="AD3" s="40" t="s">
        <v>4239</v>
      </c>
      <c r="AE3" s="40" t="s">
        <v>4240</v>
      </c>
      <c r="AF3" s="40" t="s">
        <v>4241</v>
      </c>
      <c r="AG3" s="40" t="s">
        <v>4242</v>
      </c>
      <c r="AH3" s="171" t="s">
        <v>4243</v>
      </c>
      <c r="AI3" s="39" t="s">
        <v>4244</v>
      </c>
      <c r="AJ3" s="171" t="s">
        <v>4245</v>
      </c>
      <c r="AK3" s="171" t="s">
        <v>4246</v>
      </c>
      <c r="AL3" s="151" t="s">
        <v>4247</v>
      </c>
      <c r="AM3" s="151" t="s">
        <v>4248</v>
      </c>
      <c r="AN3" s="140" t="s">
        <v>4249</v>
      </c>
      <c r="AO3" s="140" t="s">
        <v>4250</v>
      </c>
      <c r="AP3" s="140" t="s">
        <v>4251</v>
      </c>
      <c r="AQ3" s="140" t="s">
        <v>4252</v>
      </c>
      <c r="AR3" s="140" t="s">
        <v>4253</v>
      </c>
      <c r="AS3" s="140" t="s">
        <v>4254</v>
      </c>
      <c r="AT3" s="140" t="s">
        <v>4255</v>
      </c>
      <c r="AU3" s="140" t="s">
        <v>4256</v>
      </c>
      <c r="AV3" s="140" t="s">
        <v>4257</v>
      </c>
      <c r="AW3" s="140" t="s">
        <v>4258</v>
      </c>
      <c r="AX3" s="140" t="s">
        <v>4259</v>
      </c>
      <c r="AY3" s="140" t="s">
        <v>4328</v>
      </c>
      <c r="AZ3" s="140" t="s">
        <v>4260</v>
      </c>
      <c r="BA3" s="140" t="s">
        <v>4329</v>
      </c>
      <c r="BB3" s="140" t="s">
        <v>4261</v>
      </c>
      <c r="BC3" s="140" t="s">
        <v>4436</v>
      </c>
      <c r="BD3" s="140" t="s">
        <v>4262</v>
      </c>
      <c r="BE3" s="140" t="s">
        <v>4263</v>
      </c>
      <c r="BF3" s="140" t="s">
        <v>4264</v>
      </c>
      <c r="BG3" s="140" t="s">
        <v>4265</v>
      </c>
      <c r="BH3" s="140" t="s">
        <v>4266</v>
      </c>
      <c r="BI3" s="140" t="s">
        <v>4267</v>
      </c>
      <c r="BJ3" s="140" t="s">
        <v>4268</v>
      </c>
      <c r="BK3" s="140" t="s">
        <v>48</v>
      </c>
      <c r="BL3" s="140" t="s">
        <v>4269</v>
      </c>
      <c r="BM3" s="140" t="s">
        <v>41</v>
      </c>
      <c r="BN3" s="140" t="s">
        <v>46</v>
      </c>
      <c r="BO3" s="140" t="s">
        <v>4270</v>
      </c>
      <c r="BP3" s="140" t="s">
        <v>4271</v>
      </c>
      <c r="BQ3" s="140" t="s">
        <v>4272</v>
      </c>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c r="I4" s="331">
        <v>34806</v>
      </c>
      <c r="J4" s="331">
        <v>34920</v>
      </c>
      <c r="K4" s="331">
        <v>35038</v>
      </c>
      <c r="L4" s="331">
        <v>36026</v>
      </c>
      <c r="M4" s="331">
        <v>36059</v>
      </c>
      <c r="N4" s="331">
        <v>36175</v>
      </c>
      <c r="O4" s="331">
        <v>36175</v>
      </c>
      <c r="P4" s="331">
        <v>36215</v>
      </c>
      <c r="Q4" s="331">
        <v>36270</v>
      </c>
      <c r="R4" s="331">
        <v>36270</v>
      </c>
      <c r="S4" s="331">
        <v>36270</v>
      </c>
      <c r="T4" s="331">
        <v>36270</v>
      </c>
      <c r="U4" s="331">
        <v>36270</v>
      </c>
      <c r="V4" s="331">
        <v>36270</v>
      </c>
      <c r="W4" s="331">
        <v>36815</v>
      </c>
      <c r="X4" s="332">
        <v>36899</v>
      </c>
      <c r="Y4" s="332">
        <v>36956</v>
      </c>
      <c r="Z4" s="331">
        <v>36956</v>
      </c>
      <c r="AA4" s="331">
        <v>36956</v>
      </c>
      <c r="AB4" s="331">
        <v>37573</v>
      </c>
      <c r="AC4" s="331">
        <v>37797</v>
      </c>
      <c r="AD4" s="331">
        <v>38376</v>
      </c>
      <c r="AE4" s="331">
        <v>38446</v>
      </c>
      <c r="AF4" s="331">
        <v>38490</v>
      </c>
      <c r="AG4" s="331">
        <v>38642</v>
      </c>
      <c r="AH4" s="332">
        <v>38642</v>
      </c>
      <c r="AI4" s="331">
        <v>38642</v>
      </c>
      <c r="AJ4" s="332">
        <v>38642</v>
      </c>
      <c r="AK4" s="332">
        <v>38658</v>
      </c>
      <c r="AL4" s="333">
        <v>38658</v>
      </c>
      <c r="AM4" s="333">
        <v>38856</v>
      </c>
      <c r="AN4" s="334">
        <v>39167</v>
      </c>
      <c r="AO4" s="334">
        <v>39400</v>
      </c>
      <c r="AP4" s="334">
        <v>39783</v>
      </c>
      <c r="AQ4" s="334">
        <v>39874</v>
      </c>
      <c r="AR4" s="334">
        <v>40238</v>
      </c>
      <c r="AS4" s="334">
        <v>40336</v>
      </c>
      <c r="AT4" s="334">
        <v>40374</v>
      </c>
      <c r="AU4" s="334">
        <v>40438</v>
      </c>
      <c r="AV4" s="334">
        <v>40665</v>
      </c>
      <c r="AW4" s="334">
        <v>40869</v>
      </c>
      <c r="AX4" s="334">
        <v>40869</v>
      </c>
      <c r="AY4" s="334">
        <v>40886</v>
      </c>
      <c r="AZ4" s="334">
        <v>41015</v>
      </c>
      <c r="BA4" s="334">
        <v>41061</v>
      </c>
      <c r="BB4" s="334">
        <v>41592</v>
      </c>
      <c r="BC4" s="334">
        <v>41625</v>
      </c>
      <c r="BD4" s="334">
        <v>41766</v>
      </c>
      <c r="BE4" s="334">
        <v>41821</v>
      </c>
      <c r="BF4" s="334">
        <v>42068</v>
      </c>
      <c r="BG4" s="334">
        <v>42255</v>
      </c>
      <c r="BH4" s="334">
        <v>42313</v>
      </c>
      <c r="BI4" s="334">
        <v>43693</v>
      </c>
      <c r="BJ4" s="334">
        <v>44133</v>
      </c>
      <c r="BK4" s="334">
        <v>44491</v>
      </c>
      <c r="BL4" s="334">
        <v>45114</v>
      </c>
      <c r="BM4" s="334">
        <v>45771</v>
      </c>
      <c r="BN4" s="334">
        <v>45771</v>
      </c>
      <c r="BO4" s="334">
        <v>45908</v>
      </c>
      <c r="BP4" s="334">
        <v>45908</v>
      </c>
      <c r="BQ4" s="334">
        <v>46178</v>
      </c>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120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t="s">
        <v>973</v>
      </c>
      <c r="AZ5" s="140" t="s">
        <v>973</v>
      </c>
      <c r="BA5" s="140" t="s">
        <v>973</v>
      </c>
      <c r="BB5" s="140" t="s">
        <v>973</v>
      </c>
      <c r="BC5" s="140" t="s">
        <v>973</v>
      </c>
      <c r="BD5" s="140" t="s">
        <v>973</v>
      </c>
      <c r="BE5" s="140" t="s">
        <v>973</v>
      </c>
      <c r="BF5" s="140" t="s">
        <v>973</v>
      </c>
      <c r="BG5" s="140" t="s">
        <v>973</v>
      </c>
      <c r="BH5" s="140" t="s">
        <v>973</v>
      </c>
      <c r="BI5" s="140" t="s">
        <v>973</v>
      </c>
      <c r="BJ5" s="140" t="s">
        <v>973</v>
      </c>
      <c r="BK5" s="140" t="s">
        <v>973</v>
      </c>
      <c r="BL5" s="140" t="s">
        <v>973</v>
      </c>
      <c r="BM5" s="140" t="s">
        <v>973</v>
      </c>
      <c r="BN5" s="140" t="s">
        <v>973</v>
      </c>
      <c r="BO5" s="140" t="s">
        <v>973</v>
      </c>
      <c r="BP5" s="140" t="s">
        <v>973</v>
      </c>
      <c r="BQ5" s="140" t="s">
        <v>973</v>
      </c>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60">
        <v>120</v>
      </c>
      <c r="D6" s="554" t="s">
        <v>168</v>
      </c>
      <c r="E6" s="537">
        <f>SUBTOTAL(9,E9:E203)</f>
        <v>1</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RECHECK</v>
      </c>
      <c r="AX6" s="91" t="str">
        <f t="shared" si="1"/>
        <v>RECHECK</v>
      </c>
      <c r="AY6" s="91" t="str">
        <f t="shared" si="1"/>
        <v/>
      </c>
      <c r="AZ6" s="91" t="str">
        <f t="shared" si="1"/>
        <v/>
      </c>
      <c r="BA6" s="91" t="str">
        <f t="shared" si="1"/>
        <v/>
      </c>
      <c r="BB6" s="91" t="str">
        <f t="shared" si="1"/>
        <v/>
      </c>
      <c r="BC6" s="91" t="str">
        <f t="shared" si="1"/>
        <v/>
      </c>
      <c r="BD6" s="91" t="str">
        <f t="shared" si="1"/>
        <v/>
      </c>
      <c r="BE6" s="91" t="str">
        <f t="shared" si="1"/>
        <v>RECHECK</v>
      </c>
      <c r="BF6" s="91" t="str">
        <f t="shared" si="1"/>
        <v>RECHECK</v>
      </c>
      <c r="BG6" s="91" t="str">
        <f t="shared" si="1"/>
        <v/>
      </c>
      <c r="BH6" s="91" t="str">
        <f t="shared" si="1"/>
        <v/>
      </c>
      <c r="BI6" s="91" t="str">
        <f t="shared" si="1"/>
        <v/>
      </c>
      <c r="BJ6" s="91" t="str">
        <f t="shared" si="1"/>
        <v>RECHECK</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0.5</v>
      </c>
      <c r="AX7" s="559">
        <f t="shared" si="8"/>
        <v>0.5</v>
      </c>
      <c r="AY7" s="559">
        <f t="shared" si="8"/>
        <v>0</v>
      </c>
      <c r="AZ7" s="559">
        <f t="shared" si="8"/>
        <v>0</v>
      </c>
      <c r="BA7" s="559">
        <f t="shared" si="8"/>
        <v>0</v>
      </c>
      <c r="BB7" s="559">
        <f t="shared" si="8"/>
        <v>0</v>
      </c>
      <c r="BC7" s="559">
        <f t="shared" si="8"/>
        <v>0</v>
      </c>
      <c r="BD7" s="559">
        <f t="shared" si="8"/>
        <v>0</v>
      </c>
      <c r="BE7" s="559">
        <f t="shared" si="8"/>
        <v>-1</v>
      </c>
      <c r="BF7" s="559">
        <f t="shared" si="8"/>
        <v>0.5</v>
      </c>
      <c r="BG7" s="559">
        <f t="shared" si="8"/>
        <v>0</v>
      </c>
      <c r="BH7" s="559">
        <f t="shared" si="8"/>
        <v>0</v>
      </c>
      <c r="BI7" s="559">
        <f t="shared" si="8"/>
        <v>0</v>
      </c>
      <c r="BJ7" s="559">
        <f t="shared" si="8"/>
        <v>0.5</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v>1</v>
      </c>
      <c r="AH9" s="70">
        <v>1</v>
      </c>
      <c r="AI9" s="143">
        <v>1</v>
      </c>
      <c r="AJ9" s="70">
        <v>1</v>
      </c>
      <c r="AK9" s="143">
        <v>1</v>
      </c>
      <c r="AL9" s="70">
        <v>1</v>
      </c>
      <c r="AM9" s="70">
        <v>1</v>
      </c>
      <c r="AN9" s="70">
        <v>1</v>
      </c>
      <c r="AO9" s="70">
        <v>1</v>
      </c>
      <c r="AP9" s="70">
        <v>1</v>
      </c>
      <c r="AQ9" s="70">
        <v>1</v>
      </c>
      <c r="AR9" s="70">
        <v>1</v>
      </c>
      <c r="AS9" s="70">
        <v>1</v>
      </c>
      <c r="AT9" s="70">
        <v>1</v>
      </c>
      <c r="AU9" s="70">
        <v>1</v>
      </c>
      <c r="AV9" s="70">
        <v>1</v>
      </c>
      <c r="AW9" s="70">
        <v>1</v>
      </c>
      <c r="AX9" s="70">
        <v>1</v>
      </c>
      <c r="AY9" s="70">
        <v>1</v>
      </c>
      <c r="AZ9" s="70">
        <v>1</v>
      </c>
      <c r="BA9" s="70">
        <v>1</v>
      </c>
      <c r="BB9" s="70">
        <v>1</v>
      </c>
      <c r="BC9" s="70">
        <v>1</v>
      </c>
      <c r="BD9" s="70">
        <v>1</v>
      </c>
      <c r="BE9" s="70">
        <v>1</v>
      </c>
      <c r="BF9" s="70">
        <v>1</v>
      </c>
      <c r="BG9" s="70">
        <v>1</v>
      </c>
      <c r="BH9" s="341">
        <v>1</v>
      </c>
      <c r="BI9" s="341">
        <v>1</v>
      </c>
      <c r="BJ9" s="341">
        <v>1</v>
      </c>
      <c r="BK9" s="341">
        <v>1</v>
      </c>
      <c r="BL9" s="341">
        <v>1</v>
      </c>
      <c r="BM9" s="341">
        <v>1</v>
      </c>
      <c r="BN9" s="341">
        <v>1</v>
      </c>
      <c r="BO9" s="341">
        <v>1</v>
      </c>
      <c r="BP9" s="341">
        <v>1</v>
      </c>
      <c r="BQ9" s="341">
        <v>1</v>
      </c>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IFERROR(IF(AND($E10&gt;0,$D10&lt;&gt;"The Public"),$E10/SUMIFS($E$10:$E$90,$E$10:$E$90,"&gt;0",$D$10:$D$90,"&lt;&gt;The Public")*$D$5,""),"")</f>
        <v/>
      </c>
      <c r="D10" s="344" t="s">
        <v>983</v>
      </c>
      <c r="E10" s="101">
        <f t="array" ref="E10">SUMPRODUCT(H$9:BQ$9,IF(ISNUMBER(H10:BQ10),H10:BQ10,0))</f>
        <v>0</v>
      </c>
      <c r="F10" s="64"/>
      <c r="G10" s="175"/>
      <c r="H10" s="175"/>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t="str">
        <f t="shared" si="13"/>
        <v/>
      </c>
      <c r="D11" s="147" t="s">
        <v>4273</v>
      </c>
      <c r="E11" s="101">
        <f t="array" ref="E11">SUMPRODUCT(H$9:BQ$9,IF(ISNUMBER(H11:BQ11),H11:BQ11,0))</f>
        <v>0</v>
      </c>
      <c r="F11" s="64"/>
      <c r="G11" s="175"/>
      <c r="H11" s="175"/>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4274</v>
      </c>
      <c r="E12" s="101">
        <f t="array" ref="E12">SUMPRODUCT(H$9:BQ$9,IF(ISNUMBER(H12:BQ12),H12:BQ12,0))</f>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45"/>
      <c r="B13" s="339"/>
      <c r="C13" s="420" t="str">
        <f t="shared" si="13"/>
        <v/>
      </c>
      <c r="D13" s="147" t="s">
        <v>433</v>
      </c>
      <c r="E13" s="101">
        <f t="array" ref="E13">SUMPRODUCT(H$9:BQ$9,IF(ISNUMBER(H13:BQ13),H13:BQ13,0))</f>
        <v>-1</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438">
        <v>-1</v>
      </c>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95"/>
      <c r="B14" s="95"/>
      <c r="C14" s="420">
        <f t="shared" si="13"/>
        <v>9.2307692307692317</v>
      </c>
      <c r="D14" s="147" t="s">
        <v>4275</v>
      </c>
      <c r="E14" s="101">
        <f t="array" ref="E14">SUMPRODUCT(H$9:BQ$9,IF(ISNUMBER(H14:BQ14),H14:BQ14,0))</f>
        <v>1</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433">
        <v>1</v>
      </c>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67"/>
      <c r="B15" s="66"/>
      <c r="C15" s="420" t="str">
        <f t="shared" si="13"/>
        <v/>
      </c>
      <c r="D15" s="147" t="s">
        <v>4437</v>
      </c>
      <c r="E15" s="101">
        <f t="array" ref="E15">SUMPRODUCT(H$9:BQ$9,IF(ISNUMBER(H15:BQ15),H15:BQ15,0))</f>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2533</v>
      </c>
      <c r="E16" s="101">
        <f t="array" ref="E16">SUMPRODUCT(H$9:BQ$9,IF(ISNUMBER(H16:BQ16),H16:BQ16,0))</f>
        <v>-1</v>
      </c>
      <c r="F16" s="64"/>
      <c r="G16" s="173"/>
      <c r="H16" s="173"/>
      <c r="I16" s="173"/>
      <c r="J16" s="437">
        <v>-1</v>
      </c>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67"/>
      <c r="B17" s="68"/>
      <c r="C17" s="420" t="str">
        <f t="shared" si="13"/>
        <v/>
      </c>
      <c r="D17" s="148" t="s">
        <v>525</v>
      </c>
      <c r="E17" s="101">
        <f t="array" ref="E17">SUMPRODUCT(H$9:BQ$9,IF(ISNUMBER(H17:BQ17),H17:BQ17,0))</f>
        <v>-1</v>
      </c>
      <c r="F17" s="64"/>
      <c r="G17" s="173"/>
      <c r="H17" s="173"/>
      <c r="I17" s="173"/>
      <c r="J17" s="437">
        <v>1</v>
      </c>
      <c r="K17" s="173"/>
      <c r="L17" s="173"/>
      <c r="M17" s="173"/>
      <c r="N17" s="175"/>
      <c r="O17" s="181"/>
      <c r="P17" s="437">
        <v>-1</v>
      </c>
      <c r="Q17" s="173"/>
      <c r="R17" s="173"/>
      <c r="S17" s="173"/>
      <c r="T17" s="173"/>
      <c r="U17" s="173"/>
      <c r="V17" s="173"/>
      <c r="W17" s="437">
        <v>-1</v>
      </c>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2542</v>
      </c>
      <c r="E18" s="101">
        <f t="array" ref="E18">SUMPRODUCT(H$9:BQ$9,IF(ISNUMBER(H18:BQ18),H18:BQ18,0))</f>
        <v>-1</v>
      </c>
      <c r="F18" s="64"/>
      <c r="G18" s="173"/>
      <c r="H18" s="173"/>
      <c r="I18" s="173"/>
      <c r="J18" s="173"/>
      <c r="K18" s="437">
        <v>-1</v>
      </c>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1110</v>
      </c>
      <c r="E19" s="101">
        <f t="array" ref="E19">SUMPRODUCT(H$9:BQ$9,IF(ISNUMBER(H19:BQ19),H19:BQ19,0))</f>
        <v>4</v>
      </c>
      <c r="F19" s="64"/>
      <c r="G19" s="173"/>
      <c r="H19" s="173"/>
      <c r="I19" s="173"/>
      <c r="J19" s="173"/>
      <c r="K19" s="437">
        <v>1</v>
      </c>
      <c r="L19" s="173"/>
      <c r="M19" s="173"/>
      <c r="N19" s="175"/>
      <c r="O19" s="181"/>
      <c r="P19" s="437">
        <v>1</v>
      </c>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438">
        <v>1</v>
      </c>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438">
        <v>1</v>
      </c>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t="str">
        <f t="shared" si="13"/>
        <v/>
      </c>
      <c r="D20" s="147" t="s">
        <v>4277</v>
      </c>
      <c r="E20" s="101">
        <f t="array" ref="E20">SUMPRODUCT(H$9:BQ$9,IF(ISNUMBER(H20:BQ20),H20:BQ20,0))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3289</v>
      </c>
      <c r="E21" s="101">
        <f t="array" ref="E21">SUMPRODUCT(H$9:BQ$9,IF(ISNUMBER(H21:BQ21),H21:BQ21,0))</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t="str">
        <f t="shared" si="13"/>
        <v/>
      </c>
      <c r="D22" s="38" t="s">
        <v>2583</v>
      </c>
      <c r="E22" s="101">
        <f t="array" ref="E22">SUMPRODUCT(H$9:BQ$9,IF(ISNUMBER(H22:BQ22),H22:BQ22,0))</f>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509</v>
      </c>
      <c r="E23" s="101">
        <f t="array" ref="E23">SUMPRODUCT(H$9:BQ$9,IF(ISNUMBER(H23:BQ23),H23:BQ23,0))</f>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2586</v>
      </c>
      <c r="E24" s="101">
        <f t="array" ref="E24">SUMPRODUCT(H$9:BQ$9,IF(ISNUMBER(H24:BQ24),H24:BQ24,0))</f>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2115</v>
      </c>
      <c r="E25" s="101">
        <f t="array" ref="E25">SUMPRODUCT(H$9:BQ$9,IF(ISNUMBER(H25:BQ25),H25:BQ25,0))</f>
        <v>-2</v>
      </c>
      <c r="F25" s="64"/>
      <c r="G25" s="173"/>
      <c r="H25" s="173"/>
      <c r="I25" s="173"/>
      <c r="J25" s="173"/>
      <c r="K25" s="173"/>
      <c r="L25" s="173"/>
      <c r="M25" s="173"/>
      <c r="N25" s="437">
        <v>-1</v>
      </c>
      <c r="O25" s="437">
        <v>-1</v>
      </c>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18.461538461538463</v>
      </c>
      <c r="D26" s="148" t="s">
        <v>288</v>
      </c>
      <c r="E26" s="101">
        <f t="array" ref="E26">SUMPRODUCT(H$9:BQ$9,IF(ISNUMBER(H26:BQ26),H26:BQ26,0))</f>
        <v>2</v>
      </c>
      <c r="F26" s="64"/>
      <c r="G26" s="173"/>
      <c r="H26" s="173"/>
      <c r="I26" s="173"/>
      <c r="J26" s="173"/>
      <c r="K26" s="173"/>
      <c r="L26" s="173"/>
      <c r="M26" s="173"/>
      <c r="N26" s="437">
        <v>1</v>
      </c>
      <c r="O26" s="437">
        <v>1</v>
      </c>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4278</v>
      </c>
      <c r="E27" s="101">
        <f t="array" ref="E27">SUMPRODUCT(H$9:BQ$9,IF(ISNUMBER(H27:BQ27),H27:BQ27,0))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4279</v>
      </c>
      <c r="E28" s="101">
        <f t="array" ref="E28">SUMPRODUCT(H$9:BQ$9,IF(ISNUMBER(H28:BQ28),H28:BQ28,0))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4438</v>
      </c>
      <c r="E29" s="101">
        <f t="array" ref="E29">SUMPRODUCT(H$9:BQ$9,IF(ISNUMBER(H29:BQ29),H29:BQ29,0))</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t="str">
        <f t="shared" si="13"/>
        <v/>
      </c>
      <c r="D30" s="147" t="s">
        <v>270</v>
      </c>
      <c r="E30" s="101">
        <f t="array" ref="E30">SUMPRODUCT(H$9:BQ$9,IF(ISNUMBER(H30:BQ30),H30:BQ30,0))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4281</v>
      </c>
      <c r="E31" s="101">
        <f t="array" ref="E31">SUMPRODUCT(H$9:BQ$9,IF(ISNUMBER(H31:BQ31),H31:BQ31,0))</f>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4282</v>
      </c>
      <c r="E32" s="101">
        <f t="array" ref="E32">SUMPRODUCT(H$9:BQ$9,IF(ISNUMBER(H32:BQ32),H32:BQ32,0))</f>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t="str">
        <f t="shared" si="13"/>
        <v/>
      </c>
      <c r="D33" s="147" t="s">
        <v>527</v>
      </c>
      <c r="E33" s="101">
        <f t="array" ref="E33">SUMPRODUCT(H$9:BQ$9,IF(ISNUMBER(H33:BQ33),H33:BQ33,0))</f>
        <v>0</v>
      </c>
      <c r="F33" s="64"/>
      <c r="G33" s="173"/>
      <c r="H33" s="173"/>
      <c r="I33" s="173"/>
      <c r="J33" s="173"/>
      <c r="K33" s="173"/>
      <c r="L33" s="173"/>
      <c r="M33" s="173"/>
      <c r="N33" s="173"/>
      <c r="O33" s="173"/>
      <c r="P33" s="173"/>
      <c r="Q33" s="173"/>
      <c r="R33" s="173"/>
      <c r="S33" s="173"/>
      <c r="T33" s="181"/>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2610</v>
      </c>
      <c r="E34" s="101">
        <f t="array" ref="E34">SUMPRODUCT(H$9:BQ$9,IF(ISNUMBER(H34:BQ34),H34:BQ34,0))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499</v>
      </c>
      <c r="E35" s="101">
        <f t="array" ref="E35">SUMPRODUCT(H$9:BQ$9,IF(ISNUMBER(H35:BQ35),H35:BQ35,0))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t="str">
        <f t="shared" si="13"/>
        <v/>
      </c>
      <c r="D36" s="147" t="s">
        <v>495</v>
      </c>
      <c r="E36" s="101">
        <f t="array" ref="E36">SUMPRODUCT(H$9:BQ$9,IF(ISNUMBER(H36:BQ36),H36:BQ36,0))</f>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2734</v>
      </c>
      <c r="E37" s="101">
        <f t="array" ref="E37">SUMPRODUCT(H$9:BQ$9,IF(ISNUMBER(H37:BQ37),H37:BQ37,0))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f t="shared" si="13"/>
        <v>9.2307692307692317</v>
      </c>
      <c r="D38" s="38" t="s">
        <v>2661</v>
      </c>
      <c r="E38" s="101">
        <f t="array" ref="E38">SUMPRODUCT(H$9:BQ$9,IF(ISNUMBER(H38:BQ38),H38:BQ38,0))</f>
        <v>1</v>
      </c>
      <c r="F38" s="64"/>
      <c r="G38" s="173"/>
      <c r="H38" s="173"/>
      <c r="I38" s="173"/>
      <c r="J38" s="173"/>
      <c r="K38" s="173"/>
      <c r="L38" s="173"/>
      <c r="M38" s="173"/>
      <c r="N38" s="173"/>
      <c r="O38" s="181"/>
      <c r="P38" s="173"/>
      <c r="Q38" s="173"/>
      <c r="R38" s="173"/>
      <c r="S38" s="173"/>
      <c r="T38" s="173"/>
      <c r="U38" s="173"/>
      <c r="V38" s="175"/>
      <c r="W38" s="437">
        <v>1</v>
      </c>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1615</v>
      </c>
      <c r="E39" s="101">
        <f t="array" ref="E39">SUMPRODUCT(H$9:BQ$9,IF(ISNUMBER(H39:BQ39),H39:BQ39,0))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622</v>
      </c>
      <c r="E40" s="101">
        <f t="array" ref="E40">SUMPRODUCT(H$9:BQ$9,IF(ISNUMBER(H40:BQ40),H40:BQ40,0))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626</v>
      </c>
      <c r="E41" s="101">
        <f t="array" ref="E41">SUMPRODUCT(H$9:BQ$9,IF(ISNUMBER(H41:BQ41),H41:BQ41,0))</f>
        <v>-1</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432">
        <v>-1</v>
      </c>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73" si="14">IFERROR(IF(AND($E42&gt;0,$D42&lt;&gt;"The Public"),$E42/SUMIFS($E$10:$E$90,$E$10:$E$90,"&gt;0",$D$10:$D$90,"&lt;&gt;The Public")*$D$5,""),"")</f>
        <v/>
      </c>
      <c r="D42" s="37" t="s">
        <v>4192</v>
      </c>
      <c r="E42" s="101">
        <f t="array" ref="E42">SUMPRODUCT(H$9:BQ$9,IF(ISNUMBER(H42:BQ42),H42:BQ42,0))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397</v>
      </c>
      <c r="E43" s="101">
        <f t="array" ref="E43">SUMPRODUCT(H$9:BQ$9,IF(ISNUMBER(H43:BQ43),H43:BQ43,0))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4283</v>
      </c>
      <c r="E44" s="101">
        <f t="array" ref="E44">SUMPRODUCT(H$9:BQ$9,IF(ISNUMBER(H44:BQ44),H44:BQ44,0))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4439</v>
      </c>
      <c r="E45" s="101">
        <f t="array" ref="E45">SUMPRODUCT(H$9:BQ$9,IF(ISNUMBER(H45:BQ45),H45:BQ45,0))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4284</v>
      </c>
      <c r="E46" s="101">
        <f t="array" ref="E46">SUMPRODUCT(H$9:BQ$9,IF(ISNUMBER(H46:BQ46),H46:BQ46,0))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4285</v>
      </c>
      <c r="E47" s="101">
        <f t="array" ref="E47">SUMPRODUCT(H$9:BQ$9,IF(ISNUMBER(H47:BQ47),H47:BQ47,0))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1941</v>
      </c>
      <c r="E48" s="101">
        <f t="array" ref="E48">SUMPRODUCT(H$9:BQ$9,IF(ISNUMBER(H48:BQ48),H48:BQ48,0))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654</v>
      </c>
      <c r="E49" s="101">
        <f t="array" ref="E49">SUMPRODUCT(H$9:BQ$9,IF(ISNUMBER(H49:BQ49),H49:BQ49,0))</f>
        <v>-1</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432">
        <v>-1</v>
      </c>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4287</v>
      </c>
      <c r="E50" s="101">
        <f t="array" ref="E50">SUMPRODUCT(H$9:BQ$9,IF(ISNUMBER(H50:BQ50),H50:BQ50,0))</f>
        <v>-1</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440">
        <v>-1</v>
      </c>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202</v>
      </c>
      <c r="E51" s="101">
        <f t="array" ref="E51">SUMPRODUCT(H$9:BQ$9,IF(ISNUMBER(H51:BQ51),H51:BQ51,0))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2920</v>
      </c>
      <c r="E52" s="101">
        <f t="array" ref="E52">SUMPRODUCT(H$9:BQ$9,IF(ISNUMBER(H52:BQ52),H52:BQ52,0))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4288</v>
      </c>
      <c r="E53" s="101">
        <f t="array" ref="E53">SUMPRODUCT(H$9:BQ$9,IF(ISNUMBER(H53:BQ53),H53:BQ53,0))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4289</v>
      </c>
      <c r="E54" s="101">
        <f t="array" ref="E54">SUMPRODUCT(H$9:BQ$9,IF(ISNUMBER(H54:BQ54),H54:BQ54,0))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3041</v>
      </c>
      <c r="E55" s="101">
        <f t="array" ref="E55">SUMPRODUCT(H$9:BQ$9,IF(ISNUMBER(H55:BQ55),H55:BQ55,0))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3055</v>
      </c>
      <c r="E56" s="101">
        <f t="array" ref="E56">SUMPRODUCT(H$9:BQ$9,IF(ISNUMBER(H56:BQ56),H56:BQ56,0))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3056</v>
      </c>
      <c r="E57" s="101">
        <f t="array" ref="E57">SUMPRODUCT(H$9:BQ$9,IF(ISNUMBER(H57:BQ57),H57:BQ57,0))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3079</v>
      </c>
      <c r="E58" s="101">
        <f t="array" ref="E58">SUMPRODUCT(H$9:BQ$9,IF(ISNUMBER(H58:BQ58),H58:BQ58,0))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301</v>
      </c>
      <c r="E59" s="101">
        <f t="array" ref="E59">SUMPRODUCT(H$9:BQ$9,IF(ISNUMBER(H59:BQ59),H59:BQ59,0))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4290</v>
      </c>
      <c r="E60" s="101">
        <f t="array" ref="E60">SUMPRODUCT(H$9:BQ$9,IF(ISNUMBER(H60:BQ60),H60:BQ60,0))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695</v>
      </c>
      <c r="E61" s="101">
        <f t="array" ref="E61">SUMPRODUCT(H$9:BQ$9,IF(ISNUMBER(H61:BQ61),H61:BQ61,0))</f>
        <v>-1</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439">
        <v>-1</v>
      </c>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f t="shared" si="14"/>
        <v>46.153846153846153</v>
      </c>
      <c r="D62" s="37" t="s">
        <v>3138</v>
      </c>
      <c r="E62" s="101">
        <f t="array" ref="E62">SUMPRODUCT(H$9:BQ$9,IF(ISNUMBER(H62:BQ62),H62:BQ62,0))</f>
        <v>5</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439">
        <v>1</v>
      </c>
      <c r="AH62" s="438">
        <v>1</v>
      </c>
      <c r="AI62" s="439">
        <v>1</v>
      </c>
      <c r="AJ62" s="438">
        <v>1</v>
      </c>
      <c r="AK62" s="175"/>
      <c r="AL62" s="57"/>
      <c r="AM62" s="57"/>
      <c r="AN62" s="56"/>
      <c r="AO62" s="56"/>
      <c r="AP62" s="56"/>
      <c r="AQ62" s="56"/>
      <c r="AR62" s="56"/>
      <c r="AS62" s="56"/>
      <c r="AT62" s="440">
        <v>1</v>
      </c>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278</v>
      </c>
      <c r="E63" s="101">
        <f t="array" ref="E63">SUMPRODUCT(H$9:BQ$9,IF(ISNUMBER(H63:BQ63),H63:BQ63,0))</f>
        <v>-1</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438">
        <v>-1</v>
      </c>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620</v>
      </c>
      <c r="E64" s="101">
        <f t="array" ref="E64">SUMPRODUCT(H$9:BQ$9,IF(ISNUMBER(H64:BQ64),H64:BQ64,0))</f>
        <v>-3</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439">
        <v>-1</v>
      </c>
      <c r="AJ64" s="438">
        <v>-1</v>
      </c>
      <c r="AK64" s="175"/>
      <c r="AL64" s="57"/>
      <c r="AM64" s="57"/>
      <c r="AN64" s="56"/>
      <c r="AO64" s="56"/>
      <c r="AP64" s="56"/>
      <c r="AQ64" s="56"/>
      <c r="AR64" s="56"/>
      <c r="AS64" s="56"/>
      <c r="AT64" s="440">
        <v>-1</v>
      </c>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f t="shared" si="14"/>
        <v>9.2307692307692317</v>
      </c>
      <c r="D65" s="37" t="s">
        <v>3150</v>
      </c>
      <c r="E65" s="101">
        <f t="array" ref="E65">SUMPRODUCT(H$9:BQ$9,IF(ISNUMBER(H65:BQ65),H65:BQ65,0))</f>
        <v>1</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432">
        <v>1</v>
      </c>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A66" s="67"/>
      <c r="B66" s="66"/>
      <c r="C66" s="420" t="str">
        <f t="shared" si="14"/>
        <v/>
      </c>
      <c r="D66" s="37" t="s">
        <v>4291</v>
      </c>
      <c r="E66" s="101">
        <f t="array" ref="E66">SUMPRODUCT(H$9:BQ$9,IF(ISNUMBER(H66:BQ66),H66:BQ66,0))</f>
        <v>0</v>
      </c>
      <c r="F66" s="56"/>
      <c r="G66" s="56"/>
      <c r="H66" s="57"/>
      <c r="I66" s="57"/>
      <c r="J66" s="57"/>
      <c r="K66" s="56"/>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row>
    <row r="67" spans="1:176" x14ac:dyDescent="0.25">
      <c r="A67" s="67"/>
      <c r="B67" s="66"/>
      <c r="C67" s="420" t="str">
        <f t="shared" si="14"/>
        <v/>
      </c>
      <c r="D67" s="38" t="s">
        <v>4292</v>
      </c>
      <c r="E67" s="101">
        <f t="array" ref="E67">SUMPRODUCT(H$9:BQ$9,IF(ISNUMBER(H67:BQ67),H67:BQ67,0))</f>
        <v>0</v>
      </c>
      <c r="F67" s="56"/>
      <c r="G67" s="56"/>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row>
    <row r="68" spans="1:176" x14ac:dyDescent="0.25">
      <c r="A68" s="67"/>
      <c r="B68" s="66"/>
      <c r="C68" s="420" t="str">
        <f t="shared" si="14"/>
        <v/>
      </c>
      <c r="D68" s="38" t="s">
        <v>4293</v>
      </c>
      <c r="E68" s="101">
        <f t="array" ref="E68">SUMPRODUCT(H$9:BQ$9,IF(ISNUMBER(H68:BQ68),H68:BQ68,0))</f>
        <v>0</v>
      </c>
      <c r="F68" s="56"/>
      <c r="G68" s="56"/>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row>
    <row r="69" spans="1:176" x14ac:dyDescent="0.25">
      <c r="A69" s="67"/>
      <c r="B69" s="66"/>
      <c r="C69" s="420" t="str">
        <f t="shared" si="14"/>
        <v/>
      </c>
      <c r="D69" s="38" t="s">
        <v>4440</v>
      </c>
      <c r="E69" s="101">
        <f t="array" ref="E69">SUMPRODUCT(H$9:BQ$9,IF(ISNUMBER(H69:BQ69),H69:BQ69,0))</f>
        <v>0</v>
      </c>
      <c r="F69" s="56"/>
      <c r="G69" s="56"/>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row>
    <row r="70" spans="1:176" x14ac:dyDescent="0.25">
      <c r="A70" s="67"/>
      <c r="B70" s="66"/>
      <c r="C70" s="420" t="str">
        <f t="shared" si="14"/>
        <v/>
      </c>
      <c r="D70" s="104" t="s">
        <v>3315</v>
      </c>
      <c r="E70" s="101">
        <f t="array" ref="E70">SUMPRODUCT(H$9:BQ$9,IF(ISNUMBER(H70:BQ70),H70:BQ70,0))</f>
        <v>-1</v>
      </c>
      <c r="F70" s="56"/>
      <c r="G70" s="56"/>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c r="AN70" s="440">
        <v>-1</v>
      </c>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row>
    <row r="71" spans="1:176" x14ac:dyDescent="0.25">
      <c r="A71" s="67"/>
      <c r="B71" s="66"/>
      <c r="C71" s="420">
        <f t="shared" si="14"/>
        <v>9.2307692307692317</v>
      </c>
      <c r="D71" s="93" t="s">
        <v>944</v>
      </c>
      <c r="E71" s="101">
        <f t="array" ref="E71">SUMPRODUCT(H$9:BQ$9,IF(ISNUMBER(H71:BQ71),H71:BQ71,0))</f>
        <v>1</v>
      </c>
      <c r="F71" s="56"/>
      <c r="G71" s="56"/>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c r="AN71" s="440">
        <v>1</v>
      </c>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row>
    <row r="72" spans="1:176" x14ac:dyDescent="0.25">
      <c r="A72" s="67"/>
      <c r="B72" s="66"/>
      <c r="C72" s="420" t="str">
        <f t="shared" si="14"/>
        <v/>
      </c>
      <c r="D72" s="93" t="s">
        <v>3361</v>
      </c>
      <c r="E72" s="101">
        <f t="array" ref="E72">SUMPRODUCT(H$9:BQ$9,IF(ISNUMBER(H72:BQ72),H72:BQ72,0))</f>
        <v>-1</v>
      </c>
      <c r="F72" s="56"/>
      <c r="G72" s="56"/>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c r="AN72" s="56"/>
      <c r="AO72" s="56"/>
      <c r="AP72" s="440">
        <v>-1</v>
      </c>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c r="EB72" s="56"/>
      <c r="EC72" s="56"/>
      <c r="ED72" s="56"/>
      <c r="EE72" s="56"/>
      <c r="EF72" s="56"/>
      <c r="EG72" s="56"/>
      <c r="EH72" s="56"/>
      <c r="EI72" s="56"/>
      <c r="EJ72" s="56"/>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c r="FS72" s="56"/>
      <c r="FT72" s="56"/>
    </row>
    <row r="73" spans="1:176" x14ac:dyDescent="0.25">
      <c r="A73" s="67"/>
      <c r="B73" s="66"/>
      <c r="C73" s="420">
        <f t="shared" si="14"/>
        <v>9.2307692307692317</v>
      </c>
      <c r="D73" s="93" t="s">
        <v>3362</v>
      </c>
      <c r="E73" s="101">
        <f t="array" ref="E73">SUMPRODUCT(H$9:BQ$9,IF(ISNUMBER(H73:BQ73),H73:BQ73,0))</f>
        <v>1</v>
      </c>
      <c r="F73" s="56"/>
      <c r="G73" s="56"/>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c r="AN73" s="56"/>
      <c r="AO73" s="56"/>
      <c r="AP73" s="440">
        <v>1</v>
      </c>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row>
    <row r="74" spans="1:176" x14ac:dyDescent="0.25">
      <c r="A74" s="67"/>
      <c r="B74" s="66"/>
      <c r="C74" s="420">
        <f t="shared" ref="C74:C90" si="15">IFERROR(IF(AND($E74&gt;0,$D74&lt;&gt;"The Public"),$E74/SUMIFS($E$10:$E$90,$E$10:$E$90,"&gt;0",$D$10:$D$90,"&lt;&gt;The Public")*$D$5,""),"")</f>
        <v>9.2307692307692317</v>
      </c>
      <c r="D74" s="93" t="s">
        <v>490</v>
      </c>
      <c r="E74" s="101">
        <f t="array" ref="E74">SUMPRODUCT(H$9:BQ$9,IF(ISNUMBER(H74:BQ74),H74:BQ74,0))</f>
        <v>1</v>
      </c>
      <c r="F74" s="56"/>
      <c r="G74" s="56"/>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75"/>
      <c r="AL74" s="57"/>
      <c r="AM74" s="57"/>
      <c r="AN74" s="56"/>
      <c r="AO74" s="56"/>
      <c r="AP74" s="56"/>
      <c r="AQ74" s="56"/>
      <c r="AR74" s="56"/>
      <c r="AS74" s="56"/>
      <c r="AT74" s="56"/>
      <c r="AU74" s="56"/>
      <c r="AV74" s="56"/>
      <c r="AW74" s="56"/>
      <c r="AX74" s="56"/>
      <c r="AY74" s="56"/>
      <c r="AZ74" s="56"/>
      <c r="BA74" s="56"/>
      <c r="BB74" s="56"/>
      <c r="BC74" s="56"/>
      <c r="BD74" s="440">
        <v>1</v>
      </c>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row>
    <row r="75" spans="1:176" x14ac:dyDescent="0.25">
      <c r="A75" s="67"/>
      <c r="B75" s="66"/>
      <c r="C75" s="420" t="str">
        <f t="shared" si="15"/>
        <v/>
      </c>
      <c r="D75" s="93" t="s">
        <v>4295</v>
      </c>
      <c r="E75" s="101">
        <f t="array" ref="E75">SUMPRODUCT(H$9:BQ$9,IF(ISNUMBER(H75:BQ75),H75:BQ75,0))</f>
        <v>0</v>
      </c>
      <c r="F75" s="56"/>
      <c r="G75" s="56"/>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row>
    <row r="76" spans="1:176" x14ac:dyDescent="0.25">
      <c r="A76" s="67"/>
      <c r="B76" s="66"/>
      <c r="C76" s="420" t="str">
        <f t="shared" si="15"/>
        <v/>
      </c>
      <c r="D76" s="93" t="s">
        <v>3385</v>
      </c>
      <c r="E76" s="101">
        <f t="array" ref="E76">SUMPRODUCT(H$9:BQ$9,IF(ISNUMBER(H76:BQ76),H76:BQ76,0))</f>
        <v>-1</v>
      </c>
      <c r="F76" s="56"/>
      <c r="G76" s="56"/>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56"/>
      <c r="AO76" s="56"/>
      <c r="AP76" s="56"/>
      <c r="AQ76" s="56"/>
      <c r="AR76" s="56"/>
      <c r="AS76" s="56"/>
      <c r="AT76" s="56"/>
      <c r="AU76" s="56"/>
      <c r="AV76" s="56"/>
      <c r="AW76" s="56"/>
      <c r="AX76" s="56"/>
      <c r="AY76" s="56"/>
      <c r="AZ76" s="56"/>
      <c r="BA76" s="56"/>
      <c r="BB76" s="56"/>
      <c r="BC76" s="56"/>
      <c r="BD76" s="440">
        <v>-1</v>
      </c>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row>
    <row r="77" spans="1:176" x14ac:dyDescent="0.25">
      <c r="A77" s="67"/>
      <c r="B77" s="66"/>
      <c r="C77" s="420" t="str">
        <f t="shared" si="15"/>
        <v/>
      </c>
      <c r="D77" s="103" t="s">
        <v>513</v>
      </c>
      <c r="E77" s="101">
        <f t="array" ref="E77">SUMPRODUCT(H$9:BQ$9,IF(ISNUMBER(H77:BQ77),H77:BQ77,0))</f>
        <v>0</v>
      </c>
      <c r="F77" s="56"/>
      <c r="G77" s="56"/>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row>
    <row r="78" spans="1:176" x14ac:dyDescent="0.25">
      <c r="A78" s="67"/>
      <c r="B78" s="66"/>
      <c r="C78" s="420" t="str">
        <f t="shared" si="15"/>
        <v/>
      </c>
      <c r="D78" s="93" t="s">
        <v>4441</v>
      </c>
      <c r="E78" s="101">
        <f t="array" ref="E78">SUMPRODUCT(H$9:BQ$9,IF(ISNUMBER(H78:BQ78),H78:BQ78,0))</f>
        <v>0</v>
      </c>
      <c r="F78" s="56"/>
      <c r="G78" s="56"/>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row>
    <row r="79" spans="1:176" x14ac:dyDescent="0.25">
      <c r="A79" s="67"/>
      <c r="B79" s="66"/>
      <c r="C79" s="420" t="str">
        <f t="shared" si="15"/>
        <v/>
      </c>
      <c r="D79" s="37" t="s">
        <v>4296</v>
      </c>
      <c r="E79" s="101">
        <f t="array" ref="E79">SUMPRODUCT(H$9:BQ$9,IF(ISNUMBER(H79:BQ79),H79:BQ79,0))</f>
        <v>0</v>
      </c>
      <c r="F79" s="56"/>
      <c r="G79" s="56"/>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row>
    <row r="80" spans="1:176" x14ac:dyDescent="0.25">
      <c r="A80" s="67"/>
      <c r="B80" s="66"/>
      <c r="C80" s="420" t="str">
        <f t="shared" si="15"/>
        <v/>
      </c>
      <c r="D80" s="93" t="s">
        <v>513</v>
      </c>
      <c r="E80" s="101">
        <f t="array" ref="E80">SUMPRODUCT(H$9:BQ$9,IF(ISNUMBER(H80:BQ80),H80:BQ80,0))</f>
        <v>0</v>
      </c>
      <c r="F80" s="56"/>
      <c r="G80" s="56"/>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56"/>
      <c r="DF80" s="56"/>
      <c r="DG80" s="56"/>
      <c r="DH80" s="56"/>
      <c r="DI80" s="56"/>
      <c r="DJ80" s="56"/>
      <c r="DK80" s="56"/>
      <c r="DL80" s="56"/>
      <c r="DM80" s="56"/>
      <c r="DN80" s="56"/>
      <c r="DO80" s="56"/>
      <c r="DP80" s="56"/>
      <c r="DQ80" s="56"/>
      <c r="DR80" s="56"/>
      <c r="DS80" s="56"/>
      <c r="DT80" s="56"/>
      <c r="DU80" s="56"/>
      <c r="DV80" s="56"/>
      <c r="DW80" s="56"/>
      <c r="DX80" s="56"/>
      <c r="DY80" s="56"/>
      <c r="DZ80" s="56"/>
      <c r="EA80" s="56"/>
      <c r="EB80" s="56"/>
      <c r="EC80" s="56"/>
      <c r="ED80" s="56"/>
      <c r="EE80" s="56"/>
      <c r="EF80" s="56"/>
      <c r="EG80" s="56"/>
      <c r="EH80" s="56"/>
      <c r="EI80" s="56"/>
      <c r="EJ80" s="56"/>
      <c r="EK80" s="56"/>
      <c r="EL80" s="56"/>
      <c r="EM80" s="56"/>
      <c r="EN80" s="56"/>
      <c r="EO80" s="56"/>
      <c r="EP80" s="56"/>
      <c r="EQ80" s="56"/>
      <c r="ER80" s="56"/>
      <c r="ES80" s="56"/>
      <c r="ET80" s="56"/>
      <c r="EU80" s="56"/>
      <c r="EV80" s="56"/>
      <c r="EW80" s="56"/>
      <c r="EX80" s="56"/>
      <c r="EY80" s="56"/>
      <c r="EZ80" s="56"/>
      <c r="FA80" s="56"/>
      <c r="FB80" s="56"/>
      <c r="FC80" s="56"/>
      <c r="FD80" s="56"/>
      <c r="FE80" s="56"/>
      <c r="FF80" s="56"/>
      <c r="FG80" s="56"/>
      <c r="FH80" s="56"/>
      <c r="FI80" s="56"/>
      <c r="FJ80" s="56"/>
      <c r="FK80" s="56"/>
      <c r="FL80" s="56"/>
      <c r="FM80" s="56"/>
      <c r="FN80" s="56"/>
      <c r="FO80" s="56"/>
      <c r="FP80" s="56"/>
      <c r="FQ80" s="56"/>
      <c r="FR80" s="56"/>
      <c r="FS80" s="56"/>
      <c r="FT80" s="56"/>
    </row>
    <row r="81" spans="1:176" x14ac:dyDescent="0.25">
      <c r="A81" s="67"/>
      <c r="B81" s="66"/>
      <c r="C81" s="420" t="str">
        <f t="shared" si="15"/>
        <v/>
      </c>
      <c r="D81" s="37" t="s">
        <v>3423</v>
      </c>
      <c r="E81" s="101">
        <f t="array" ref="E81">SUMPRODUCT(H$9:BQ$9,IF(ISNUMBER(H81:BQ81),H81:BQ81,0))</f>
        <v>0</v>
      </c>
      <c r="F81" s="56"/>
      <c r="G81" s="56"/>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row>
    <row r="82" spans="1:176" x14ac:dyDescent="0.25">
      <c r="A82" s="67"/>
      <c r="B82" s="66"/>
      <c r="C82" s="420" t="str">
        <f t="shared" si="15"/>
        <v/>
      </c>
      <c r="D82" s="93" t="s">
        <v>577</v>
      </c>
      <c r="E82" s="101">
        <f t="array" ref="E82">SUMPRODUCT(H$9:BQ$9,IF(ISNUMBER(H82:BQ82),H82:BQ82,0))</f>
        <v>0</v>
      </c>
      <c r="F82" s="56"/>
      <c r="G82" s="56"/>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row>
    <row r="83" spans="1:176" x14ac:dyDescent="0.25">
      <c r="A83" s="67"/>
      <c r="B83" s="66"/>
      <c r="C83" s="420" t="str">
        <f t="shared" si="15"/>
        <v/>
      </c>
      <c r="D83" s="37" t="s">
        <v>571</v>
      </c>
      <c r="E83" s="101">
        <f t="array" ref="E83">SUMPRODUCT(H$9:BQ$9,IF(ISNUMBER(H83:BQ83),H83:BQ83,0))</f>
        <v>0</v>
      </c>
      <c r="F83" s="56"/>
      <c r="G83" s="56"/>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row>
    <row r="84" spans="1:176" x14ac:dyDescent="0.25">
      <c r="A84" s="67"/>
      <c r="B84" s="66"/>
      <c r="C84" s="420" t="str">
        <f t="shared" si="15"/>
        <v/>
      </c>
      <c r="D84" s="93" t="s">
        <v>4298</v>
      </c>
      <c r="E84" s="101">
        <f t="array" ref="E84">SUMPRODUCT(H$9:BQ$9,IF(ISNUMBER(H84:BQ84),H84:BQ84,0))</f>
        <v>0</v>
      </c>
      <c r="F84" s="56"/>
      <c r="G84" s="56"/>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row>
    <row r="85" spans="1:176" x14ac:dyDescent="0.25">
      <c r="A85" s="67"/>
      <c r="B85" s="66"/>
      <c r="C85" s="420" t="str">
        <f t="shared" si="15"/>
        <v/>
      </c>
      <c r="D85" s="93" t="s">
        <v>4299</v>
      </c>
      <c r="E85" s="101">
        <f t="array" ref="E85">SUMPRODUCT(H$9:BQ$9,IF(ISNUMBER(H85:BQ85),H85:BQ85,0))</f>
        <v>0</v>
      </c>
      <c r="F85" s="56"/>
      <c r="G85" s="56"/>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56"/>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c r="FS85" s="56"/>
      <c r="FT85" s="56"/>
    </row>
    <row r="86" spans="1:176" x14ac:dyDescent="0.25">
      <c r="A86" s="67"/>
      <c r="B86" s="66"/>
      <c r="C86" s="420" t="str">
        <f t="shared" si="15"/>
        <v/>
      </c>
      <c r="D86" s="93" t="s">
        <v>4300</v>
      </c>
      <c r="E86" s="101">
        <f t="array" ref="E86">SUMPRODUCT(H$9:BQ$9,IF(ISNUMBER(H86:BQ86),H86:BQ86,0))</f>
        <v>0</v>
      </c>
      <c r="F86" s="56"/>
      <c r="G86" s="56"/>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row>
    <row r="87" spans="1:176" x14ac:dyDescent="0.25">
      <c r="A87" s="67"/>
      <c r="B87" s="66"/>
      <c r="C87" s="420" t="str">
        <f t="shared" si="15"/>
        <v/>
      </c>
      <c r="D87" s="93" t="s">
        <v>4301</v>
      </c>
      <c r="E87" s="101">
        <f t="array" ref="E87">SUMPRODUCT(H$9:BQ$9,IF(ISNUMBER(H87:BQ87),H87:BQ87,0))</f>
        <v>0</v>
      </c>
      <c r="F87" s="56"/>
      <c r="G87" s="56"/>
      <c r="H87" s="56"/>
      <c r="I87" s="56"/>
      <c r="J87" s="56"/>
      <c r="K87" s="56"/>
      <c r="L87" s="56"/>
      <c r="M87" s="56"/>
      <c r="N87" s="56"/>
      <c r="O87" s="56"/>
      <c r="P87" s="56"/>
      <c r="Q87" s="56"/>
      <c r="R87" s="56"/>
      <c r="S87" s="57"/>
      <c r="T87" s="56"/>
      <c r="U87" s="56"/>
      <c r="V87" s="56"/>
      <c r="W87" s="56"/>
      <c r="X87" s="56"/>
      <c r="Y87" s="56"/>
      <c r="Z87" s="57"/>
      <c r="AA87" s="144"/>
      <c r="AB87" s="144"/>
      <c r="AC87" s="144"/>
      <c r="AD87" s="144"/>
      <c r="AE87" s="144"/>
      <c r="AF87" s="144"/>
      <c r="AG87" s="144"/>
      <c r="AH87" s="57"/>
      <c r="AI87" s="144"/>
      <c r="AJ87" s="57"/>
      <c r="AK87" s="144"/>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row>
    <row r="88" spans="1:176" x14ac:dyDescent="0.25">
      <c r="A88" s="67"/>
      <c r="B88" s="66"/>
      <c r="C88" s="420" t="str">
        <f t="shared" si="15"/>
        <v/>
      </c>
      <c r="D88" s="37" t="s">
        <v>4302</v>
      </c>
      <c r="E88" s="101">
        <f t="array" ref="E88">SUMPRODUCT(H$9:BQ$9,IF(ISNUMBER(H88:BQ88),H88:BQ88,0))</f>
        <v>0</v>
      </c>
      <c r="F88" s="56"/>
      <c r="G88" s="56"/>
      <c r="H88" s="56"/>
      <c r="I88" s="56"/>
      <c r="J88" s="56"/>
      <c r="K88" s="56"/>
      <c r="L88" s="56"/>
      <c r="M88" s="56"/>
      <c r="N88" s="56"/>
      <c r="O88" s="56"/>
      <c r="P88" s="56"/>
      <c r="Q88" s="56"/>
      <c r="R88" s="56"/>
      <c r="S88" s="57"/>
      <c r="T88" s="56"/>
      <c r="U88" s="56"/>
      <c r="V88" s="56"/>
      <c r="W88" s="56"/>
      <c r="X88" s="56"/>
      <c r="Y88" s="56"/>
      <c r="Z88" s="57"/>
      <c r="AA88" s="144"/>
      <c r="AB88" s="144"/>
      <c r="AC88" s="144"/>
      <c r="AD88" s="144"/>
      <c r="AE88" s="144"/>
      <c r="AF88" s="144"/>
      <c r="AG88" s="144"/>
      <c r="AH88" s="57"/>
      <c r="AI88" s="144"/>
      <c r="AJ88" s="57"/>
      <c r="AK88" s="144"/>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row>
    <row r="89" spans="1:176" x14ac:dyDescent="0.25">
      <c r="A89" s="67"/>
      <c r="B89" s="66"/>
      <c r="C89" s="420" t="str">
        <f t="shared" si="15"/>
        <v/>
      </c>
      <c r="D89" s="93" t="s">
        <v>8647</v>
      </c>
      <c r="E89" s="101">
        <f t="array" ref="E89">SUMPRODUCT(H$9:BQ$9,IF(ISNUMBER(H89:BQ89),H89:BQ89,0))</f>
        <v>0</v>
      </c>
      <c r="F89" s="56"/>
      <c r="G89" s="56"/>
      <c r="H89" s="56"/>
      <c r="I89" s="56"/>
      <c r="J89" s="56"/>
      <c r="K89" s="56"/>
      <c r="L89" s="56"/>
      <c r="M89" s="56"/>
      <c r="N89" s="56"/>
      <c r="O89" s="56"/>
      <c r="P89" s="56"/>
      <c r="Q89" s="56"/>
      <c r="R89" s="56"/>
      <c r="S89" s="57"/>
      <c r="T89" s="56"/>
      <c r="U89" s="56"/>
      <c r="V89" s="56"/>
      <c r="W89" s="56"/>
      <c r="X89" s="56"/>
      <c r="Y89" s="56"/>
      <c r="Z89" s="57"/>
      <c r="AA89" s="144"/>
      <c r="AB89" s="144"/>
      <c r="AC89" s="144"/>
      <c r="AD89" s="144"/>
      <c r="AE89" s="144"/>
      <c r="AF89" s="144"/>
      <c r="AG89" s="144"/>
      <c r="AH89" s="57"/>
      <c r="AI89" s="144"/>
      <c r="AJ89" s="57"/>
      <c r="AK89" s="144"/>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row>
    <row r="90" spans="1:176" x14ac:dyDescent="0.25">
      <c r="A90" s="67"/>
      <c r="B90" s="66"/>
      <c r="C90" s="420" t="str">
        <f t="shared" si="15"/>
        <v/>
      </c>
      <c r="D90" s="93" t="s">
        <v>4303</v>
      </c>
      <c r="E90" s="101">
        <f t="array" ref="E90">SUMPRODUCT(H$9:BQ$9,IF(ISNUMBER(H90:BQ90),H90:BQ90,0))</f>
        <v>0</v>
      </c>
      <c r="F90" s="56"/>
      <c r="G90" s="56"/>
      <c r="H90" s="56"/>
      <c r="I90" s="56"/>
      <c r="J90" s="56"/>
      <c r="K90" s="56"/>
      <c r="L90" s="56"/>
      <c r="M90" s="56"/>
      <c r="N90" s="56"/>
      <c r="O90" s="56"/>
      <c r="P90" s="56"/>
      <c r="Q90" s="56"/>
      <c r="R90" s="56"/>
      <c r="S90" s="56"/>
      <c r="T90" s="56"/>
      <c r="U90" s="56"/>
      <c r="V90" s="56"/>
      <c r="W90" s="56"/>
      <c r="X90" s="56"/>
      <c r="Y90" s="56"/>
      <c r="Z90" s="56"/>
      <c r="AA90" s="144"/>
      <c r="AB90" s="144"/>
      <c r="AC90" s="144"/>
      <c r="AD90" s="144"/>
      <c r="AE90" s="144"/>
      <c r="AF90" s="144"/>
      <c r="AG90" s="144"/>
      <c r="AH90" s="56"/>
      <c r="AI90" s="144"/>
      <c r="AJ90" s="56"/>
      <c r="AK90" s="144"/>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row>
    <row r="91" spans="1:176" x14ac:dyDescent="0.25">
      <c r="A91" s="67"/>
      <c r="B91" s="66"/>
      <c r="C91" s="101" t="s">
        <v>11</v>
      </c>
      <c r="D91" s="93" t="s">
        <v>4304</v>
      </c>
      <c r="E91" s="101">
        <f t="array" ref="E91">SUMPRODUCT(H$9:BQ$9,IF(ISNUMBER(H91:BQ91),H91:BQ91,0))</f>
        <v>0</v>
      </c>
      <c r="F91" s="56"/>
      <c r="G91" s="56"/>
      <c r="H91" s="56"/>
      <c r="I91" s="56"/>
      <c r="J91" s="56"/>
      <c r="K91" s="56"/>
      <c r="L91" s="56"/>
      <c r="M91" s="56"/>
      <c r="N91" s="56"/>
      <c r="O91" s="56"/>
      <c r="P91" s="56"/>
      <c r="Q91" s="56"/>
      <c r="R91" s="56"/>
      <c r="S91" s="56"/>
      <c r="T91" s="56"/>
      <c r="U91" s="56"/>
      <c r="V91" s="56"/>
      <c r="W91" s="56"/>
      <c r="X91" s="56"/>
      <c r="Y91" s="56"/>
      <c r="Z91" s="56"/>
      <c r="AA91" s="144"/>
      <c r="AB91" s="144"/>
      <c r="AC91" s="144"/>
      <c r="AD91" s="144"/>
      <c r="AE91" s="144"/>
      <c r="AF91" s="144"/>
      <c r="AG91" s="144"/>
      <c r="AH91" s="56"/>
      <c r="AI91" s="144"/>
      <c r="AJ91" s="56"/>
      <c r="AK91" s="144"/>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row>
    <row r="92" spans="1:176" x14ac:dyDescent="0.25">
      <c r="A92" s="67"/>
      <c r="B92" s="66"/>
      <c r="C92" s="101" t="s">
        <v>11</v>
      </c>
      <c r="D92" s="93" t="s">
        <v>4305</v>
      </c>
      <c r="E92" s="101">
        <f t="array" ref="E92">SUMPRODUCT(H$9:BQ$9,IF(ISNUMBER(H92:BQ92),H92:BQ92,0))</f>
        <v>0</v>
      </c>
      <c r="F92" s="56"/>
      <c r="G92" s="56"/>
      <c r="H92" s="56"/>
      <c r="I92" s="56"/>
      <c r="J92" s="56"/>
      <c r="K92" s="56"/>
      <c r="L92" s="56"/>
      <c r="M92" s="56"/>
      <c r="N92" s="56"/>
      <c r="O92" s="56"/>
      <c r="P92" s="56"/>
      <c r="Q92" s="56"/>
      <c r="R92" s="56"/>
      <c r="S92" s="56"/>
      <c r="T92" s="56"/>
      <c r="U92" s="56"/>
      <c r="V92" s="56"/>
      <c r="W92" s="56"/>
      <c r="X92" s="56"/>
      <c r="Y92" s="56"/>
      <c r="Z92" s="56"/>
      <c r="AA92" s="144"/>
      <c r="AB92" s="144"/>
      <c r="AC92" s="144"/>
      <c r="AD92" s="144"/>
      <c r="AE92" s="144"/>
      <c r="AF92" s="144"/>
      <c r="AG92" s="144"/>
      <c r="AH92" s="56"/>
      <c r="AI92" s="144"/>
      <c r="AJ92" s="56"/>
      <c r="AK92" s="144"/>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c r="CL92" s="56"/>
      <c r="CM92" s="56"/>
      <c r="CN92" s="56"/>
      <c r="CO92" s="56"/>
      <c r="CP92" s="56"/>
      <c r="CQ92" s="56"/>
      <c r="CR92" s="56"/>
      <c r="CS92" s="56"/>
      <c r="CT92" s="56"/>
      <c r="CU92" s="56"/>
      <c r="CV92" s="56"/>
      <c r="CW92" s="56"/>
      <c r="CX92" s="56"/>
      <c r="CY92" s="56"/>
      <c r="CZ92" s="56"/>
      <c r="DA92" s="56"/>
      <c r="DB92" s="56"/>
      <c r="DC92" s="56"/>
      <c r="DD92" s="56"/>
      <c r="DE92" s="56"/>
      <c r="DF92" s="56"/>
      <c r="DG92" s="56"/>
      <c r="DH92" s="56"/>
      <c r="DI92" s="56"/>
      <c r="DJ92" s="56"/>
      <c r="DK92" s="56"/>
      <c r="DL92" s="56"/>
      <c r="DM92" s="56"/>
      <c r="DN92" s="56"/>
      <c r="DO92" s="56"/>
      <c r="DP92" s="56"/>
      <c r="DQ92" s="56"/>
      <c r="DR92" s="56"/>
      <c r="DS92" s="56"/>
      <c r="DT92" s="56"/>
      <c r="DU92" s="56"/>
      <c r="DV92" s="56"/>
      <c r="DW92" s="56"/>
      <c r="DX92" s="56"/>
      <c r="DY92" s="56"/>
      <c r="DZ92" s="56"/>
      <c r="EA92" s="56"/>
      <c r="EB92" s="56"/>
      <c r="EC92" s="56"/>
      <c r="ED92" s="56"/>
      <c r="EE92" s="56"/>
      <c r="EF92" s="56"/>
      <c r="EG92" s="56"/>
      <c r="EH92" s="56"/>
      <c r="EI92" s="56"/>
      <c r="EJ92" s="56"/>
      <c r="EK92" s="56"/>
      <c r="EL92" s="56"/>
      <c r="EM92" s="56"/>
      <c r="EN92" s="56"/>
      <c r="EO92" s="56"/>
      <c r="EP92" s="56"/>
      <c r="EQ92" s="56"/>
      <c r="ER92" s="56"/>
      <c r="ES92" s="56"/>
      <c r="ET92" s="56"/>
      <c r="EU92" s="56"/>
      <c r="EV92" s="56"/>
      <c r="EW92" s="56"/>
      <c r="EX92" s="56"/>
      <c r="EY92" s="56"/>
      <c r="EZ92" s="56"/>
      <c r="FA92" s="56"/>
      <c r="FB92" s="56"/>
      <c r="FC92" s="56"/>
      <c r="FD92" s="56"/>
      <c r="FE92" s="56"/>
      <c r="FF92" s="56"/>
      <c r="FG92" s="56"/>
      <c r="FH92" s="56"/>
      <c r="FI92" s="56"/>
      <c r="FJ92" s="56"/>
      <c r="FK92" s="56"/>
      <c r="FL92" s="56"/>
      <c r="FM92" s="56"/>
      <c r="FN92" s="56"/>
      <c r="FO92" s="56"/>
      <c r="FP92" s="56"/>
      <c r="FQ92" s="56"/>
      <c r="FR92" s="56"/>
      <c r="FS92" s="56"/>
      <c r="FT92" s="56"/>
    </row>
    <row r="93" spans="1:176" x14ac:dyDescent="0.25">
      <c r="A93" s="67"/>
      <c r="B93" s="66"/>
      <c r="C93" s="101" t="s">
        <v>11</v>
      </c>
      <c r="D93" s="93" t="s">
        <v>4306</v>
      </c>
      <c r="E93" s="101">
        <f t="array" ref="E93">SUMPRODUCT(H$9:BQ$9,IF(ISNUMBER(H93:BQ93),H93:BQ93,0))</f>
        <v>0</v>
      </c>
      <c r="F93" s="56"/>
      <c r="G93" s="56"/>
      <c r="H93" s="56"/>
      <c r="I93" s="56"/>
      <c r="J93" s="56"/>
      <c r="K93" s="56"/>
      <c r="L93" s="56"/>
      <c r="M93" s="56"/>
      <c r="N93" s="56"/>
      <c r="O93" s="56"/>
      <c r="P93" s="56"/>
      <c r="Q93" s="56"/>
      <c r="R93" s="56"/>
      <c r="S93" s="56"/>
      <c r="T93" s="56"/>
      <c r="U93" s="56"/>
      <c r="V93" s="56"/>
      <c r="W93" s="56"/>
      <c r="X93" s="56"/>
      <c r="Y93" s="56"/>
      <c r="Z93" s="56"/>
      <c r="AA93" s="144"/>
      <c r="AB93" s="144"/>
      <c r="AC93" s="144"/>
      <c r="AD93" s="144"/>
      <c r="AE93" s="144"/>
      <c r="AF93" s="144"/>
      <c r="AG93" s="144"/>
      <c r="AH93" s="56"/>
      <c r="AI93" s="144"/>
      <c r="AJ93" s="56"/>
      <c r="AK93" s="144"/>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row>
    <row r="94" spans="1:176" x14ac:dyDescent="0.25">
      <c r="A94" s="67"/>
      <c r="B94" s="66"/>
      <c r="C94" s="101" t="s">
        <v>11</v>
      </c>
      <c r="D94" s="93" t="s">
        <v>4307</v>
      </c>
      <c r="E94" s="101">
        <f t="array" ref="E94">SUMPRODUCT(H$9:BQ$9,IF(ISNUMBER(H94:BQ94),H94:BQ94,0))</f>
        <v>0</v>
      </c>
      <c r="F94" s="56"/>
      <c r="G94" s="56"/>
      <c r="H94" s="56"/>
      <c r="I94" s="56"/>
      <c r="J94" s="56"/>
      <c r="K94" s="56"/>
      <c r="L94" s="56"/>
      <c r="M94" s="56"/>
      <c r="N94" s="56"/>
      <c r="O94" s="56"/>
      <c r="P94" s="56"/>
      <c r="Q94" s="56"/>
      <c r="R94" s="56"/>
      <c r="S94" s="56"/>
      <c r="T94" s="56"/>
      <c r="U94" s="56"/>
      <c r="V94" s="56"/>
      <c r="W94" s="56"/>
      <c r="X94" s="56"/>
      <c r="Y94" s="56"/>
      <c r="Z94" s="56"/>
      <c r="AA94" s="144"/>
      <c r="AB94" s="144"/>
      <c r="AC94" s="144"/>
      <c r="AD94" s="144"/>
      <c r="AE94" s="144"/>
      <c r="AF94" s="144"/>
      <c r="AG94" s="144"/>
      <c r="AH94" s="56"/>
      <c r="AI94" s="144"/>
      <c r="AJ94" s="56"/>
      <c r="AK94" s="144"/>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row>
    <row r="95" spans="1:176" x14ac:dyDescent="0.25">
      <c r="A95" s="67"/>
      <c r="B95" s="66"/>
      <c r="C95" s="101" t="s">
        <v>11</v>
      </c>
      <c r="D95" s="93" t="s">
        <v>4308</v>
      </c>
      <c r="E95" s="101">
        <f t="array" ref="E95">SUMPRODUCT(H$9:BQ$9,IF(ISNUMBER(H95:BQ95),H95:BQ95,0))</f>
        <v>0</v>
      </c>
      <c r="F95" s="56"/>
      <c r="G95" s="56"/>
      <c r="H95" s="56"/>
      <c r="I95" s="56"/>
      <c r="J95" s="56"/>
      <c r="K95" s="56"/>
      <c r="L95" s="56"/>
      <c r="M95" s="56"/>
      <c r="N95" s="56"/>
      <c r="O95" s="56"/>
      <c r="P95" s="56"/>
      <c r="Q95" s="56"/>
      <c r="R95" s="56"/>
      <c r="S95" s="56"/>
      <c r="T95" s="56"/>
      <c r="U95" s="56"/>
      <c r="V95" s="56"/>
      <c r="W95" s="56"/>
      <c r="X95" s="56"/>
      <c r="Y95" s="56"/>
      <c r="Z95" s="56"/>
      <c r="AA95" s="144"/>
      <c r="AB95" s="144"/>
      <c r="AC95" s="144"/>
      <c r="AD95" s="144"/>
      <c r="AE95" s="144"/>
      <c r="AF95" s="144"/>
      <c r="AG95" s="144"/>
      <c r="AH95" s="56"/>
      <c r="AI95" s="144"/>
      <c r="AJ95" s="56"/>
      <c r="AK95" s="144"/>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row>
    <row r="96" spans="1:176" x14ac:dyDescent="0.25">
      <c r="A96" s="67"/>
      <c r="B96" s="66"/>
      <c r="C96" s="101" t="s">
        <v>11</v>
      </c>
      <c r="D96" s="93" t="s">
        <v>4309</v>
      </c>
      <c r="E96" s="101">
        <f t="array" ref="E96">SUMPRODUCT(H$9:BQ$9,IF(ISNUMBER(H96:BQ96),H96:BQ96,0))</f>
        <v>1</v>
      </c>
      <c r="F96" s="56"/>
      <c r="G96" s="56"/>
      <c r="H96" s="56"/>
      <c r="I96" s="56"/>
      <c r="J96" s="56"/>
      <c r="K96" s="56"/>
      <c r="L96" s="56"/>
      <c r="M96" s="56"/>
      <c r="N96" s="56"/>
      <c r="O96" s="56"/>
      <c r="P96" s="56"/>
      <c r="Q96" s="56"/>
      <c r="R96" s="56"/>
      <c r="S96" s="56"/>
      <c r="T96" s="56"/>
      <c r="U96" s="56"/>
      <c r="V96" s="56"/>
      <c r="W96" s="56"/>
      <c r="X96" s="56"/>
      <c r="Y96" s="56"/>
      <c r="Z96" s="56"/>
      <c r="AA96" s="144"/>
      <c r="AB96" s="144"/>
      <c r="AC96" s="144"/>
      <c r="AD96" s="144"/>
      <c r="AE96" s="144"/>
      <c r="AF96" s="144"/>
      <c r="AG96" s="144"/>
      <c r="AH96" s="56"/>
      <c r="AI96" s="144"/>
      <c r="AJ96" s="56"/>
      <c r="AK96" s="144"/>
      <c r="AL96" s="56"/>
      <c r="AM96" s="56"/>
      <c r="AN96" s="56"/>
      <c r="AO96" s="56"/>
      <c r="AP96" s="56"/>
      <c r="AQ96" s="56"/>
      <c r="AR96" s="56"/>
      <c r="AS96" s="56"/>
      <c r="AT96" s="56"/>
      <c r="AU96" s="56"/>
      <c r="AV96" s="56"/>
      <c r="AW96" s="56">
        <v>0.5</v>
      </c>
      <c r="AX96" s="56">
        <v>0.5</v>
      </c>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row>
    <row r="97" spans="1:176" x14ac:dyDescent="0.25">
      <c r="A97" s="67"/>
      <c r="B97" s="66"/>
      <c r="C97" s="101" t="s">
        <v>11</v>
      </c>
      <c r="D97" s="93" t="s">
        <v>240</v>
      </c>
      <c r="E97" s="101">
        <f t="array" ref="E97">SUMPRODUCT(H$9:BQ$9,IF(ISNUMBER(H97:BQ97),H97:BQ97,0))</f>
        <v>-1.5</v>
      </c>
      <c r="F97" s="56"/>
      <c r="G97" s="56"/>
      <c r="H97" s="56"/>
      <c r="I97" s="56"/>
      <c r="J97" s="56"/>
      <c r="K97" s="56"/>
      <c r="L97" s="56"/>
      <c r="M97" s="56"/>
      <c r="N97" s="56"/>
      <c r="O97" s="56"/>
      <c r="P97" s="56"/>
      <c r="Q97" s="56"/>
      <c r="R97" s="56"/>
      <c r="S97" s="56"/>
      <c r="T97" s="56"/>
      <c r="U97" s="56"/>
      <c r="V97" s="56"/>
      <c r="W97" s="56"/>
      <c r="X97" s="56"/>
      <c r="Y97" s="56"/>
      <c r="Z97" s="56"/>
      <c r="AA97" s="144"/>
      <c r="AB97" s="144"/>
      <c r="AC97" s="144"/>
      <c r="AD97" s="144"/>
      <c r="AE97" s="144"/>
      <c r="AF97" s="144"/>
      <c r="AG97" s="144"/>
      <c r="AH97" s="56"/>
      <c r="AI97" s="144"/>
      <c r="AJ97" s="56"/>
      <c r="AK97" s="144"/>
      <c r="AL97" s="56"/>
      <c r="AM97" s="56"/>
      <c r="AN97" s="56"/>
      <c r="AO97" s="56"/>
      <c r="AP97" s="56"/>
      <c r="AQ97" s="56"/>
      <c r="AR97" s="56"/>
      <c r="AS97" s="56"/>
      <c r="AT97" s="56"/>
      <c r="AU97" s="56"/>
      <c r="AV97" s="56"/>
      <c r="AW97" s="56"/>
      <c r="AX97" s="56"/>
      <c r="AY97" s="56">
        <v>-1</v>
      </c>
      <c r="AZ97" s="56"/>
      <c r="BA97" s="56">
        <v>0.5</v>
      </c>
      <c r="BB97" s="56">
        <v>-1</v>
      </c>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row>
    <row r="98" spans="1:176" x14ac:dyDescent="0.25">
      <c r="A98" s="67"/>
      <c r="B98" s="66"/>
      <c r="C98" s="101" t="s">
        <v>11</v>
      </c>
      <c r="D98" s="93" t="s">
        <v>3497</v>
      </c>
      <c r="E98" s="101">
        <f t="array" ref="E98">SUMPRODUCT(H$9:BQ$9,IF(ISNUMBER(H98:BQ98),H98:BQ98,0))</f>
        <v>2</v>
      </c>
      <c r="F98" s="56"/>
      <c r="G98" s="56"/>
      <c r="H98" s="56"/>
      <c r="I98" s="56"/>
      <c r="J98" s="56"/>
      <c r="K98" s="56"/>
      <c r="L98" s="56"/>
      <c r="M98" s="56"/>
      <c r="N98" s="56"/>
      <c r="O98" s="56"/>
      <c r="P98" s="56"/>
      <c r="Q98" s="56"/>
      <c r="R98" s="56"/>
      <c r="S98" s="56"/>
      <c r="T98" s="56"/>
      <c r="U98" s="56"/>
      <c r="V98" s="56"/>
      <c r="W98" s="56"/>
      <c r="X98" s="56"/>
      <c r="Y98" s="56"/>
      <c r="Z98" s="56"/>
      <c r="AA98" s="144"/>
      <c r="AB98" s="144"/>
      <c r="AC98" s="144"/>
      <c r="AD98" s="144"/>
      <c r="AE98" s="144"/>
      <c r="AF98" s="144"/>
      <c r="AG98" s="144"/>
      <c r="AH98" s="56"/>
      <c r="AI98" s="144"/>
      <c r="AJ98" s="56"/>
      <c r="AK98" s="144"/>
      <c r="AL98" s="56"/>
      <c r="AM98" s="56"/>
      <c r="AN98" s="56"/>
      <c r="AO98" s="56"/>
      <c r="AP98" s="56"/>
      <c r="AQ98" s="56"/>
      <c r="AR98" s="56"/>
      <c r="AS98" s="56"/>
      <c r="AT98" s="56"/>
      <c r="AU98" s="56"/>
      <c r="AV98" s="56"/>
      <c r="AW98" s="56"/>
      <c r="AX98" s="56"/>
      <c r="AY98" s="56">
        <v>1</v>
      </c>
      <c r="AZ98" s="56"/>
      <c r="BA98" s="56"/>
      <c r="BB98" s="56">
        <v>1</v>
      </c>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row>
    <row r="99" spans="1:176" x14ac:dyDescent="0.25">
      <c r="A99" s="67"/>
      <c r="B99" s="66"/>
      <c r="C99" s="101" t="s">
        <v>11</v>
      </c>
      <c r="D99" s="37" t="s">
        <v>4310</v>
      </c>
      <c r="E99" s="101">
        <f t="array" ref="E99">SUMPRODUCT(H$9:BQ$9,IF(ISNUMBER(H99:BQ99),H99:BQ99,0))</f>
        <v>-0.5</v>
      </c>
      <c r="F99" s="56"/>
      <c r="G99" s="56"/>
      <c r="H99" s="56"/>
      <c r="I99" s="56"/>
      <c r="J99" s="56"/>
      <c r="K99" s="56"/>
      <c r="L99" s="56"/>
      <c r="M99" s="56"/>
      <c r="N99" s="56"/>
      <c r="O99" s="56"/>
      <c r="P99" s="56"/>
      <c r="Q99" s="56"/>
      <c r="R99" s="56"/>
      <c r="S99" s="56"/>
      <c r="T99" s="56"/>
      <c r="U99" s="56"/>
      <c r="V99" s="56"/>
      <c r="W99" s="56"/>
      <c r="X99" s="56"/>
      <c r="Y99" s="56"/>
      <c r="Z99" s="56"/>
      <c r="AA99" s="144"/>
      <c r="AB99" s="144"/>
      <c r="AC99" s="144"/>
      <c r="AD99" s="144"/>
      <c r="AE99" s="144"/>
      <c r="AF99" s="144"/>
      <c r="AG99" s="144"/>
      <c r="AH99" s="56"/>
      <c r="AI99" s="144"/>
      <c r="AJ99" s="56"/>
      <c r="AK99" s="144"/>
      <c r="AL99" s="56"/>
      <c r="AM99" s="56"/>
      <c r="AN99" s="56"/>
      <c r="AO99" s="56"/>
      <c r="AP99" s="56"/>
      <c r="AQ99" s="56"/>
      <c r="AR99" s="56"/>
      <c r="AS99" s="56"/>
      <c r="AT99" s="56"/>
      <c r="AU99" s="56"/>
      <c r="AV99" s="56"/>
      <c r="AW99" s="56"/>
      <c r="AX99" s="56"/>
      <c r="AY99" s="56"/>
      <c r="AZ99" s="56">
        <v>-0.5</v>
      </c>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row>
    <row r="100" spans="1:176" x14ac:dyDescent="0.25">
      <c r="A100" s="67"/>
      <c r="B100" s="66"/>
      <c r="C100" s="101" t="s">
        <v>11</v>
      </c>
      <c r="D100" s="37" t="s">
        <v>4311</v>
      </c>
      <c r="E100" s="101">
        <f t="array" ref="E100">SUMPRODUCT(H$9:BQ$9,IF(ISNUMBER(H100:BQ100),H100:BQ100,0))</f>
        <v>-0.5</v>
      </c>
      <c r="F100" s="56"/>
      <c r="G100" s="56"/>
      <c r="H100" s="56"/>
      <c r="I100" s="56"/>
      <c r="J100" s="56"/>
      <c r="K100" s="56"/>
      <c r="L100" s="56"/>
      <c r="M100" s="56"/>
      <c r="N100" s="56"/>
      <c r="O100" s="56"/>
      <c r="P100" s="56"/>
      <c r="Q100" s="56"/>
      <c r="R100" s="56"/>
      <c r="S100" s="56"/>
      <c r="T100" s="56"/>
      <c r="U100" s="56"/>
      <c r="V100" s="56"/>
      <c r="W100" s="56"/>
      <c r="X100" s="56"/>
      <c r="Y100" s="56"/>
      <c r="Z100" s="56"/>
      <c r="AA100" s="144"/>
      <c r="AB100" s="144"/>
      <c r="AC100" s="144"/>
      <c r="AD100" s="144"/>
      <c r="AE100" s="144"/>
      <c r="AF100" s="144"/>
      <c r="AG100" s="144"/>
      <c r="AH100" s="56"/>
      <c r="AI100" s="144"/>
      <c r="AJ100" s="56"/>
      <c r="AK100" s="144"/>
      <c r="AL100" s="56"/>
      <c r="AM100" s="56"/>
      <c r="AN100" s="56"/>
      <c r="AO100" s="56"/>
      <c r="AP100" s="56"/>
      <c r="AQ100" s="56"/>
      <c r="AR100" s="56"/>
      <c r="AS100" s="56"/>
      <c r="AT100" s="56"/>
      <c r="AU100" s="56"/>
      <c r="AV100" s="56"/>
      <c r="AW100" s="56"/>
      <c r="AX100" s="56"/>
      <c r="AY100" s="56"/>
      <c r="AZ100" s="56">
        <v>-0.5</v>
      </c>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row>
    <row r="101" spans="1:176" x14ac:dyDescent="0.25">
      <c r="A101" s="67"/>
      <c r="B101" s="66"/>
      <c r="C101" s="101" t="s">
        <v>11</v>
      </c>
      <c r="D101" s="49" t="s">
        <v>3521</v>
      </c>
      <c r="E101" s="101">
        <f t="array" ref="E101">SUMPRODUCT(H$9:BQ$9,IF(ISNUMBER(H101:BQ101),H101:BQ101,0))</f>
        <v>0</v>
      </c>
      <c r="F101" s="56"/>
      <c r="G101" s="56"/>
      <c r="H101" s="56"/>
      <c r="I101" s="56"/>
      <c r="J101" s="56"/>
      <c r="K101" s="56"/>
      <c r="L101" s="56"/>
      <c r="M101" s="56"/>
      <c r="N101" s="56"/>
      <c r="O101" s="56"/>
      <c r="P101" s="56"/>
      <c r="Q101" s="56"/>
      <c r="R101" s="56"/>
      <c r="S101" s="56"/>
      <c r="T101" s="56"/>
      <c r="U101" s="56"/>
      <c r="V101" s="56"/>
      <c r="W101" s="56"/>
      <c r="X101" s="56"/>
      <c r="Y101" s="56"/>
      <c r="Z101" s="56"/>
      <c r="AA101" s="144"/>
      <c r="AB101" s="144"/>
      <c r="AC101" s="144"/>
      <c r="AD101" s="144"/>
      <c r="AE101" s="144"/>
      <c r="AF101" s="144"/>
      <c r="AG101" s="144"/>
      <c r="AH101" s="56"/>
      <c r="AI101" s="144"/>
      <c r="AJ101" s="56"/>
      <c r="AK101" s="144"/>
      <c r="AL101" s="56"/>
      <c r="AM101" s="56"/>
      <c r="AN101" s="56"/>
      <c r="AO101" s="56"/>
      <c r="AP101" s="56"/>
      <c r="AQ101" s="56"/>
      <c r="AR101" s="56"/>
      <c r="AS101" s="56"/>
      <c r="AT101" s="56"/>
      <c r="AU101" s="56"/>
      <c r="AV101" s="56"/>
      <c r="AW101" s="56"/>
      <c r="AX101" s="56"/>
      <c r="AY101" s="56"/>
      <c r="AZ101" s="56">
        <v>1</v>
      </c>
      <c r="BA101" s="56"/>
      <c r="BB101" s="56"/>
      <c r="BC101" s="56"/>
      <c r="BD101" s="56"/>
      <c r="BE101" s="56"/>
      <c r="BF101" s="56"/>
      <c r="BG101" s="56"/>
      <c r="BH101" s="56">
        <v>-1</v>
      </c>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row>
    <row r="102" spans="1:176" x14ac:dyDescent="0.25">
      <c r="A102" s="67"/>
      <c r="B102" s="66"/>
      <c r="C102" s="101" t="s">
        <v>11</v>
      </c>
      <c r="D102" s="49" t="s">
        <v>4331</v>
      </c>
      <c r="E102" s="101">
        <f t="array" ref="E102">SUMPRODUCT(H$9:BQ$9,IF(ISNUMBER(H102:BQ102),H102:BQ102,0))</f>
        <v>-0.33333333333333331</v>
      </c>
      <c r="F102" s="56"/>
      <c r="G102" s="56"/>
      <c r="H102" s="56"/>
      <c r="I102" s="56"/>
      <c r="J102" s="56"/>
      <c r="K102" s="56"/>
      <c r="L102" s="56"/>
      <c r="M102" s="56"/>
      <c r="N102" s="56"/>
      <c r="O102" s="56"/>
      <c r="P102" s="56"/>
      <c r="Q102" s="56"/>
      <c r="R102" s="56"/>
      <c r="S102" s="56"/>
      <c r="T102" s="56"/>
      <c r="U102" s="56"/>
      <c r="V102" s="56"/>
      <c r="W102" s="56"/>
      <c r="X102" s="56"/>
      <c r="Y102" s="56"/>
      <c r="Z102" s="56"/>
      <c r="AA102" s="144"/>
      <c r="AB102" s="144"/>
      <c r="AC102" s="144"/>
      <c r="AD102" s="144"/>
      <c r="AE102" s="144"/>
      <c r="AF102" s="144"/>
      <c r="AG102" s="144"/>
      <c r="AH102" s="56"/>
      <c r="AI102" s="144"/>
      <c r="AJ102" s="56"/>
      <c r="AK102" s="144"/>
      <c r="AL102" s="56"/>
      <c r="AM102" s="56"/>
      <c r="AN102" s="56"/>
      <c r="AO102" s="56"/>
      <c r="AP102" s="56"/>
      <c r="AQ102" s="56"/>
      <c r="AR102" s="56"/>
      <c r="AS102" s="56"/>
      <c r="AT102" s="56"/>
      <c r="AU102" s="56"/>
      <c r="AV102" s="56"/>
      <c r="AW102" s="56"/>
      <c r="AX102" s="56"/>
      <c r="AY102" s="56"/>
      <c r="AZ102" s="56"/>
      <c r="BA102" s="56">
        <f>-1/3</f>
        <v>-0.33333333333333331</v>
      </c>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6"/>
      <c r="DG102" s="56"/>
      <c r="DH102" s="56"/>
      <c r="DI102" s="56"/>
      <c r="DJ102" s="56"/>
      <c r="DK102" s="56"/>
      <c r="DL102" s="56"/>
      <c r="DM102" s="56"/>
      <c r="DN102" s="56"/>
      <c r="DO102" s="56"/>
      <c r="DP102" s="56"/>
      <c r="DQ102" s="56"/>
      <c r="DR102" s="56"/>
      <c r="DS102" s="56"/>
      <c r="DT102" s="56"/>
      <c r="DU102" s="56"/>
      <c r="DV102" s="56"/>
      <c r="DW102" s="56"/>
      <c r="DX102" s="56"/>
      <c r="DY102" s="56"/>
      <c r="DZ102" s="56"/>
      <c r="EA102" s="56"/>
      <c r="EB102" s="56"/>
      <c r="EC102" s="56"/>
      <c r="ED102" s="56"/>
      <c r="EE102" s="56"/>
      <c r="EF102" s="56"/>
      <c r="EG102" s="56"/>
      <c r="EH102" s="56"/>
      <c r="EI102" s="56"/>
      <c r="EJ102" s="56"/>
      <c r="EK102" s="56"/>
      <c r="EL102" s="56"/>
      <c r="EM102" s="56"/>
      <c r="EN102" s="56"/>
      <c r="EO102" s="56"/>
      <c r="EP102" s="56"/>
      <c r="EQ102" s="56"/>
      <c r="ER102" s="56"/>
      <c r="ES102" s="56"/>
      <c r="ET102" s="56"/>
      <c r="EU102" s="56"/>
      <c r="EV102" s="56"/>
      <c r="EW102" s="56"/>
      <c r="EX102" s="56"/>
      <c r="EY102" s="56"/>
      <c r="EZ102" s="56"/>
      <c r="FA102" s="56"/>
      <c r="FB102" s="56"/>
      <c r="FC102" s="56"/>
      <c r="FD102" s="56"/>
      <c r="FE102" s="56"/>
      <c r="FF102" s="56"/>
      <c r="FG102" s="56"/>
      <c r="FH102" s="56"/>
      <c r="FI102" s="56"/>
      <c r="FJ102" s="56"/>
      <c r="FK102" s="56"/>
      <c r="FL102" s="56"/>
      <c r="FM102" s="56"/>
      <c r="FN102" s="56"/>
      <c r="FO102" s="56"/>
      <c r="FP102" s="56"/>
      <c r="FQ102" s="56"/>
      <c r="FR102" s="56"/>
      <c r="FS102" s="56"/>
      <c r="FT102" s="56"/>
    </row>
    <row r="103" spans="1:176" x14ac:dyDescent="0.25">
      <c r="A103" s="67"/>
      <c r="B103" s="66"/>
      <c r="C103" s="101" t="s">
        <v>11</v>
      </c>
      <c r="D103" s="49" t="s">
        <v>252</v>
      </c>
      <c r="E103" s="101">
        <f t="array" ref="E103">SUMPRODUCT(H$9:BQ$9,IF(ISNUMBER(H103:BQ103),H103:BQ103,0))</f>
        <v>-0.33333333333333331</v>
      </c>
      <c r="F103" s="56"/>
      <c r="G103" s="56"/>
      <c r="H103" s="56"/>
      <c r="I103" s="56"/>
      <c r="J103" s="56"/>
      <c r="K103" s="56"/>
      <c r="L103" s="56"/>
      <c r="M103" s="56"/>
      <c r="N103" s="56"/>
      <c r="O103" s="56"/>
      <c r="P103" s="56"/>
      <c r="Q103" s="56"/>
      <c r="R103" s="56"/>
      <c r="S103" s="56"/>
      <c r="T103" s="56"/>
      <c r="U103" s="56"/>
      <c r="V103" s="56"/>
      <c r="W103" s="56"/>
      <c r="X103" s="56"/>
      <c r="Y103" s="56"/>
      <c r="Z103" s="56"/>
      <c r="AA103" s="144"/>
      <c r="AB103" s="144"/>
      <c r="AC103" s="144"/>
      <c r="AD103" s="144"/>
      <c r="AE103" s="144"/>
      <c r="AF103" s="144"/>
      <c r="AG103" s="144"/>
      <c r="AH103" s="56"/>
      <c r="AI103" s="144"/>
      <c r="AJ103" s="56"/>
      <c r="AK103" s="144"/>
      <c r="AL103" s="56"/>
      <c r="AM103" s="56"/>
      <c r="AN103" s="56"/>
      <c r="AO103" s="56"/>
      <c r="AP103" s="56"/>
      <c r="AQ103" s="56"/>
      <c r="AR103" s="56"/>
      <c r="AS103" s="56"/>
      <c r="AT103" s="56"/>
      <c r="AU103" s="56"/>
      <c r="AV103" s="56"/>
      <c r="AW103" s="56"/>
      <c r="AX103" s="56"/>
      <c r="AY103" s="56"/>
      <c r="AZ103" s="56"/>
      <c r="BA103" s="56">
        <f>-1/3</f>
        <v>-0.33333333333333331</v>
      </c>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56"/>
      <c r="ED103" s="56"/>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c r="FS103" s="56"/>
      <c r="FT103" s="56"/>
    </row>
    <row r="104" spans="1:176" x14ac:dyDescent="0.25">
      <c r="A104" s="67"/>
      <c r="B104" s="66"/>
      <c r="C104" s="101" t="s">
        <v>11</v>
      </c>
      <c r="D104" s="49" t="s">
        <v>4332</v>
      </c>
      <c r="E104" s="101">
        <f t="array" ref="E104">SUMPRODUCT(H$9:BQ$9,IF(ISNUMBER(H104:BQ104),H104:BQ104,0))</f>
        <v>-0.33333333333333331</v>
      </c>
      <c r="F104" s="56"/>
      <c r="G104" s="56"/>
      <c r="H104" s="56"/>
      <c r="I104" s="56"/>
      <c r="J104" s="56"/>
      <c r="K104" s="56"/>
      <c r="L104" s="56"/>
      <c r="M104" s="56"/>
      <c r="N104" s="56"/>
      <c r="O104" s="56"/>
      <c r="P104" s="56"/>
      <c r="Q104" s="56"/>
      <c r="R104" s="56"/>
      <c r="S104" s="56"/>
      <c r="T104" s="56"/>
      <c r="U104" s="56"/>
      <c r="V104" s="56"/>
      <c r="W104" s="56"/>
      <c r="X104" s="56"/>
      <c r="Y104" s="56"/>
      <c r="Z104" s="56"/>
      <c r="AA104" s="144"/>
      <c r="AB104" s="144"/>
      <c r="AC104" s="144"/>
      <c r="AD104" s="144"/>
      <c r="AE104" s="144"/>
      <c r="AF104" s="144"/>
      <c r="AG104" s="144"/>
      <c r="AH104" s="56"/>
      <c r="AI104" s="144"/>
      <c r="AJ104" s="56"/>
      <c r="AK104" s="144"/>
      <c r="AL104" s="56"/>
      <c r="AM104" s="56"/>
      <c r="AN104" s="56"/>
      <c r="AO104" s="56"/>
      <c r="AP104" s="56"/>
      <c r="AQ104" s="56"/>
      <c r="AR104" s="56"/>
      <c r="AS104" s="56"/>
      <c r="AT104" s="56"/>
      <c r="AU104" s="56"/>
      <c r="AV104" s="56"/>
      <c r="AW104" s="56"/>
      <c r="AX104" s="56"/>
      <c r="AY104" s="56"/>
      <c r="AZ104" s="56"/>
      <c r="BA104" s="56">
        <f>-1/3</f>
        <v>-0.33333333333333331</v>
      </c>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row>
    <row r="105" spans="1:176" x14ac:dyDescent="0.25">
      <c r="A105" s="67"/>
      <c r="B105" s="66"/>
      <c r="C105" s="101" t="s">
        <v>11</v>
      </c>
      <c r="D105" s="49" t="s">
        <v>263</v>
      </c>
      <c r="E105" s="101">
        <f t="array" ref="E105">SUMPRODUCT(H$9:BQ$9,IF(ISNUMBER(H105:BQ105),H105:BQ105,0))</f>
        <v>0.5</v>
      </c>
      <c r="F105" s="56"/>
      <c r="G105" s="56"/>
      <c r="H105" s="56"/>
      <c r="I105" s="56"/>
      <c r="J105" s="56"/>
      <c r="K105" s="56"/>
      <c r="L105" s="56"/>
      <c r="M105" s="56"/>
      <c r="N105" s="56"/>
      <c r="O105" s="56"/>
      <c r="P105" s="56"/>
      <c r="Q105" s="56"/>
      <c r="R105" s="56"/>
      <c r="S105" s="56"/>
      <c r="T105" s="56"/>
      <c r="U105" s="56"/>
      <c r="V105" s="56"/>
      <c r="W105" s="56"/>
      <c r="X105" s="56"/>
      <c r="Y105" s="56"/>
      <c r="Z105" s="56"/>
      <c r="AA105" s="144"/>
      <c r="AB105" s="144"/>
      <c r="AC105" s="144"/>
      <c r="AD105" s="144"/>
      <c r="AE105" s="144"/>
      <c r="AF105" s="144"/>
      <c r="AG105" s="144"/>
      <c r="AH105" s="56"/>
      <c r="AI105" s="144"/>
      <c r="AJ105" s="56"/>
      <c r="AK105" s="144"/>
      <c r="AL105" s="56"/>
      <c r="AM105" s="56"/>
      <c r="AN105" s="56"/>
      <c r="AO105" s="56"/>
      <c r="AP105" s="56"/>
      <c r="AQ105" s="56"/>
      <c r="AR105" s="56"/>
      <c r="AS105" s="56"/>
      <c r="AT105" s="56"/>
      <c r="AU105" s="56"/>
      <c r="AV105" s="56"/>
      <c r="AW105" s="56"/>
      <c r="AX105" s="56"/>
      <c r="AY105" s="56"/>
      <c r="AZ105" s="56"/>
      <c r="BA105" s="56">
        <v>0.5</v>
      </c>
      <c r="BB105" s="56"/>
      <c r="BC105" s="56"/>
      <c r="BD105" s="56"/>
      <c r="BE105" s="56"/>
      <c r="BF105" s="56"/>
      <c r="BG105" s="56"/>
      <c r="BH105" s="56"/>
      <c r="BI105" s="56">
        <v>1</v>
      </c>
      <c r="BJ105" s="56"/>
      <c r="BK105" s="56"/>
      <c r="BL105" s="56">
        <v>-1</v>
      </c>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row>
    <row r="106" spans="1:176" x14ac:dyDescent="0.25">
      <c r="A106" s="67"/>
      <c r="B106" s="66"/>
      <c r="C106" s="101" t="s">
        <v>11</v>
      </c>
      <c r="D106" s="49" t="s">
        <v>3597</v>
      </c>
      <c r="E106" s="101">
        <f t="array" ref="E106">SUMPRODUCT(H$9:BQ$9,IF(ISNUMBER(H106:BQ106),H106:BQ106,0))</f>
        <v>-1</v>
      </c>
      <c r="F106" s="56"/>
      <c r="G106" s="56"/>
      <c r="H106" s="56"/>
      <c r="I106" s="56"/>
      <c r="J106" s="56"/>
      <c r="K106" s="56"/>
      <c r="L106" s="56"/>
      <c r="M106" s="56"/>
      <c r="N106" s="56"/>
      <c r="O106" s="56"/>
      <c r="P106" s="56"/>
      <c r="Q106" s="56"/>
      <c r="R106" s="56"/>
      <c r="S106" s="56"/>
      <c r="T106" s="56"/>
      <c r="U106" s="56"/>
      <c r="V106" s="56"/>
      <c r="W106" s="56"/>
      <c r="X106" s="56"/>
      <c r="Y106" s="56"/>
      <c r="Z106" s="56"/>
      <c r="AA106" s="144"/>
      <c r="AB106" s="144"/>
      <c r="AC106" s="144"/>
      <c r="AD106" s="144"/>
      <c r="AE106" s="144"/>
      <c r="AF106" s="144"/>
      <c r="AG106" s="144"/>
      <c r="AH106" s="56"/>
      <c r="AI106" s="144"/>
      <c r="AJ106" s="56"/>
      <c r="AK106" s="144"/>
      <c r="AL106" s="56"/>
      <c r="AM106" s="56"/>
      <c r="AN106" s="56"/>
      <c r="AO106" s="56"/>
      <c r="AP106" s="56"/>
      <c r="AQ106" s="56"/>
      <c r="AR106" s="56"/>
      <c r="AS106" s="56"/>
      <c r="AT106" s="56"/>
      <c r="AU106" s="56"/>
      <c r="AV106" s="56"/>
      <c r="AW106" s="56"/>
      <c r="AX106" s="56"/>
      <c r="AY106" s="56"/>
      <c r="AZ106" s="56"/>
      <c r="BA106" s="56"/>
      <c r="BB106" s="56"/>
      <c r="BC106" s="56">
        <v>-1</v>
      </c>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row>
    <row r="107" spans="1:176" x14ac:dyDescent="0.25">
      <c r="A107" s="67"/>
      <c r="B107" s="66"/>
      <c r="C107" s="101" t="s">
        <v>11</v>
      </c>
      <c r="D107" s="49" t="s">
        <v>3598</v>
      </c>
      <c r="E107" s="101">
        <f t="array" ref="E107">SUMPRODUCT(H$9:BQ$9,IF(ISNUMBER(H107:BQ107),H107:BQ107,0))</f>
        <v>1</v>
      </c>
      <c r="F107" s="56"/>
      <c r="G107" s="56"/>
      <c r="H107" s="56"/>
      <c r="I107" s="56"/>
      <c r="J107" s="56"/>
      <c r="K107" s="56"/>
      <c r="L107" s="56"/>
      <c r="M107" s="56"/>
      <c r="N107" s="56"/>
      <c r="O107" s="56"/>
      <c r="P107" s="56"/>
      <c r="Q107" s="56"/>
      <c r="R107" s="56"/>
      <c r="S107" s="56"/>
      <c r="T107" s="56"/>
      <c r="U107" s="56"/>
      <c r="V107" s="56"/>
      <c r="W107" s="56"/>
      <c r="X107" s="56"/>
      <c r="Y107" s="56"/>
      <c r="Z107" s="56"/>
      <c r="AA107" s="144"/>
      <c r="AB107" s="144"/>
      <c r="AC107" s="144"/>
      <c r="AD107" s="144"/>
      <c r="AE107" s="144"/>
      <c r="AF107" s="144"/>
      <c r="AG107" s="144"/>
      <c r="AH107" s="56"/>
      <c r="AI107" s="144"/>
      <c r="AJ107" s="56"/>
      <c r="AK107" s="144"/>
      <c r="AL107" s="56"/>
      <c r="AM107" s="56"/>
      <c r="AN107" s="56"/>
      <c r="AO107" s="56"/>
      <c r="AP107" s="56"/>
      <c r="AQ107" s="56"/>
      <c r="AR107" s="56"/>
      <c r="AS107" s="56"/>
      <c r="AT107" s="56"/>
      <c r="AU107" s="56"/>
      <c r="AV107" s="56"/>
      <c r="AW107" s="56"/>
      <c r="AX107" s="56"/>
      <c r="AY107" s="56"/>
      <c r="AZ107" s="56"/>
      <c r="BA107" s="56"/>
      <c r="BB107" s="56"/>
      <c r="BC107" s="56">
        <v>1</v>
      </c>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row>
    <row r="108" spans="1:176" x14ac:dyDescent="0.25">
      <c r="A108" s="67"/>
      <c r="B108" s="66"/>
      <c r="C108" s="101" t="s">
        <v>11</v>
      </c>
      <c r="D108" s="49" t="s">
        <v>3613</v>
      </c>
      <c r="E108" s="101">
        <f t="array" ref="E108">SUMPRODUCT(H$9:BQ$9,IF(ISNUMBER(H108:BQ108),H108:BQ108,0))</f>
        <v>0</v>
      </c>
      <c r="F108" s="56"/>
      <c r="G108" s="56"/>
      <c r="H108" s="56"/>
      <c r="I108" s="56"/>
      <c r="J108" s="56"/>
      <c r="K108" s="56"/>
      <c r="L108" s="56"/>
      <c r="M108" s="56"/>
      <c r="N108" s="56"/>
      <c r="O108" s="56"/>
      <c r="P108" s="56"/>
      <c r="Q108" s="56"/>
      <c r="R108" s="56"/>
      <c r="S108" s="56"/>
      <c r="T108" s="56"/>
      <c r="U108" s="56"/>
      <c r="V108" s="56"/>
      <c r="W108" s="56"/>
      <c r="X108" s="56"/>
      <c r="Y108" s="56"/>
      <c r="Z108" s="56"/>
      <c r="AA108" s="144"/>
      <c r="AB108" s="144"/>
      <c r="AC108" s="144"/>
      <c r="AD108" s="144"/>
      <c r="AE108" s="144"/>
      <c r="AF108" s="144"/>
      <c r="AG108" s="144"/>
      <c r="AH108" s="56"/>
      <c r="AI108" s="144"/>
      <c r="AJ108" s="56"/>
      <c r="AK108" s="144"/>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row>
    <row r="109" spans="1:176" x14ac:dyDescent="0.25">
      <c r="A109" s="67"/>
      <c r="B109" s="66"/>
      <c r="C109" s="101" t="s">
        <v>11</v>
      </c>
      <c r="D109" s="49" t="s">
        <v>3620</v>
      </c>
      <c r="E109" s="101">
        <f t="array" ref="E109">SUMPRODUCT(H$9:BQ$9,IF(ISNUMBER(H109:BQ109),H109:BQ109,0))</f>
        <v>-1</v>
      </c>
      <c r="F109" s="56"/>
      <c r="G109" s="56"/>
      <c r="H109" s="56"/>
      <c r="I109" s="56"/>
      <c r="J109" s="56"/>
      <c r="K109" s="56"/>
      <c r="L109" s="56"/>
      <c r="M109" s="56"/>
      <c r="N109" s="56"/>
      <c r="O109" s="56"/>
      <c r="P109" s="56"/>
      <c r="Q109" s="56"/>
      <c r="R109" s="56"/>
      <c r="S109" s="56"/>
      <c r="T109" s="56"/>
      <c r="U109" s="56"/>
      <c r="V109" s="56"/>
      <c r="W109" s="56"/>
      <c r="X109" s="56"/>
      <c r="Y109" s="56"/>
      <c r="Z109" s="56"/>
      <c r="AA109" s="144"/>
      <c r="AB109" s="144"/>
      <c r="AC109" s="144"/>
      <c r="AD109" s="144"/>
      <c r="AE109" s="144"/>
      <c r="AF109" s="144"/>
      <c r="AG109" s="144"/>
      <c r="AH109" s="56"/>
      <c r="AI109" s="144"/>
      <c r="AJ109" s="56"/>
      <c r="AK109" s="144"/>
      <c r="AL109" s="56"/>
      <c r="AM109" s="56"/>
      <c r="AN109" s="56"/>
      <c r="AO109" s="56"/>
      <c r="AP109" s="56"/>
      <c r="AQ109" s="56"/>
      <c r="AR109" s="56"/>
      <c r="AS109" s="56"/>
      <c r="AT109" s="56"/>
      <c r="AU109" s="56"/>
      <c r="AV109" s="56"/>
      <c r="AW109" s="56"/>
      <c r="AX109" s="56"/>
      <c r="AY109" s="56"/>
      <c r="AZ109" s="56"/>
      <c r="BA109" s="56"/>
      <c r="BB109" s="56"/>
      <c r="BC109" s="56"/>
      <c r="BD109" s="56"/>
      <c r="BE109" s="56">
        <v>-1</v>
      </c>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row>
    <row r="110" spans="1:176" x14ac:dyDescent="0.25">
      <c r="A110" s="67"/>
      <c r="B110" s="66"/>
      <c r="C110" s="101" t="s">
        <v>11</v>
      </c>
      <c r="D110" s="49" t="s">
        <v>4312</v>
      </c>
      <c r="E110" s="101">
        <f t="array" ref="E110">SUMPRODUCT(H$9:BQ$9,IF(ISNUMBER(H110:BQ110),H110:BQ110,0))</f>
        <v>-0.5</v>
      </c>
      <c r="F110" s="56"/>
      <c r="G110" s="56"/>
      <c r="H110" s="56"/>
      <c r="I110" s="56"/>
      <c r="J110" s="56"/>
      <c r="K110" s="56"/>
      <c r="L110" s="56"/>
      <c r="M110" s="56"/>
      <c r="N110" s="56"/>
      <c r="O110" s="56"/>
      <c r="P110" s="56"/>
      <c r="Q110" s="56"/>
      <c r="R110" s="56"/>
      <c r="S110" s="56"/>
      <c r="T110" s="56"/>
      <c r="U110" s="56"/>
      <c r="V110" s="56"/>
      <c r="W110" s="56"/>
      <c r="X110" s="56"/>
      <c r="Y110" s="56"/>
      <c r="Z110" s="56"/>
      <c r="AA110" s="144"/>
      <c r="AB110" s="144"/>
      <c r="AC110" s="144"/>
      <c r="AD110" s="144"/>
      <c r="AE110" s="144"/>
      <c r="AF110" s="144"/>
      <c r="AG110" s="144"/>
      <c r="AH110" s="56"/>
      <c r="AI110" s="144"/>
      <c r="AJ110" s="56"/>
      <c r="AK110" s="144"/>
      <c r="AL110" s="56"/>
      <c r="AM110" s="56"/>
      <c r="AN110" s="56"/>
      <c r="AO110" s="56"/>
      <c r="AP110" s="56"/>
      <c r="AQ110" s="56"/>
      <c r="AR110" s="56"/>
      <c r="AS110" s="56"/>
      <c r="AT110" s="56"/>
      <c r="AU110" s="56"/>
      <c r="AV110" s="56"/>
      <c r="AW110" s="56"/>
      <c r="AX110" s="56"/>
      <c r="AY110" s="56"/>
      <c r="AZ110" s="56"/>
      <c r="BA110" s="56"/>
      <c r="BB110" s="56"/>
      <c r="BC110" s="56"/>
      <c r="BD110" s="56"/>
      <c r="BE110" s="56"/>
      <c r="BF110" s="56">
        <v>-0.5</v>
      </c>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row>
    <row r="111" spans="1:176" x14ac:dyDescent="0.25">
      <c r="A111" s="67"/>
      <c r="B111" s="66"/>
      <c r="C111" s="101" t="s">
        <v>11</v>
      </c>
      <c r="D111" s="49" t="s">
        <v>4313</v>
      </c>
      <c r="E111" s="101">
        <f t="array" ref="E111">SUMPRODUCT(H$9:BQ$9,IF(ISNUMBER(H111:BQ111),H111:BQ111,0))</f>
        <v>1</v>
      </c>
      <c r="F111" s="56"/>
      <c r="G111" s="56"/>
      <c r="H111" s="56"/>
      <c r="I111" s="56"/>
      <c r="J111" s="56"/>
      <c r="K111" s="56"/>
      <c r="L111" s="56"/>
      <c r="M111" s="56"/>
      <c r="N111" s="56"/>
      <c r="O111" s="56"/>
      <c r="P111" s="56"/>
      <c r="Q111" s="56"/>
      <c r="R111" s="56"/>
      <c r="S111" s="56"/>
      <c r="T111" s="56"/>
      <c r="U111" s="56"/>
      <c r="V111" s="56"/>
      <c r="W111" s="56"/>
      <c r="X111" s="56"/>
      <c r="Y111" s="56"/>
      <c r="Z111" s="56"/>
      <c r="AA111" s="144"/>
      <c r="AB111" s="144"/>
      <c r="AC111" s="144"/>
      <c r="AD111" s="144"/>
      <c r="AE111" s="144"/>
      <c r="AF111" s="144"/>
      <c r="AG111" s="144"/>
      <c r="AH111" s="56"/>
      <c r="AI111" s="144"/>
      <c r="AJ111" s="56"/>
      <c r="AK111" s="144"/>
      <c r="AL111" s="56"/>
      <c r="AM111" s="56"/>
      <c r="AN111" s="56"/>
      <c r="AO111" s="56"/>
      <c r="AP111" s="56"/>
      <c r="AQ111" s="56"/>
      <c r="AR111" s="56"/>
      <c r="AS111" s="56"/>
      <c r="AT111" s="56"/>
      <c r="AU111" s="56"/>
      <c r="AV111" s="56"/>
      <c r="AW111" s="56"/>
      <c r="AX111" s="56"/>
      <c r="AY111" s="56"/>
      <c r="AZ111" s="56"/>
      <c r="BA111" s="56"/>
      <c r="BB111" s="56"/>
      <c r="BC111" s="56"/>
      <c r="BD111" s="56"/>
      <c r="BE111" s="56"/>
      <c r="BF111" s="56">
        <v>1</v>
      </c>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row>
    <row r="112" spans="1:176" x14ac:dyDescent="0.25">
      <c r="A112" s="67"/>
      <c r="B112" s="66"/>
      <c r="C112" s="101" t="s">
        <v>11</v>
      </c>
      <c r="D112" s="49" t="s">
        <v>4314</v>
      </c>
      <c r="E112" s="101">
        <f t="array" ref="E112">SUMPRODUCT(H$9:BQ$9,IF(ISNUMBER(H112:BQ112),H112:BQ112,0))</f>
        <v>-0.5</v>
      </c>
      <c r="F112" s="56"/>
      <c r="G112" s="56"/>
      <c r="H112" s="56"/>
      <c r="I112" s="56"/>
      <c r="J112" s="56"/>
      <c r="K112" s="56"/>
      <c r="L112" s="56"/>
      <c r="M112" s="56"/>
      <c r="N112" s="56"/>
      <c r="O112" s="56"/>
      <c r="P112" s="56"/>
      <c r="Q112" s="56"/>
      <c r="R112" s="56"/>
      <c r="S112" s="56"/>
      <c r="T112" s="56"/>
      <c r="U112" s="56"/>
      <c r="V112" s="56"/>
      <c r="W112" s="56"/>
      <c r="X112" s="56"/>
      <c r="Y112" s="56"/>
      <c r="Z112" s="56"/>
      <c r="AA112" s="144"/>
      <c r="AB112" s="144"/>
      <c r="AC112" s="144"/>
      <c r="AD112" s="144"/>
      <c r="AE112" s="144"/>
      <c r="AF112" s="144"/>
      <c r="AG112" s="144"/>
      <c r="AH112" s="56"/>
      <c r="AI112" s="144"/>
      <c r="AJ112" s="56"/>
      <c r="AK112" s="144"/>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v>-0.5</v>
      </c>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row>
    <row r="113" spans="1:176" x14ac:dyDescent="0.25">
      <c r="A113" s="67"/>
      <c r="B113" s="66"/>
      <c r="C113" s="101" t="s">
        <v>11</v>
      </c>
      <c r="D113" s="49" t="s">
        <v>4315</v>
      </c>
      <c r="E113" s="101">
        <f t="array" ref="E113">SUMPRODUCT(H$9:BQ$9,IF(ISNUMBER(H113:BQ113),H113:BQ113,0))</f>
        <v>-0.5</v>
      </c>
      <c r="F113" s="56"/>
      <c r="G113" s="56"/>
      <c r="H113" s="56"/>
      <c r="I113" s="56"/>
      <c r="J113" s="56"/>
      <c r="K113" s="56"/>
      <c r="L113" s="56"/>
      <c r="M113" s="56"/>
      <c r="N113" s="56"/>
      <c r="O113" s="56"/>
      <c r="P113" s="56"/>
      <c r="Q113" s="56"/>
      <c r="R113" s="56"/>
      <c r="S113" s="56"/>
      <c r="T113" s="56"/>
      <c r="U113" s="56"/>
      <c r="V113" s="56"/>
      <c r="W113" s="56"/>
      <c r="X113" s="56"/>
      <c r="Y113" s="56"/>
      <c r="Z113" s="56"/>
      <c r="AA113" s="144"/>
      <c r="AB113" s="144"/>
      <c r="AC113" s="144"/>
      <c r="AD113" s="144"/>
      <c r="AE113" s="144"/>
      <c r="AF113" s="144"/>
      <c r="AG113" s="144"/>
      <c r="AH113" s="56"/>
      <c r="AI113" s="144"/>
      <c r="AJ113" s="56"/>
      <c r="AK113" s="144"/>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v>-0.5</v>
      </c>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row>
    <row r="114" spans="1:176" x14ac:dyDescent="0.25">
      <c r="A114" s="67"/>
      <c r="B114" s="66"/>
      <c r="C114" s="101" t="s">
        <v>11</v>
      </c>
      <c r="D114" s="49" t="s">
        <v>4316</v>
      </c>
      <c r="E114" s="101">
        <f t="array" ref="E114">SUMPRODUCT(H$9:BQ$9,IF(ISNUMBER(H114:BQ114),H114:BQ114,0))</f>
        <v>0.5</v>
      </c>
      <c r="F114" s="56"/>
      <c r="G114" s="56"/>
      <c r="H114" s="56"/>
      <c r="I114" s="56"/>
      <c r="J114" s="56"/>
      <c r="K114" s="56"/>
      <c r="L114" s="56"/>
      <c r="M114" s="56"/>
      <c r="N114" s="56"/>
      <c r="O114" s="56"/>
      <c r="P114" s="56"/>
      <c r="Q114" s="56"/>
      <c r="R114" s="56"/>
      <c r="S114" s="56"/>
      <c r="T114" s="56"/>
      <c r="U114" s="56"/>
      <c r="V114" s="56"/>
      <c r="W114" s="56"/>
      <c r="X114" s="56"/>
      <c r="Y114" s="56"/>
      <c r="Z114" s="56"/>
      <c r="AA114" s="144"/>
      <c r="AB114" s="144"/>
      <c r="AC114" s="144"/>
      <c r="AD114" s="144"/>
      <c r="AE114" s="144"/>
      <c r="AF114" s="144"/>
      <c r="AG114" s="144"/>
      <c r="AH114" s="56"/>
      <c r="AI114" s="144"/>
      <c r="AJ114" s="56"/>
      <c r="AK114" s="144"/>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v>0.5</v>
      </c>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56"/>
      <c r="ED114" s="56"/>
      <c r="EE114" s="56"/>
      <c r="EF114" s="56"/>
      <c r="EG114" s="56"/>
      <c r="EH114" s="56"/>
      <c r="EI114" s="56"/>
      <c r="EJ114" s="56"/>
      <c r="EK114" s="56"/>
      <c r="EL114" s="56"/>
      <c r="EM114" s="56"/>
      <c r="EN114" s="56"/>
      <c r="EO114" s="56"/>
      <c r="EP114" s="56"/>
      <c r="EQ114" s="56"/>
      <c r="ER114" s="56"/>
      <c r="ES114" s="56"/>
      <c r="ET114" s="56"/>
      <c r="EU114" s="56"/>
      <c r="EV114" s="56"/>
      <c r="EW114" s="56"/>
      <c r="EX114" s="56"/>
      <c r="EY114" s="56"/>
      <c r="EZ114" s="56"/>
      <c r="FA114" s="56"/>
      <c r="FB114" s="56"/>
      <c r="FC114" s="56"/>
      <c r="FD114" s="56"/>
      <c r="FE114" s="56"/>
      <c r="FF114" s="56"/>
      <c r="FG114" s="56"/>
      <c r="FH114" s="56"/>
      <c r="FI114" s="56"/>
      <c r="FJ114" s="56"/>
      <c r="FK114" s="56"/>
      <c r="FL114" s="56"/>
      <c r="FM114" s="56"/>
      <c r="FN114" s="56"/>
      <c r="FO114" s="56"/>
      <c r="FP114" s="56"/>
      <c r="FQ114" s="56"/>
      <c r="FR114" s="56"/>
      <c r="FS114" s="56"/>
      <c r="FT114" s="56"/>
    </row>
    <row r="115" spans="1:176" x14ac:dyDescent="0.25">
      <c r="A115" s="67"/>
      <c r="B115" s="66"/>
      <c r="C115" s="101" t="s">
        <v>11</v>
      </c>
      <c r="D115" s="49" t="s">
        <v>4317</v>
      </c>
      <c r="E115" s="101">
        <f t="array" ref="E115">SUMPRODUCT(H$9:BQ$9,IF(ISNUMBER(H115:BQ115),H115:BQ115,0))</f>
        <v>0.5</v>
      </c>
      <c r="F115" s="56"/>
      <c r="G115" s="56"/>
      <c r="H115" s="56"/>
      <c r="I115" s="56"/>
      <c r="J115" s="56"/>
      <c r="K115" s="56"/>
      <c r="L115" s="56"/>
      <c r="M115" s="56"/>
      <c r="N115" s="56"/>
      <c r="O115" s="56"/>
      <c r="P115" s="56"/>
      <c r="Q115" s="56"/>
      <c r="R115" s="56"/>
      <c r="S115" s="56"/>
      <c r="T115" s="56"/>
      <c r="U115" s="56"/>
      <c r="V115" s="56"/>
      <c r="W115" s="56"/>
      <c r="X115" s="56"/>
      <c r="Y115" s="56"/>
      <c r="Z115" s="56"/>
      <c r="AA115" s="144"/>
      <c r="AB115" s="144"/>
      <c r="AC115" s="144"/>
      <c r="AD115" s="144"/>
      <c r="AE115" s="144"/>
      <c r="AF115" s="144"/>
      <c r="AG115" s="144"/>
      <c r="AH115" s="56"/>
      <c r="AI115" s="144"/>
      <c r="AJ115" s="56"/>
      <c r="AK115" s="144"/>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v>0.5</v>
      </c>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row>
    <row r="116" spans="1:176" x14ac:dyDescent="0.25">
      <c r="A116" s="67"/>
      <c r="B116" s="66"/>
      <c r="C116" s="101" t="s">
        <v>11</v>
      </c>
      <c r="D116" s="49" t="s">
        <v>3690</v>
      </c>
      <c r="E116" s="101">
        <f t="array" ref="E116">SUMPRODUCT(H$9:BQ$9,IF(ISNUMBER(H116:BQ116),H116:BQ116,0))</f>
        <v>1</v>
      </c>
      <c r="F116" s="56"/>
      <c r="G116" s="56"/>
      <c r="H116" s="56"/>
      <c r="I116" s="56"/>
      <c r="J116" s="56"/>
      <c r="K116" s="56"/>
      <c r="L116" s="56"/>
      <c r="M116" s="56"/>
      <c r="N116" s="56"/>
      <c r="O116" s="56"/>
      <c r="P116" s="56"/>
      <c r="Q116" s="56"/>
      <c r="R116" s="56"/>
      <c r="S116" s="56"/>
      <c r="T116" s="56"/>
      <c r="U116" s="56"/>
      <c r="V116" s="56"/>
      <c r="W116" s="56"/>
      <c r="X116" s="56"/>
      <c r="Y116" s="56"/>
      <c r="Z116" s="56"/>
      <c r="AA116" s="144"/>
      <c r="AB116" s="144"/>
      <c r="AC116" s="144"/>
      <c r="AD116" s="144"/>
      <c r="AE116" s="144"/>
      <c r="AF116" s="144"/>
      <c r="AG116" s="144"/>
      <c r="AH116" s="56"/>
      <c r="AI116" s="144"/>
      <c r="AJ116" s="56"/>
      <c r="AK116" s="144"/>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v>1</v>
      </c>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row>
    <row r="117" spans="1:176" x14ac:dyDescent="0.25">
      <c r="A117" s="67"/>
      <c r="B117" s="66"/>
      <c r="C117" s="101" t="s">
        <v>11</v>
      </c>
      <c r="D117" s="49" t="s">
        <v>438</v>
      </c>
      <c r="E117" s="101">
        <f t="array" ref="E117">SUMPRODUCT(H$9:BQ$9,IF(ISNUMBER(H117:BQ117),H117:BQ117,0))</f>
        <v>-1</v>
      </c>
      <c r="F117" s="56"/>
      <c r="G117" s="56"/>
      <c r="H117" s="56"/>
      <c r="I117" s="56"/>
      <c r="J117" s="56"/>
      <c r="K117" s="56"/>
      <c r="L117" s="56"/>
      <c r="M117" s="56"/>
      <c r="N117" s="56"/>
      <c r="O117" s="56"/>
      <c r="P117" s="56"/>
      <c r="Q117" s="56"/>
      <c r="R117" s="56"/>
      <c r="S117" s="56"/>
      <c r="T117" s="56"/>
      <c r="U117" s="56"/>
      <c r="V117" s="56"/>
      <c r="W117" s="56"/>
      <c r="X117" s="56"/>
      <c r="Y117" s="56"/>
      <c r="Z117" s="56"/>
      <c r="AA117" s="144"/>
      <c r="AB117" s="144"/>
      <c r="AC117" s="144"/>
      <c r="AD117" s="144"/>
      <c r="AE117" s="144"/>
      <c r="AF117" s="144"/>
      <c r="AG117" s="144"/>
      <c r="AH117" s="56"/>
      <c r="AI117" s="144"/>
      <c r="AJ117" s="56"/>
      <c r="AK117" s="144"/>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v>-1</v>
      </c>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row>
    <row r="118" spans="1:176" x14ac:dyDescent="0.25">
      <c r="A118" s="67"/>
      <c r="B118" s="66"/>
      <c r="C118" s="101" t="s">
        <v>11</v>
      </c>
      <c r="D118" s="49" t="s">
        <v>4318</v>
      </c>
      <c r="E118" s="101">
        <f t="array" ref="E118">SUMPRODUCT(H$9:BQ$9,IF(ISNUMBER(H118:BQ118),H118:BQ118,0))</f>
        <v>-0.5</v>
      </c>
      <c r="F118" s="56"/>
      <c r="G118" s="56"/>
      <c r="H118" s="56"/>
      <c r="I118" s="56"/>
      <c r="J118" s="56"/>
      <c r="K118" s="56"/>
      <c r="L118" s="56"/>
      <c r="M118" s="56"/>
      <c r="N118" s="56"/>
      <c r="O118" s="56"/>
      <c r="P118" s="56"/>
      <c r="Q118" s="56"/>
      <c r="R118" s="56"/>
      <c r="S118" s="56"/>
      <c r="T118" s="56"/>
      <c r="U118" s="56"/>
      <c r="V118" s="56"/>
      <c r="W118" s="56"/>
      <c r="X118" s="56"/>
      <c r="Y118" s="56"/>
      <c r="Z118" s="56"/>
      <c r="AA118" s="144"/>
      <c r="AB118" s="144"/>
      <c r="AC118" s="144"/>
      <c r="AD118" s="144"/>
      <c r="AE118" s="144"/>
      <c r="AF118" s="144"/>
      <c r="AG118" s="144"/>
      <c r="AH118" s="56"/>
      <c r="AI118" s="144"/>
      <c r="AJ118" s="56"/>
      <c r="AK118" s="144"/>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v>-0.5</v>
      </c>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row>
    <row r="119" spans="1:176" x14ac:dyDescent="0.25">
      <c r="A119" s="67"/>
      <c r="B119" s="66"/>
      <c r="C119" s="101" t="s">
        <v>11</v>
      </c>
      <c r="D119" s="49" t="s">
        <v>3799</v>
      </c>
      <c r="E119" s="101">
        <f t="array" ref="E119">SUMPRODUCT(H$9:BQ$9,IF(ISNUMBER(H119:BQ119),H119:BQ119,0))</f>
        <v>0</v>
      </c>
      <c r="F119" s="56"/>
      <c r="G119" s="56"/>
      <c r="H119" s="56"/>
      <c r="I119" s="56"/>
      <c r="J119" s="56"/>
      <c r="K119" s="56"/>
      <c r="L119" s="56"/>
      <c r="M119" s="56"/>
      <c r="N119" s="56"/>
      <c r="O119" s="56"/>
      <c r="P119" s="56"/>
      <c r="Q119" s="56"/>
      <c r="R119" s="56"/>
      <c r="S119" s="56"/>
      <c r="T119" s="56"/>
      <c r="U119" s="56"/>
      <c r="V119" s="56"/>
      <c r="W119" s="56"/>
      <c r="X119" s="56"/>
      <c r="Y119" s="56"/>
      <c r="Z119" s="56"/>
      <c r="AA119" s="144"/>
      <c r="AB119" s="144"/>
      <c r="AC119" s="144"/>
      <c r="AD119" s="144"/>
      <c r="AE119" s="144"/>
      <c r="AF119" s="144"/>
      <c r="AG119" s="144"/>
      <c r="AH119" s="56"/>
      <c r="AI119" s="144"/>
      <c r="AJ119" s="56"/>
      <c r="AK119" s="144"/>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v>1</v>
      </c>
      <c r="BK119" s="56"/>
      <c r="BL119" s="56"/>
      <c r="BM119" s="56"/>
      <c r="BN119" s="56"/>
      <c r="BO119" s="56">
        <v>-1</v>
      </c>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row>
    <row r="120" spans="1:176" x14ac:dyDescent="0.25">
      <c r="A120" s="67"/>
      <c r="B120" s="66"/>
      <c r="C120" s="101" t="s">
        <v>11</v>
      </c>
      <c r="D120" s="49" t="s">
        <v>3853</v>
      </c>
      <c r="E120" s="101">
        <f t="array" ref="E120">SUMPRODUCT(H$9:BQ$9,IF(ISNUMBER(H120:BQ120),H120:BQ120,0))</f>
        <v>-1</v>
      </c>
      <c r="F120" s="56"/>
      <c r="G120" s="56"/>
      <c r="H120" s="56"/>
      <c r="I120" s="56"/>
      <c r="J120" s="56"/>
      <c r="K120" s="56"/>
      <c r="L120" s="56"/>
      <c r="M120" s="56"/>
      <c r="N120" s="56"/>
      <c r="O120" s="56"/>
      <c r="P120" s="56"/>
      <c r="Q120" s="56"/>
      <c r="R120" s="56"/>
      <c r="S120" s="56"/>
      <c r="T120" s="56"/>
      <c r="U120" s="56"/>
      <c r="V120" s="56"/>
      <c r="W120" s="56"/>
      <c r="X120" s="56"/>
      <c r="Y120" s="56"/>
      <c r="Z120" s="56"/>
      <c r="AA120" s="144"/>
      <c r="AB120" s="144"/>
      <c r="AC120" s="144"/>
      <c r="AD120" s="144"/>
      <c r="AE120" s="144"/>
      <c r="AF120" s="144"/>
      <c r="AG120" s="144"/>
      <c r="AH120" s="56"/>
      <c r="AI120" s="144"/>
      <c r="AJ120" s="56"/>
      <c r="AK120" s="144"/>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v>-1</v>
      </c>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row>
    <row r="121" spans="1:176" x14ac:dyDescent="0.25">
      <c r="A121" s="67"/>
      <c r="B121" s="66"/>
      <c r="C121" s="101" t="s">
        <v>11</v>
      </c>
      <c r="D121" s="49" t="s">
        <v>4319</v>
      </c>
      <c r="E121" s="101">
        <f t="array" ref="E121">SUMPRODUCT(H$9:BQ$9,IF(ISNUMBER(H121:BQ121),H121:BQ121,0))</f>
        <v>0.5</v>
      </c>
      <c r="F121" s="56"/>
      <c r="G121" s="56"/>
      <c r="H121" s="56"/>
      <c r="I121" s="56"/>
      <c r="J121" s="56"/>
      <c r="K121" s="56"/>
      <c r="L121" s="56"/>
      <c r="M121" s="56"/>
      <c r="N121" s="56"/>
      <c r="O121" s="56"/>
      <c r="P121" s="56"/>
      <c r="Q121" s="56"/>
      <c r="R121" s="56"/>
      <c r="S121" s="56"/>
      <c r="T121" s="56"/>
      <c r="U121" s="56"/>
      <c r="V121" s="56"/>
      <c r="W121" s="56"/>
      <c r="X121" s="56"/>
      <c r="Y121" s="56"/>
      <c r="Z121" s="56"/>
      <c r="AA121" s="144"/>
      <c r="AB121" s="144"/>
      <c r="AC121" s="144"/>
      <c r="AD121" s="144"/>
      <c r="AE121" s="144"/>
      <c r="AF121" s="144"/>
      <c r="AG121" s="144"/>
      <c r="AH121" s="56"/>
      <c r="AI121" s="144"/>
      <c r="AJ121" s="56"/>
      <c r="AK121" s="144"/>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v>0.5</v>
      </c>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row>
    <row r="122" spans="1:176" x14ac:dyDescent="0.25">
      <c r="A122" s="67"/>
      <c r="B122" s="66"/>
      <c r="C122" s="101" t="s">
        <v>11</v>
      </c>
      <c r="D122" s="49" t="s">
        <v>3936</v>
      </c>
      <c r="E122" s="101">
        <f t="array" ref="E122">SUMPRODUCT(H$9:BQ$9,IF(ISNUMBER(H122:BQ122),H122:BQ122,0))</f>
        <v>-1.5</v>
      </c>
      <c r="F122" s="56"/>
      <c r="G122" s="56"/>
      <c r="H122" s="56"/>
      <c r="I122" s="56"/>
      <c r="J122" s="56"/>
      <c r="K122" s="56"/>
      <c r="L122" s="56"/>
      <c r="M122" s="56"/>
      <c r="N122" s="56"/>
      <c r="O122" s="56"/>
      <c r="P122" s="56"/>
      <c r="Q122" s="56"/>
      <c r="R122" s="56"/>
      <c r="S122" s="56"/>
      <c r="T122" s="56"/>
      <c r="U122" s="56"/>
      <c r="V122" s="56"/>
      <c r="W122" s="56"/>
      <c r="X122" s="56"/>
      <c r="Y122" s="56"/>
      <c r="Z122" s="56"/>
      <c r="AA122" s="144"/>
      <c r="AB122" s="144"/>
      <c r="AC122" s="144"/>
      <c r="AD122" s="144"/>
      <c r="AE122" s="144"/>
      <c r="AF122" s="144"/>
      <c r="AG122" s="144"/>
      <c r="AH122" s="56"/>
      <c r="AI122" s="144"/>
      <c r="AJ122" s="56"/>
      <c r="AK122" s="144"/>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v>0.5</v>
      </c>
      <c r="BL122" s="56"/>
      <c r="BM122" s="56">
        <v>-1</v>
      </c>
      <c r="BN122" s="56">
        <v>-1</v>
      </c>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row>
    <row r="123" spans="1:176" x14ac:dyDescent="0.25">
      <c r="A123" s="67"/>
      <c r="B123" s="66"/>
      <c r="C123" s="101" t="s">
        <v>11</v>
      </c>
      <c r="D123" s="49" t="s">
        <v>4320</v>
      </c>
      <c r="E123" s="101">
        <f t="array" ref="E123">SUMPRODUCT(H$9:BQ$9,IF(ISNUMBER(H123:BQ123),H123:BQ123,0))</f>
        <v>0.5</v>
      </c>
      <c r="F123" s="56"/>
      <c r="G123" s="56"/>
      <c r="H123" s="56"/>
      <c r="I123" s="56"/>
      <c r="J123" s="56"/>
      <c r="K123" s="56"/>
      <c r="L123" s="56"/>
      <c r="M123" s="56"/>
      <c r="N123" s="56"/>
      <c r="O123" s="56"/>
      <c r="P123" s="56"/>
      <c r="Q123" s="56"/>
      <c r="R123" s="56"/>
      <c r="S123" s="56"/>
      <c r="T123" s="56"/>
      <c r="U123" s="56"/>
      <c r="V123" s="56"/>
      <c r="W123" s="56"/>
      <c r="X123" s="56"/>
      <c r="Y123" s="56"/>
      <c r="Z123" s="56"/>
      <c r="AA123" s="144"/>
      <c r="AB123" s="144"/>
      <c r="AC123" s="144"/>
      <c r="AD123" s="144"/>
      <c r="AE123" s="144"/>
      <c r="AF123" s="144"/>
      <c r="AG123" s="144"/>
      <c r="AH123" s="56"/>
      <c r="AI123" s="144"/>
      <c r="AJ123" s="56"/>
      <c r="AK123" s="144"/>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v>0.5</v>
      </c>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row>
    <row r="124" spans="1:176" x14ac:dyDescent="0.25">
      <c r="A124" s="67"/>
      <c r="B124" s="66"/>
      <c r="C124" s="101" t="s">
        <v>11</v>
      </c>
      <c r="D124" s="49" t="s">
        <v>4321</v>
      </c>
      <c r="E124" s="101">
        <f t="array" ref="E124">SUMPRODUCT(H$9:BQ$9,IF(ISNUMBER(H124:BQ124),H124:BQ124,0))</f>
        <v>0.5</v>
      </c>
      <c r="F124" s="56"/>
      <c r="G124" s="56"/>
      <c r="H124" s="56"/>
      <c r="I124" s="56"/>
      <c r="J124" s="56"/>
      <c r="K124" s="56"/>
      <c r="L124" s="56"/>
      <c r="M124" s="56"/>
      <c r="N124" s="56"/>
      <c r="O124" s="56"/>
      <c r="P124" s="56"/>
      <c r="Q124" s="56"/>
      <c r="R124" s="56"/>
      <c r="S124" s="56"/>
      <c r="T124" s="56"/>
      <c r="U124" s="56"/>
      <c r="V124" s="56"/>
      <c r="W124" s="56"/>
      <c r="X124" s="56"/>
      <c r="Y124" s="56"/>
      <c r="Z124" s="56"/>
      <c r="AA124" s="144"/>
      <c r="AB124" s="144"/>
      <c r="AC124" s="144"/>
      <c r="AD124" s="144"/>
      <c r="AE124" s="144"/>
      <c r="AF124" s="144"/>
      <c r="AG124" s="144"/>
      <c r="AH124" s="56"/>
      <c r="AI124" s="144"/>
      <c r="AJ124" s="56"/>
      <c r="AK124" s="144"/>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v>0.5</v>
      </c>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row>
    <row r="125" spans="1:176" x14ac:dyDescent="0.25">
      <c r="A125" s="67"/>
      <c r="B125" s="66"/>
      <c r="C125" s="101" t="s">
        <v>11</v>
      </c>
      <c r="D125" s="49" t="s">
        <v>3934</v>
      </c>
      <c r="E125" s="101">
        <f t="array" ref="E125">SUMPRODUCT(H$9:BQ$9,IF(ISNUMBER(H125:BQ125),H125:BQ125,0))</f>
        <v>1</v>
      </c>
      <c r="F125" s="56"/>
      <c r="G125" s="56"/>
      <c r="H125" s="56"/>
      <c r="I125" s="56"/>
      <c r="J125" s="56"/>
      <c r="K125" s="56"/>
      <c r="L125" s="56"/>
      <c r="M125" s="56"/>
      <c r="N125" s="56"/>
      <c r="O125" s="56"/>
      <c r="P125" s="56"/>
      <c r="Q125" s="56"/>
      <c r="R125" s="56"/>
      <c r="S125" s="56"/>
      <c r="T125" s="56"/>
      <c r="U125" s="56"/>
      <c r="V125" s="56"/>
      <c r="W125" s="56"/>
      <c r="X125" s="56"/>
      <c r="Y125" s="56"/>
      <c r="Z125" s="56"/>
      <c r="AA125" s="144"/>
      <c r="AB125" s="144"/>
      <c r="AC125" s="144"/>
      <c r="AD125" s="144"/>
      <c r="AE125" s="144"/>
      <c r="AF125" s="144"/>
      <c r="AG125" s="144"/>
      <c r="AH125" s="56"/>
      <c r="AI125" s="144"/>
      <c r="AJ125" s="56"/>
      <c r="AK125" s="144"/>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v>1</v>
      </c>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row>
    <row r="126" spans="1:176" x14ac:dyDescent="0.25">
      <c r="A126" s="67"/>
      <c r="B126" s="66"/>
      <c r="C126" s="101" t="s">
        <v>11</v>
      </c>
      <c r="D126" s="49" t="s">
        <v>3932</v>
      </c>
      <c r="E126" s="101">
        <f t="array" ref="E126">SUMPRODUCT(H$9:BQ$9,IF(ISNUMBER(H126:BQ126),H126:BQ126,0))</f>
        <v>1</v>
      </c>
      <c r="F126" s="56"/>
      <c r="G126" s="56"/>
      <c r="H126" s="56"/>
      <c r="I126" s="56"/>
      <c r="J126" s="56"/>
      <c r="K126" s="56"/>
      <c r="L126" s="56"/>
      <c r="M126" s="56"/>
      <c r="N126" s="56"/>
      <c r="O126" s="56"/>
      <c r="P126" s="56"/>
      <c r="Q126" s="56"/>
      <c r="R126" s="56"/>
      <c r="S126" s="56"/>
      <c r="T126" s="56"/>
      <c r="U126" s="56"/>
      <c r="V126" s="56"/>
      <c r="W126" s="56"/>
      <c r="X126" s="56"/>
      <c r="Y126" s="56"/>
      <c r="Z126" s="56"/>
      <c r="AA126" s="144"/>
      <c r="AB126" s="144"/>
      <c r="AC126" s="144"/>
      <c r="AD126" s="144"/>
      <c r="AE126" s="144"/>
      <c r="AF126" s="144"/>
      <c r="AG126" s="144"/>
      <c r="AH126" s="56"/>
      <c r="AI126" s="144"/>
      <c r="AJ126" s="56"/>
      <c r="AK126" s="144"/>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v>1</v>
      </c>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6"/>
      <c r="DG126" s="56"/>
      <c r="DH126" s="56"/>
      <c r="DI126" s="56"/>
      <c r="DJ126" s="56"/>
      <c r="DK126" s="56"/>
      <c r="DL126" s="56"/>
      <c r="DM126" s="56"/>
      <c r="DN126" s="56"/>
      <c r="DO126" s="56"/>
      <c r="DP126" s="56"/>
      <c r="DQ126" s="56"/>
      <c r="DR126" s="56"/>
      <c r="DS126" s="56"/>
      <c r="DT126" s="56"/>
      <c r="DU126" s="56"/>
      <c r="DV126" s="56"/>
      <c r="DW126" s="56"/>
      <c r="DX126" s="56"/>
      <c r="DY126" s="56"/>
      <c r="DZ126" s="56"/>
      <c r="EA126" s="56"/>
      <c r="EB126" s="56"/>
      <c r="EC126" s="56"/>
      <c r="ED126" s="56"/>
      <c r="EE126" s="56"/>
      <c r="EF126" s="56"/>
      <c r="EG126" s="56"/>
      <c r="EH126" s="56"/>
      <c r="EI126" s="56"/>
      <c r="EJ126" s="56"/>
      <c r="EK126" s="56"/>
      <c r="EL126" s="56"/>
      <c r="EM126" s="56"/>
      <c r="EN126" s="56"/>
      <c r="EO126" s="56"/>
      <c r="EP126" s="56"/>
      <c r="EQ126" s="56"/>
      <c r="ER126" s="56"/>
      <c r="ES126" s="56"/>
      <c r="ET126" s="56"/>
      <c r="EU126" s="56"/>
      <c r="EV126" s="56"/>
      <c r="EW126" s="56"/>
      <c r="EX126" s="56"/>
      <c r="EY126" s="56"/>
      <c r="EZ126" s="56"/>
      <c r="FA126" s="56"/>
      <c r="FB126" s="56"/>
      <c r="FC126" s="56"/>
      <c r="FD126" s="56"/>
      <c r="FE126" s="56"/>
      <c r="FF126" s="56"/>
      <c r="FG126" s="56"/>
      <c r="FH126" s="56"/>
      <c r="FI126" s="56"/>
      <c r="FJ126" s="56"/>
      <c r="FK126" s="56"/>
      <c r="FL126" s="56"/>
      <c r="FM126" s="56"/>
      <c r="FN126" s="56"/>
      <c r="FO126" s="56"/>
      <c r="FP126" s="56"/>
      <c r="FQ126" s="56"/>
      <c r="FR126" s="56"/>
      <c r="FS126" s="56"/>
      <c r="FT126" s="56"/>
    </row>
    <row r="127" spans="1:176" x14ac:dyDescent="0.25">
      <c r="A127" s="67"/>
      <c r="B127" s="66"/>
      <c r="C127" s="101" t="s">
        <v>11</v>
      </c>
      <c r="D127" s="49" t="s">
        <v>3949</v>
      </c>
      <c r="E127" s="101">
        <f t="array" ref="E127">SUMPRODUCT(H$9:BQ$9,IF(ISNUMBER(H127:BQ127),H127:BQ127,0))</f>
        <v>0</v>
      </c>
      <c r="F127" s="56"/>
      <c r="G127" s="56"/>
      <c r="H127" s="56"/>
      <c r="I127" s="56"/>
      <c r="J127" s="56"/>
      <c r="K127" s="56"/>
      <c r="L127" s="56"/>
      <c r="M127" s="56"/>
      <c r="N127" s="56"/>
      <c r="O127" s="56"/>
      <c r="P127" s="56"/>
      <c r="Q127" s="56"/>
      <c r="R127" s="56"/>
      <c r="S127" s="56"/>
      <c r="T127" s="56"/>
      <c r="U127" s="56"/>
      <c r="V127" s="56"/>
      <c r="W127" s="56"/>
      <c r="X127" s="56"/>
      <c r="Y127" s="56"/>
      <c r="Z127" s="56"/>
      <c r="AA127" s="144"/>
      <c r="AB127" s="144"/>
      <c r="AC127" s="144"/>
      <c r="AD127" s="144"/>
      <c r="AE127" s="144"/>
      <c r="AF127" s="144"/>
      <c r="AG127" s="144"/>
      <c r="AH127" s="56"/>
      <c r="AI127" s="144"/>
      <c r="AJ127" s="56"/>
      <c r="AK127" s="144"/>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v>1</v>
      </c>
      <c r="BP127" s="56">
        <v>-1</v>
      </c>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56"/>
      <c r="ED127" s="56"/>
      <c r="EE127" s="56"/>
      <c r="EF127" s="56"/>
      <c r="EG127" s="56"/>
      <c r="EH127" s="56"/>
      <c r="EI127" s="56"/>
      <c r="EJ127" s="56"/>
      <c r="EK127" s="56"/>
      <c r="EL127" s="56"/>
      <c r="EM127" s="56"/>
      <c r="EN127" s="56"/>
      <c r="EO127" s="56"/>
      <c r="EP127" s="56"/>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c r="FS127" s="56"/>
      <c r="FT127" s="56"/>
    </row>
    <row r="128" spans="1:176" x14ac:dyDescent="0.25">
      <c r="A128" s="67"/>
      <c r="B128" s="66"/>
      <c r="C128" s="101" t="s">
        <v>11</v>
      </c>
      <c r="D128" s="49" t="s">
        <v>4322</v>
      </c>
      <c r="E128" s="101">
        <f t="array" ref="E128">SUMPRODUCT(H$9:BQ$9,IF(ISNUMBER(H128:BQ128),H128:BQ128,0))</f>
        <v>0.5</v>
      </c>
      <c r="F128" s="56"/>
      <c r="G128" s="56"/>
      <c r="H128" s="56"/>
      <c r="I128" s="56"/>
      <c r="J128" s="56"/>
      <c r="K128" s="56"/>
      <c r="L128" s="56"/>
      <c r="M128" s="56"/>
      <c r="N128" s="56"/>
      <c r="O128" s="56"/>
      <c r="P128" s="56"/>
      <c r="Q128" s="56"/>
      <c r="R128" s="56"/>
      <c r="S128" s="56"/>
      <c r="T128" s="56"/>
      <c r="U128" s="56"/>
      <c r="V128" s="56"/>
      <c r="W128" s="56"/>
      <c r="X128" s="56"/>
      <c r="Y128" s="56"/>
      <c r="Z128" s="56"/>
      <c r="AA128" s="144"/>
      <c r="AB128" s="144"/>
      <c r="AC128" s="144"/>
      <c r="AD128" s="144"/>
      <c r="AE128" s="144"/>
      <c r="AF128" s="144"/>
      <c r="AG128" s="144"/>
      <c r="AH128" s="56"/>
      <c r="AI128" s="144"/>
      <c r="AJ128" s="56"/>
      <c r="AK128" s="144"/>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v>0.5</v>
      </c>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row>
    <row r="129" spans="1:176" x14ac:dyDescent="0.25">
      <c r="A129" s="67"/>
      <c r="B129" s="66"/>
      <c r="C129" s="101" t="s">
        <v>11</v>
      </c>
      <c r="D129" s="49" t="s">
        <v>4323</v>
      </c>
      <c r="E129" s="101">
        <f t="array" ref="E129">SUMPRODUCT(H$9:BQ$9,IF(ISNUMBER(H129:BQ129),H129:BQ129,0))</f>
        <v>0.5</v>
      </c>
      <c r="F129" s="56"/>
      <c r="G129" s="56"/>
      <c r="H129" s="56"/>
      <c r="I129" s="56"/>
      <c r="J129" s="56"/>
      <c r="K129" s="56"/>
      <c r="L129" s="56"/>
      <c r="M129" s="56"/>
      <c r="N129" s="56"/>
      <c r="O129" s="56"/>
      <c r="P129" s="56"/>
      <c r="Q129" s="56"/>
      <c r="R129" s="56"/>
      <c r="S129" s="56"/>
      <c r="T129" s="56"/>
      <c r="U129" s="56"/>
      <c r="V129" s="56"/>
      <c r="W129" s="56"/>
      <c r="X129" s="56"/>
      <c r="Y129" s="56"/>
      <c r="Z129" s="56"/>
      <c r="AA129" s="144"/>
      <c r="AB129" s="144"/>
      <c r="AC129" s="144"/>
      <c r="AD129" s="144"/>
      <c r="AE129" s="144"/>
      <c r="AF129" s="144"/>
      <c r="AG129" s="144"/>
      <c r="AH129" s="56"/>
      <c r="AI129" s="144"/>
      <c r="AJ129" s="56"/>
      <c r="AK129" s="144"/>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v>0.5</v>
      </c>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row>
    <row r="130" spans="1:176" x14ac:dyDescent="0.25">
      <c r="A130" s="67"/>
      <c r="B130" s="66"/>
      <c r="C130" s="101" t="s">
        <v>11</v>
      </c>
      <c r="D130" s="49" t="s">
        <v>4042</v>
      </c>
      <c r="E130" s="101">
        <f t="array" ref="E130">SUMPRODUCT(H$9:BQ$9,IF(ISNUMBER(H130:BQ130),H130:BQ130,0))</f>
        <v>0</v>
      </c>
      <c r="F130" s="56"/>
      <c r="G130" s="56"/>
      <c r="H130" s="56"/>
      <c r="I130" s="56"/>
      <c r="J130" s="56"/>
      <c r="K130" s="56"/>
      <c r="L130" s="56"/>
      <c r="M130" s="56"/>
      <c r="N130" s="56"/>
      <c r="O130" s="56"/>
      <c r="P130" s="56"/>
      <c r="Q130" s="56"/>
      <c r="R130" s="56"/>
      <c r="S130" s="56"/>
      <c r="T130" s="56"/>
      <c r="U130" s="56"/>
      <c r="V130" s="56"/>
      <c r="W130" s="56"/>
      <c r="X130" s="56"/>
      <c r="Y130" s="56"/>
      <c r="Z130" s="56"/>
      <c r="AA130" s="144"/>
      <c r="AB130" s="144"/>
      <c r="AC130" s="144"/>
      <c r="AD130" s="144"/>
      <c r="AE130" s="144"/>
      <c r="AF130" s="144"/>
      <c r="AG130" s="144"/>
      <c r="AH130" s="56"/>
      <c r="AI130" s="144"/>
      <c r="AJ130" s="56"/>
      <c r="AK130" s="144"/>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X166"/>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20.140625" style="48" customWidth="1"/>
    <col min="2" max="2" width="9" style="47" customWidth="1"/>
    <col min="3" max="3" width="17.28515625" style="46" customWidth="1"/>
    <col min="4" max="4" width="50.28515625" style="45" customWidth="1"/>
    <col min="5" max="5" width="15" style="44" customWidth="1"/>
    <col min="6" max="6" width="5.140625" style="42" customWidth="1"/>
    <col min="7" max="7" width="14.42578125" style="42" customWidth="1"/>
    <col min="8" max="25" width="11" style="42" customWidth="1"/>
    <col min="26" max="173" width="14.42578125" style="42" customWidth="1"/>
    <col min="174" max="174" width="3" style="43" customWidth="1"/>
    <col min="175" max="177" width="14.42578125" style="42" customWidth="1"/>
    <col min="178" max="16384" width="14.42578125" style="42"/>
  </cols>
  <sheetData>
    <row r="1" spans="1:180" ht="13.5" customHeight="1" thickBot="1" x14ac:dyDescent="0.3">
      <c r="E1" s="530" t="s">
        <v>221</v>
      </c>
      <c r="F1" s="495"/>
      <c r="G1" s="90"/>
      <c r="H1" s="369" t="s">
        <v>114</v>
      </c>
      <c r="I1" s="369" t="s">
        <v>114</v>
      </c>
      <c r="J1" s="369" t="s">
        <v>114</v>
      </c>
      <c r="K1" s="369" t="s">
        <v>114</v>
      </c>
      <c r="L1" s="369" t="s">
        <v>114</v>
      </c>
      <c r="M1" s="369" t="s">
        <v>114</v>
      </c>
      <c r="N1" s="381" t="s">
        <v>114</v>
      </c>
      <c r="O1" s="381" t="s">
        <v>114</v>
      </c>
      <c r="P1" s="381" t="s">
        <v>114</v>
      </c>
      <c r="Q1" s="381" t="s">
        <v>114</v>
      </c>
      <c r="R1" s="381" t="s">
        <v>114</v>
      </c>
      <c r="S1" s="381" t="s">
        <v>114</v>
      </c>
      <c r="T1" s="381" t="s">
        <v>3873</v>
      </c>
      <c r="U1" s="381" t="s">
        <v>114</v>
      </c>
      <c r="V1" s="381" t="s">
        <v>114</v>
      </c>
      <c r="W1" s="381" t="s">
        <v>114</v>
      </c>
      <c r="X1" s="381" t="s">
        <v>114</v>
      </c>
      <c r="Y1" s="381" t="s">
        <v>3873</v>
      </c>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43"/>
    </row>
    <row r="2" spans="1:180" s="89" customFormat="1" ht="12.75" customHeight="1" thickTop="1" thickBot="1" x14ac:dyDescent="0.3">
      <c r="A2" s="543" t="s">
        <v>4143</v>
      </c>
      <c r="B2" s="551" t="s">
        <v>4144</v>
      </c>
      <c r="C2" s="542"/>
      <c r="D2" s="561" t="s">
        <v>4442</v>
      </c>
      <c r="E2" s="558" t="s">
        <v>4146</v>
      </c>
      <c r="F2" s="540"/>
      <c r="G2" s="90"/>
      <c r="H2" s="369" t="s">
        <v>2685</v>
      </c>
      <c r="I2" s="369" t="s">
        <v>3336</v>
      </c>
      <c r="J2" s="369" t="s">
        <v>3704</v>
      </c>
      <c r="K2" s="369" t="s">
        <v>3716</v>
      </c>
      <c r="L2" s="454" t="s">
        <v>3718</v>
      </c>
      <c r="M2" s="369"/>
      <c r="N2" s="369" t="s">
        <v>3766</v>
      </c>
      <c r="O2" s="454" t="s">
        <v>3775</v>
      </c>
      <c r="P2" s="454" t="s">
        <v>3791</v>
      </c>
      <c r="Q2" s="369"/>
      <c r="R2" s="454" t="s">
        <v>3837</v>
      </c>
      <c r="S2" s="369" t="s">
        <v>3841</v>
      </c>
      <c r="T2" s="369" t="s">
        <v>3872</v>
      </c>
      <c r="U2" s="369" t="s">
        <v>3888</v>
      </c>
      <c r="V2" s="454" t="s">
        <v>3891</v>
      </c>
      <c r="W2" s="369" t="s">
        <v>3894</v>
      </c>
      <c r="X2" s="454"/>
      <c r="Y2" s="369" t="s">
        <v>3957</v>
      </c>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row>
    <row r="3" spans="1:180" s="89" customFormat="1" ht="12.75" customHeight="1" thickTop="1" x14ac:dyDescent="0.25">
      <c r="A3" s="544"/>
      <c r="B3" s="541" t="s">
        <v>4147</v>
      </c>
      <c r="C3" s="542"/>
      <c r="D3" s="562"/>
      <c r="E3" s="539" t="s">
        <v>4148</v>
      </c>
      <c r="F3" s="540"/>
      <c r="G3" s="90"/>
      <c r="H3" s="371" t="s">
        <v>4443</v>
      </c>
      <c r="I3" s="371" t="s">
        <v>4444</v>
      </c>
      <c r="J3" s="373" t="s">
        <v>4445</v>
      </c>
      <c r="K3" s="373" t="s">
        <v>4446</v>
      </c>
      <c r="L3" s="373" t="s">
        <v>120</v>
      </c>
      <c r="M3" s="373" t="s">
        <v>113</v>
      </c>
      <c r="N3" s="373" t="s">
        <v>4447</v>
      </c>
      <c r="O3" s="373" t="s">
        <v>4448</v>
      </c>
      <c r="P3" s="373" t="s">
        <v>4449</v>
      </c>
      <c r="Q3" s="373" t="s">
        <v>117</v>
      </c>
      <c r="R3" s="373" t="s">
        <v>4450</v>
      </c>
      <c r="S3" s="373" t="s">
        <v>4451</v>
      </c>
      <c r="T3" s="373" t="s">
        <v>4452</v>
      </c>
      <c r="U3" s="373" t="s">
        <v>4453</v>
      </c>
      <c r="V3" s="373" t="s">
        <v>4454</v>
      </c>
      <c r="W3" s="373" t="s">
        <v>4455</v>
      </c>
      <c r="X3" s="373" t="s">
        <v>4456</v>
      </c>
      <c r="Y3" s="373" t="s">
        <v>4457</v>
      </c>
      <c r="Z3" s="37"/>
      <c r="AA3" s="37"/>
      <c r="AB3" s="37"/>
      <c r="AC3" s="40"/>
      <c r="AD3" s="40"/>
      <c r="AE3" s="40"/>
      <c r="AF3" s="40"/>
      <c r="AG3" s="40"/>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row>
    <row r="4" spans="1:180" s="89" customFormat="1" ht="12.75" customHeight="1" x14ac:dyDescent="0.25">
      <c r="A4" s="544"/>
      <c r="B4" s="557"/>
      <c r="C4" s="542"/>
      <c r="D4" s="563"/>
      <c r="E4" s="550" t="s">
        <v>4178</v>
      </c>
      <c r="F4" s="540"/>
      <c r="G4" s="90"/>
      <c r="H4" s="372">
        <v>36600</v>
      </c>
      <c r="I4" s="372">
        <v>39336</v>
      </c>
      <c r="J4" s="374">
        <v>42593</v>
      </c>
      <c r="K4" s="374">
        <v>42719</v>
      </c>
      <c r="L4" s="374">
        <v>42752</v>
      </c>
      <c r="M4" s="374">
        <v>43119</v>
      </c>
      <c r="N4" s="374">
        <v>43698</v>
      </c>
      <c r="O4" s="374">
        <v>44060</v>
      </c>
      <c r="P4" s="374">
        <v>44118</v>
      </c>
      <c r="Q4" s="374">
        <v>44175</v>
      </c>
      <c r="R4" s="382">
        <v>44463</v>
      </c>
      <c r="S4" s="383">
        <v>44476</v>
      </c>
      <c r="T4" s="383">
        <v>45247</v>
      </c>
      <c r="U4" s="382">
        <v>45401</v>
      </c>
      <c r="V4" s="382">
        <v>45432</v>
      </c>
      <c r="W4" s="382">
        <v>45509</v>
      </c>
      <c r="X4" s="382">
        <v>45642</v>
      </c>
      <c r="Y4" s="382">
        <v>45975</v>
      </c>
      <c r="Z4" s="39"/>
      <c r="AA4" s="39"/>
      <c r="AB4" s="39"/>
      <c r="AC4" s="39"/>
      <c r="AD4" s="39"/>
      <c r="AE4" s="39"/>
      <c r="AF4" s="39"/>
      <c r="AG4" s="39"/>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row>
    <row r="5" spans="1:180" s="85" customFormat="1" ht="27.75" customHeight="1" x14ac:dyDescent="0.25">
      <c r="A5" s="544"/>
      <c r="B5" s="552" t="s">
        <v>4179</v>
      </c>
      <c r="C5" s="553"/>
      <c r="D5" s="346" t="s">
        <v>11</v>
      </c>
      <c r="E5" s="546" t="s">
        <v>4180</v>
      </c>
      <c r="F5" s="547"/>
      <c r="G5" s="88"/>
      <c r="H5" s="369" t="s">
        <v>973</v>
      </c>
      <c r="I5" s="369" t="s">
        <v>973</v>
      </c>
      <c r="J5" s="369" t="s">
        <v>973</v>
      </c>
      <c r="K5" s="369" t="s">
        <v>973</v>
      </c>
      <c r="L5" s="369" t="s">
        <v>973</v>
      </c>
      <c r="M5" s="369" t="s">
        <v>973</v>
      </c>
      <c r="N5" s="369" t="s">
        <v>973</v>
      </c>
      <c r="O5" s="369" t="s">
        <v>973</v>
      </c>
      <c r="P5" s="369" t="s">
        <v>973</v>
      </c>
      <c r="Q5" s="369" t="s">
        <v>973</v>
      </c>
      <c r="R5" s="369" t="s">
        <v>973</v>
      </c>
      <c r="S5" s="369" t="s">
        <v>973</v>
      </c>
      <c r="T5" s="369" t="s">
        <v>4458</v>
      </c>
      <c r="U5" s="369" t="s">
        <v>973</v>
      </c>
      <c r="V5" s="369" t="s">
        <v>973</v>
      </c>
      <c r="W5" s="369" t="s">
        <v>973</v>
      </c>
      <c r="X5" s="369" t="s">
        <v>973</v>
      </c>
      <c r="Y5" s="369" t="s">
        <v>4458</v>
      </c>
      <c r="Z5" s="87"/>
      <c r="AA5" s="87"/>
      <c r="AB5" s="87"/>
      <c r="AC5" s="87"/>
      <c r="AD5" s="87"/>
      <c r="AE5" s="87"/>
      <c r="AF5" s="87"/>
      <c r="AG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row>
    <row r="6" spans="1:180" s="84" customFormat="1" ht="14.25" customHeight="1" thickBot="1" x14ac:dyDescent="0.25">
      <c r="A6" s="545"/>
      <c r="B6" s="555" t="s">
        <v>4181</v>
      </c>
      <c r="C6" s="537"/>
      <c r="D6" s="554" t="s">
        <v>4459</v>
      </c>
      <c r="E6" s="537">
        <f>SUBTOTAL(9,E9:E163)</f>
        <v>0</v>
      </c>
      <c r="F6" s="534" t="s">
        <v>4182</v>
      </c>
      <c r="G6" s="347"/>
      <c r="H6" s="347" t="str">
        <f t="shared" ref="H6:Z6" si="0">IF(H7=0,"","RECHECK")</f>
        <v/>
      </c>
      <c r="I6" s="347" t="str">
        <f t="shared" si="0"/>
        <v/>
      </c>
      <c r="J6" s="347" t="str">
        <f t="shared" si="0"/>
        <v/>
      </c>
      <c r="K6" s="347" t="str">
        <f t="shared" si="0"/>
        <v/>
      </c>
      <c r="L6" s="347" t="str">
        <f t="shared" si="0"/>
        <v/>
      </c>
      <c r="M6" s="347" t="str">
        <f t="shared" si="0"/>
        <v/>
      </c>
      <c r="N6" s="347" t="str">
        <f t="shared" si="0"/>
        <v/>
      </c>
      <c r="O6" s="347" t="str">
        <f t="shared" si="0"/>
        <v/>
      </c>
      <c r="P6" s="347" t="str">
        <f t="shared" si="0"/>
        <v/>
      </c>
      <c r="Q6" s="347" t="str">
        <f t="shared" si="0"/>
        <v/>
      </c>
      <c r="R6" s="347" t="str">
        <f t="shared" si="0"/>
        <v/>
      </c>
      <c r="S6" s="347" t="str">
        <f t="shared" si="0"/>
        <v/>
      </c>
      <c r="T6" s="347" t="str">
        <f t="shared" si="0"/>
        <v/>
      </c>
      <c r="U6" s="347" t="str">
        <f t="shared" si="0"/>
        <v/>
      </c>
      <c r="V6" s="347" t="str">
        <f t="shared" si="0"/>
        <v/>
      </c>
      <c r="W6" s="347" t="str">
        <f t="shared" si="0"/>
        <v/>
      </c>
      <c r="X6" s="347" t="str">
        <f t="shared" si="0"/>
        <v/>
      </c>
      <c r="Y6" s="347" t="str">
        <f t="shared" si="0"/>
        <v/>
      </c>
      <c r="Z6" s="347" t="str">
        <f t="shared" si="0"/>
        <v/>
      </c>
      <c r="AA6" s="347"/>
      <c r="AB6" s="347" t="str">
        <f t="shared" ref="AB6:BG6" si="1">IF(AB7=0,"","RECHECK")</f>
        <v/>
      </c>
      <c r="AC6" s="347" t="str">
        <f t="shared" si="1"/>
        <v/>
      </c>
      <c r="AD6" s="347" t="str">
        <f t="shared" si="1"/>
        <v/>
      </c>
      <c r="AE6" s="347" t="str">
        <f t="shared" si="1"/>
        <v/>
      </c>
      <c r="AF6" s="347" t="str">
        <f t="shared" si="1"/>
        <v/>
      </c>
      <c r="AG6" s="347" t="str">
        <f t="shared" si="1"/>
        <v/>
      </c>
      <c r="AH6" s="347" t="str">
        <f t="shared" si="1"/>
        <v/>
      </c>
      <c r="AI6" s="347" t="str">
        <f t="shared" si="1"/>
        <v/>
      </c>
      <c r="AJ6" s="347" t="str">
        <f t="shared" si="1"/>
        <v/>
      </c>
      <c r="AK6" s="347" t="str">
        <f t="shared" si="1"/>
        <v/>
      </c>
      <c r="AL6" s="347" t="str">
        <f t="shared" si="1"/>
        <v/>
      </c>
      <c r="AM6" s="347" t="str">
        <f t="shared" si="1"/>
        <v/>
      </c>
      <c r="AN6" s="347" t="str">
        <f t="shared" si="1"/>
        <v/>
      </c>
      <c r="AO6" s="347" t="str">
        <f t="shared" si="1"/>
        <v/>
      </c>
      <c r="AP6" s="347" t="str">
        <f t="shared" si="1"/>
        <v/>
      </c>
      <c r="AQ6" s="347" t="str">
        <f t="shared" si="1"/>
        <v/>
      </c>
      <c r="AR6" s="347" t="str">
        <f t="shared" si="1"/>
        <v/>
      </c>
      <c r="AS6" s="347" t="str">
        <f t="shared" si="1"/>
        <v/>
      </c>
      <c r="AT6" s="347" t="str">
        <f t="shared" si="1"/>
        <v/>
      </c>
      <c r="AU6" s="347" t="str">
        <f t="shared" si="1"/>
        <v/>
      </c>
      <c r="AV6" s="347" t="str">
        <f t="shared" si="1"/>
        <v/>
      </c>
      <c r="AW6" s="347" t="str">
        <f t="shared" si="1"/>
        <v/>
      </c>
      <c r="AX6" s="347" t="str">
        <f t="shared" si="1"/>
        <v/>
      </c>
      <c r="AY6" s="347" t="str">
        <f t="shared" si="1"/>
        <v/>
      </c>
      <c r="AZ6" s="347" t="str">
        <f t="shared" si="1"/>
        <v/>
      </c>
      <c r="BA6" s="347" t="str">
        <f t="shared" si="1"/>
        <v/>
      </c>
      <c r="BB6" s="347" t="str">
        <f t="shared" si="1"/>
        <v/>
      </c>
      <c r="BC6" s="347" t="str">
        <f t="shared" si="1"/>
        <v/>
      </c>
      <c r="BD6" s="347" t="str">
        <f t="shared" si="1"/>
        <v/>
      </c>
      <c r="BE6" s="347" t="str">
        <f t="shared" si="1"/>
        <v/>
      </c>
      <c r="BF6" s="347" t="str">
        <f t="shared" si="1"/>
        <v/>
      </c>
      <c r="BG6" s="347" t="str">
        <f t="shared" si="1"/>
        <v/>
      </c>
      <c r="BH6" s="347" t="str">
        <f t="shared" ref="BH6:CM6" si="2">IF(BH7=0,"","RECHECK")</f>
        <v/>
      </c>
      <c r="BI6" s="347" t="str">
        <f t="shared" si="2"/>
        <v/>
      </c>
      <c r="BJ6" s="347" t="str">
        <f t="shared" si="2"/>
        <v/>
      </c>
      <c r="BK6" s="347" t="str">
        <f t="shared" si="2"/>
        <v/>
      </c>
      <c r="BL6" s="347" t="str">
        <f t="shared" si="2"/>
        <v/>
      </c>
      <c r="BM6" s="347" t="str">
        <f t="shared" si="2"/>
        <v/>
      </c>
      <c r="BN6" s="347" t="str">
        <f t="shared" si="2"/>
        <v/>
      </c>
      <c r="BO6" s="347" t="str">
        <f t="shared" si="2"/>
        <v/>
      </c>
      <c r="BP6" s="347" t="str">
        <f t="shared" si="2"/>
        <v/>
      </c>
      <c r="BQ6" s="347" t="str">
        <f t="shared" si="2"/>
        <v/>
      </c>
      <c r="BR6" s="347" t="str">
        <f t="shared" si="2"/>
        <v/>
      </c>
      <c r="BS6" s="347" t="str">
        <f t="shared" si="2"/>
        <v/>
      </c>
      <c r="BT6" s="347" t="str">
        <f t="shared" si="2"/>
        <v/>
      </c>
      <c r="BU6" s="347" t="str">
        <f t="shared" si="2"/>
        <v/>
      </c>
      <c r="BV6" s="347" t="str">
        <f t="shared" si="2"/>
        <v/>
      </c>
      <c r="BW6" s="347" t="str">
        <f t="shared" si="2"/>
        <v/>
      </c>
      <c r="BX6" s="347" t="str">
        <f t="shared" si="2"/>
        <v/>
      </c>
      <c r="BY6" s="347" t="str">
        <f t="shared" si="2"/>
        <v/>
      </c>
      <c r="BZ6" s="347" t="str">
        <f t="shared" si="2"/>
        <v/>
      </c>
      <c r="CA6" s="347" t="str">
        <f t="shared" si="2"/>
        <v/>
      </c>
      <c r="CB6" s="347" t="str">
        <f t="shared" si="2"/>
        <v/>
      </c>
      <c r="CC6" s="347" t="str">
        <f t="shared" si="2"/>
        <v/>
      </c>
      <c r="CD6" s="347" t="str">
        <f t="shared" si="2"/>
        <v/>
      </c>
      <c r="CE6" s="347" t="str">
        <f t="shared" si="2"/>
        <v/>
      </c>
      <c r="CF6" s="347" t="str">
        <f t="shared" si="2"/>
        <v/>
      </c>
      <c r="CG6" s="347" t="str">
        <f t="shared" si="2"/>
        <v/>
      </c>
      <c r="CH6" s="347" t="str">
        <f t="shared" si="2"/>
        <v/>
      </c>
      <c r="CI6" s="347" t="str">
        <f t="shared" si="2"/>
        <v/>
      </c>
      <c r="CJ6" s="347" t="str">
        <f t="shared" si="2"/>
        <v/>
      </c>
      <c r="CK6" s="347" t="str">
        <f t="shared" si="2"/>
        <v/>
      </c>
      <c r="CL6" s="347" t="str">
        <f t="shared" si="2"/>
        <v/>
      </c>
      <c r="CM6" s="347" t="str">
        <f t="shared" si="2"/>
        <v/>
      </c>
      <c r="CN6" s="347" t="str">
        <f t="shared" ref="CN6:DS6" si="3">IF(CN7=0,"","RECHECK")</f>
        <v/>
      </c>
      <c r="CO6" s="347" t="str">
        <f t="shared" si="3"/>
        <v/>
      </c>
      <c r="CP6" s="347" t="str">
        <f t="shared" si="3"/>
        <v/>
      </c>
      <c r="CQ6" s="347" t="str">
        <f t="shared" si="3"/>
        <v/>
      </c>
      <c r="CR6" s="347" t="str">
        <f t="shared" si="3"/>
        <v/>
      </c>
      <c r="CS6" s="347" t="str">
        <f t="shared" si="3"/>
        <v/>
      </c>
      <c r="CT6" s="347" t="str">
        <f t="shared" si="3"/>
        <v/>
      </c>
      <c r="CU6" s="347" t="str">
        <f t="shared" si="3"/>
        <v/>
      </c>
      <c r="CV6" s="347" t="str">
        <f t="shared" si="3"/>
        <v/>
      </c>
      <c r="CW6" s="347" t="str">
        <f t="shared" si="3"/>
        <v/>
      </c>
      <c r="CX6" s="347" t="str">
        <f t="shared" si="3"/>
        <v/>
      </c>
      <c r="CY6" s="347" t="str">
        <f t="shared" si="3"/>
        <v/>
      </c>
      <c r="CZ6" s="347" t="str">
        <f t="shared" si="3"/>
        <v/>
      </c>
      <c r="DA6" s="347" t="str">
        <f t="shared" si="3"/>
        <v/>
      </c>
      <c r="DB6" s="347" t="str">
        <f t="shared" si="3"/>
        <v/>
      </c>
      <c r="DC6" s="347" t="str">
        <f t="shared" si="3"/>
        <v/>
      </c>
      <c r="DD6" s="347" t="str">
        <f t="shared" si="3"/>
        <v/>
      </c>
      <c r="DE6" s="347" t="str">
        <f t="shared" si="3"/>
        <v/>
      </c>
      <c r="DF6" s="347" t="str">
        <f t="shared" si="3"/>
        <v/>
      </c>
      <c r="DG6" s="347" t="str">
        <f t="shared" si="3"/>
        <v/>
      </c>
      <c r="DH6" s="347" t="str">
        <f t="shared" si="3"/>
        <v/>
      </c>
      <c r="DI6" s="347" t="str">
        <f t="shared" si="3"/>
        <v/>
      </c>
      <c r="DJ6" s="347" t="str">
        <f t="shared" si="3"/>
        <v/>
      </c>
      <c r="DK6" s="347" t="str">
        <f t="shared" si="3"/>
        <v/>
      </c>
      <c r="DL6" s="347" t="str">
        <f t="shared" si="3"/>
        <v/>
      </c>
      <c r="DM6" s="347" t="str">
        <f t="shared" si="3"/>
        <v/>
      </c>
      <c r="DN6" s="347" t="str">
        <f t="shared" si="3"/>
        <v/>
      </c>
      <c r="DO6" s="347" t="str">
        <f t="shared" si="3"/>
        <v/>
      </c>
      <c r="DP6" s="347" t="str">
        <f t="shared" si="3"/>
        <v/>
      </c>
      <c r="DQ6" s="347" t="str">
        <f t="shared" si="3"/>
        <v/>
      </c>
      <c r="DR6" s="347" t="str">
        <f t="shared" si="3"/>
        <v/>
      </c>
      <c r="DS6" s="347" t="str">
        <f t="shared" si="3"/>
        <v/>
      </c>
      <c r="DT6" s="347" t="str">
        <f t="shared" ref="DT6:EY6" si="4">IF(DT7=0,"","RECHECK")</f>
        <v/>
      </c>
      <c r="DU6" s="347" t="str">
        <f t="shared" si="4"/>
        <v/>
      </c>
      <c r="DV6" s="347" t="str">
        <f t="shared" si="4"/>
        <v/>
      </c>
      <c r="DW6" s="347" t="str">
        <f t="shared" si="4"/>
        <v/>
      </c>
      <c r="DX6" s="347" t="str">
        <f t="shared" si="4"/>
        <v/>
      </c>
      <c r="DY6" s="347" t="str">
        <f t="shared" si="4"/>
        <v/>
      </c>
      <c r="DZ6" s="347" t="str">
        <f t="shared" si="4"/>
        <v/>
      </c>
      <c r="EA6" s="347" t="str">
        <f t="shared" si="4"/>
        <v/>
      </c>
      <c r="EB6" s="347" t="str">
        <f t="shared" si="4"/>
        <v/>
      </c>
      <c r="EC6" s="347" t="str">
        <f t="shared" si="4"/>
        <v/>
      </c>
      <c r="ED6" s="347" t="str">
        <f t="shared" si="4"/>
        <v/>
      </c>
      <c r="EE6" s="347" t="str">
        <f t="shared" si="4"/>
        <v/>
      </c>
      <c r="EF6" s="347" t="str">
        <f t="shared" si="4"/>
        <v/>
      </c>
      <c r="EG6" s="347" t="str">
        <f t="shared" si="4"/>
        <v/>
      </c>
      <c r="EH6" s="347" t="str">
        <f t="shared" si="4"/>
        <v/>
      </c>
      <c r="EI6" s="347" t="str">
        <f t="shared" si="4"/>
        <v/>
      </c>
      <c r="EJ6" s="347" t="str">
        <f t="shared" si="4"/>
        <v/>
      </c>
      <c r="EK6" s="347" t="str">
        <f t="shared" si="4"/>
        <v/>
      </c>
      <c r="EL6" s="347" t="str">
        <f t="shared" si="4"/>
        <v/>
      </c>
      <c r="EM6" s="347" t="str">
        <f t="shared" si="4"/>
        <v/>
      </c>
      <c r="EN6" s="347" t="str">
        <f t="shared" si="4"/>
        <v/>
      </c>
      <c r="EO6" s="347" t="str">
        <f t="shared" si="4"/>
        <v/>
      </c>
      <c r="EP6" s="347" t="str">
        <f t="shared" si="4"/>
        <v/>
      </c>
      <c r="EQ6" s="347" t="str">
        <f t="shared" si="4"/>
        <v/>
      </c>
      <c r="ER6" s="347" t="str">
        <f t="shared" si="4"/>
        <v/>
      </c>
      <c r="ES6" s="347" t="str">
        <f t="shared" si="4"/>
        <v/>
      </c>
      <c r="ET6" s="347" t="str">
        <f t="shared" si="4"/>
        <v/>
      </c>
      <c r="EU6" s="347" t="str">
        <f t="shared" si="4"/>
        <v/>
      </c>
      <c r="EV6" s="347" t="str">
        <f t="shared" si="4"/>
        <v/>
      </c>
      <c r="EW6" s="347" t="str">
        <f t="shared" si="4"/>
        <v/>
      </c>
      <c r="EX6" s="347" t="str">
        <f t="shared" si="4"/>
        <v/>
      </c>
      <c r="EY6" s="347" t="str">
        <f t="shared" si="4"/>
        <v/>
      </c>
      <c r="EZ6" s="347" t="str">
        <f t="shared" ref="EZ6:FQ6" si="5">IF(EZ7=0,"","RECHECK")</f>
        <v/>
      </c>
      <c r="FA6" s="347" t="str">
        <f t="shared" si="5"/>
        <v/>
      </c>
      <c r="FB6" s="347" t="str">
        <f t="shared" si="5"/>
        <v/>
      </c>
      <c r="FC6" s="347" t="str">
        <f t="shared" si="5"/>
        <v/>
      </c>
      <c r="FD6" s="347" t="str">
        <f t="shared" si="5"/>
        <v/>
      </c>
      <c r="FE6" s="347" t="str">
        <f t="shared" si="5"/>
        <v/>
      </c>
      <c r="FF6" s="347" t="str">
        <f t="shared" si="5"/>
        <v/>
      </c>
      <c r="FG6" s="347" t="str">
        <f t="shared" si="5"/>
        <v/>
      </c>
      <c r="FH6" s="347" t="str">
        <f t="shared" si="5"/>
        <v/>
      </c>
      <c r="FI6" s="347" t="str">
        <f t="shared" si="5"/>
        <v/>
      </c>
      <c r="FJ6" s="347" t="str">
        <f t="shared" si="5"/>
        <v/>
      </c>
      <c r="FK6" s="347" t="str">
        <f t="shared" si="5"/>
        <v/>
      </c>
      <c r="FL6" s="347" t="str">
        <f t="shared" si="5"/>
        <v/>
      </c>
      <c r="FM6" s="347" t="str">
        <f t="shared" si="5"/>
        <v/>
      </c>
      <c r="FN6" s="347" t="str">
        <f t="shared" si="5"/>
        <v/>
      </c>
      <c r="FO6" s="347" t="str">
        <f t="shared" si="5"/>
        <v/>
      </c>
      <c r="FP6" s="347" t="str">
        <f t="shared" si="5"/>
        <v/>
      </c>
      <c r="FQ6" s="347" t="str">
        <f t="shared" si="5"/>
        <v/>
      </c>
    </row>
    <row r="7" spans="1:180" s="82" customFormat="1" ht="14.25" customHeight="1" thickTop="1" thickBot="1" x14ac:dyDescent="0.25">
      <c r="A7" s="83"/>
      <c r="B7" s="542"/>
      <c r="C7" s="538"/>
      <c r="D7" s="538"/>
      <c r="E7" s="538"/>
      <c r="F7" s="535"/>
      <c r="G7" s="548">
        <f t="shared" ref="G7:AL7" si="6">SUBTOTAL(9,G10:G164)</f>
        <v>0</v>
      </c>
      <c r="H7" s="559">
        <f t="shared" si="6"/>
        <v>0</v>
      </c>
      <c r="I7" s="559">
        <f t="shared" si="6"/>
        <v>0</v>
      </c>
      <c r="J7" s="559">
        <f t="shared" si="6"/>
        <v>0</v>
      </c>
      <c r="K7" s="559">
        <f t="shared" si="6"/>
        <v>0</v>
      </c>
      <c r="L7" s="559">
        <f t="shared" si="6"/>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59">
        <f t="shared" si="6"/>
        <v>0</v>
      </c>
      <c r="X7" s="559">
        <f t="shared" si="6"/>
        <v>0</v>
      </c>
      <c r="Y7" s="559">
        <f t="shared" si="6"/>
        <v>0</v>
      </c>
      <c r="Z7" s="559">
        <f t="shared" si="6"/>
        <v>0</v>
      </c>
      <c r="AA7" s="559">
        <f t="shared" si="6"/>
        <v>0</v>
      </c>
      <c r="AB7" s="559">
        <f t="shared" si="6"/>
        <v>0</v>
      </c>
      <c r="AC7" s="559">
        <f t="shared" si="6"/>
        <v>0</v>
      </c>
      <c r="AD7" s="559">
        <f t="shared" si="6"/>
        <v>0</v>
      </c>
      <c r="AE7" s="559">
        <f t="shared" si="6"/>
        <v>0</v>
      </c>
      <c r="AF7" s="559">
        <f t="shared" si="6"/>
        <v>0</v>
      </c>
      <c r="AG7" s="559">
        <f t="shared" si="6"/>
        <v>0</v>
      </c>
      <c r="AH7" s="559">
        <f t="shared" si="6"/>
        <v>0</v>
      </c>
      <c r="AI7" s="559">
        <f t="shared" si="6"/>
        <v>0</v>
      </c>
      <c r="AJ7" s="559">
        <f t="shared" si="6"/>
        <v>0</v>
      </c>
      <c r="AK7" s="559">
        <f t="shared" si="6"/>
        <v>0</v>
      </c>
      <c r="AL7" s="559">
        <f t="shared" si="6"/>
        <v>0</v>
      </c>
      <c r="AM7" s="559">
        <f t="shared" ref="AM7:BR7" si="7">SUBTOTAL(9,AM10:AM164)</f>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si="7"/>
        <v>0</v>
      </c>
      <c r="BO7" s="559">
        <f t="shared" si="7"/>
        <v>0</v>
      </c>
      <c r="BP7" s="559">
        <f t="shared" si="7"/>
        <v>0</v>
      </c>
      <c r="BQ7" s="559">
        <f t="shared" si="7"/>
        <v>0</v>
      </c>
      <c r="BR7" s="559">
        <f t="shared" si="7"/>
        <v>0</v>
      </c>
      <c r="BS7" s="559">
        <f t="shared" ref="BS7:CX7" si="8">SUBTOTAL(9,BS10:BS164)</f>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si="8"/>
        <v>0</v>
      </c>
      <c r="CU7" s="559">
        <f t="shared" si="8"/>
        <v>0</v>
      </c>
      <c r="CV7" s="559">
        <f t="shared" si="8"/>
        <v>0</v>
      </c>
      <c r="CW7" s="559">
        <f t="shared" si="8"/>
        <v>0</v>
      </c>
      <c r="CX7" s="559">
        <f t="shared" si="8"/>
        <v>0</v>
      </c>
      <c r="CY7" s="559">
        <f t="shared" ref="CY7:ED7" si="9">SUBTOTAL(9,CY10:CY164)</f>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si="9"/>
        <v>0</v>
      </c>
      <c r="EA7" s="559">
        <f t="shared" si="9"/>
        <v>0</v>
      </c>
      <c r="EB7" s="559">
        <f t="shared" si="9"/>
        <v>0</v>
      </c>
      <c r="EC7" s="559">
        <f t="shared" si="9"/>
        <v>0</v>
      </c>
      <c r="ED7" s="559">
        <f t="shared" si="9"/>
        <v>0</v>
      </c>
      <c r="EE7" s="559">
        <f t="shared" ref="EE7:FJ7" si="10">SUBTOTAL(9,EE10:EE164)</f>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si="10"/>
        <v>0</v>
      </c>
      <c r="FG7" s="559">
        <f t="shared" si="10"/>
        <v>0</v>
      </c>
      <c r="FH7" s="559">
        <f t="shared" si="10"/>
        <v>0</v>
      </c>
      <c r="FI7" s="559">
        <f t="shared" si="10"/>
        <v>0</v>
      </c>
      <c r="FJ7" s="559">
        <f t="shared" si="10"/>
        <v>0</v>
      </c>
      <c r="FK7" s="559">
        <f t="shared" ref="FK7:FQ7" si="11">SUBTOTAL(9,FK10:FK164)</f>
        <v>0</v>
      </c>
      <c r="FL7" s="559">
        <f t="shared" si="11"/>
        <v>0</v>
      </c>
      <c r="FM7" s="559">
        <f t="shared" si="11"/>
        <v>0</v>
      </c>
      <c r="FN7" s="559">
        <f t="shared" si="11"/>
        <v>0</v>
      </c>
      <c r="FO7" s="559">
        <f t="shared" si="11"/>
        <v>0</v>
      </c>
      <c r="FP7" s="559">
        <f t="shared" si="11"/>
        <v>0</v>
      </c>
      <c r="FQ7" s="559">
        <f t="shared" si="11"/>
        <v>0</v>
      </c>
    </row>
    <row r="8" spans="1:180"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row>
    <row r="9" spans="1:180" s="69" customFormat="1" ht="12.75" customHeight="1" thickTop="1" x14ac:dyDescent="0.2">
      <c r="A9" s="77"/>
      <c r="B9" s="76"/>
      <c r="C9" s="348"/>
      <c r="D9" s="119"/>
      <c r="E9" s="348"/>
      <c r="F9" s="73"/>
      <c r="G9" s="72"/>
      <c r="H9" s="328"/>
      <c r="I9" s="336"/>
      <c r="J9" s="336"/>
      <c r="K9" s="336"/>
      <c r="L9" s="336"/>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row>
    <row r="10" spans="1:180" s="56" customFormat="1" x14ac:dyDescent="0.2">
      <c r="A10" s="343"/>
      <c r="B10" s="68"/>
      <c r="C10" s="349" t="s">
        <v>11</v>
      </c>
      <c r="D10" s="384" t="s">
        <v>266</v>
      </c>
      <c r="E10" s="118">
        <f t="shared" ref="E10:E40" si="12">SUM(G10:HJ10)</f>
        <v>-1</v>
      </c>
      <c r="F10" s="64"/>
      <c r="G10" s="181"/>
      <c r="H10" s="450">
        <v>-1</v>
      </c>
      <c r="I10" s="378"/>
      <c r="J10" s="378"/>
      <c r="K10" s="377"/>
      <c r="L10" s="378"/>
      <c r="M10" s="378"/>
      <c r="N10" s="378"/>
      <c r="O10" s="378"/>
      <c r="P10" s="378"/>
      <c r="Q10" s="378"/>
      <c r="R10" s="378"/>
      <c r="S10" s="378"/>
      <c r="T10" s="378"/>
      <c r="U10" s="378"/>
      <c r="V10" s="378"/>
      <c r="W10" s="378"/>
      <c r="X10" s="378"/>
      <c r="Y10" s="378"/>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row>
    <row r="11" spans="1:180" s="56" customFormat="1" ht="24" customHeight="1" x14ac:dyDescent="0.2">
      <c r="A11" s="343"/>
      <c r="B11" s="68"/>
      <c r="C11" s="349" t="s">
        <v>11</v>
      </c>
      <c r="D11" s="385" t="s">
        <v>2687</v>
      </c>
      <c r="E11" s="118">
        <f t="shared" si="12"/>
        <v>1</v>
      </c>
      <c r="F11" s="64"/>
      <c r="G11" s="181"/>
      <c r="H11" s="451">
        <v>1</v>
      </c>
      <c r="I11" s="377"/>
      <c r="J11" s="375"/>
      <c r="K11" s="375"/>
      <c r="L11" s="375"/>
      <c r="M11" s="375"/>
      <c r="N11" s="375"/>
      <c r="O11" s="378"/>
      <c r="P11" s="378"/>
      <c r="Q11" s="378"/>
      <c r="R11" s="378"/>
      <c r="S11" s="378"/>
      <c r="T11" s="378"/>
      <c r="U11" s="378"/>
      <c r="V11" s="378"/>
      <c r="W11" s="378"/>
      <c r="X11" s="378"/>
      <c r="Y11" s="378"/>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row>
    <row r="12" spans="1:180" s="56" customFormat="1" x14ac:dyDescent="0.2">
      <c r="A12" s="343"/>
      <c r="B12" s="68"/>
      <c r="C12" s="349" t="s">
        <v>11</v>
      </c>
      <c r="D12" s="379" t="s">
        <v>3338</v>
      </c>
      <c r="E12" s="118">
        <f t="shared" si="12"/>
        <v>-1</v>
      </c>
      <c r="F12" s="64"/>
      <c r="G12" s="181"/>
      <c r="H12" s="375"/>
      <c r="I12" s="451">
        <v>-1</v>
      </c>
      <c r="J12" s="375"/>
      <c r="K12" s="375"/>
      <c r="L12" s="375"/>
      <c r="M12" s="375"/>
      <c r="N12" s="375"/>
      <c r="O12" s="378"/>
      <c r="P12" s="378"/>
      <c r="Q12" s="378"/>
      <c r="R12" s="378"/>
      <c r="S12" s="378"/>
      <c r="T12" s="378"/>
      <c r="U12" s="378"/>
      <c r="V12" s="378"/>
      <c r="W12" s="378"/>
      <c r="X12" s="378"/>
      <c r="Y12" s="378"/>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row>
    <row r="13" spans="1:180" s="56" customFormat="1" x14ac:dyDescent="0.2">
      <c r="A13" s="337"/>
      <c r="B13" s="68"/>
      <c r="C13" s="350" t="s">
        <v>11</v>
      </c>
      <c r="D13" s="386" t="s">
        <v>3339</v>
      </c>
      <c r="E13" s="118">
        <f t="shared" si="12"/>
        <v>1</v>
      </c>
      <c r="F13" s="64"/>
      <c r="G13" s="181"/>
      <c r="H13" s="376"/>
      <c r="I13" s="451">
        <v>1</v>
      </c>
      <c r="J13" s="375"/>
      <c r="K13" s="375"/>
      <c r="L13" s="377"/>
      <c r="M13" s="375"/>
      <c r="N13" s="375"/>
      <c r="O13" s="378"/>
      <c r="P13" s="378"/>
      <c r="Q13" s="378"/>
      <c r="R13" s="375"/>
      <c r="S13" s="378"/>
      <c r="T13" s="378"/>
      <c r="U13" s="378"/>
      <c r="V13" s="378"/>
      <c r="W13" s="378"/>
      <c r="X13" s="378"/>
      <c r="Y13" s="378"/>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row>
    <row r="14" spans="1:180" s="56" customFormat="1" x14ac:dyDescent="0.2">
      <c r="A14" s="343"/>
      <c r="B14" s="156"/>
      <c r="C14" s="350" t="s">
        <v>11</v>
      </c>
      <c r="D14" s="386" t="s">
        <v>299</v>
      </c>
      <c r="E14" s="118">
        <f t="shared" si="12"/>
        <v>-1</v>
      </c>
      <c r="F14" s="64"/>
      <c r="G14" s="181"/>
      <c r="H14" s="375"/>
      <c r="I14" s="375"/>
      <c r="J14" s="452">
        <v>-1</v>
      </c>
      <c r="K14" s="376"/>
      <c r="L14" s="376"/>
      <c r="M14" s="376"/>
      <c r="N14" s="375"/>
      <c r="O14" s="378"/>
      <c r="P14" s="378"/>
      <c r="Q14" s="378"/>
      <c r="R14" s="378"/>
      <c r="S14" s="378"/>
      <c r="T14" s="378"/>
      <c r="U14" s="378"/>
      <c r="V14" s="378"/>
      <c r="W14" s="378"/>
      <c r="X14" s="378"/>
      <c r="Y14" s="378"/>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row>
    <row r="15" spans="1:180" s="56" customFormat="1" x14ac:dyDescent="0.2">
      <c r="A15" s="343"/>
      <c r="B15" s="68"/>
      <c r="C15" s="350" t="s">
        <v>11</v>
      </c>
      <c r="D15" s="386" t="s">
        <v>3706</v>
      </c>
      <c r="E15" s="118">
        <f t="shared" si="12"/>
        <v>1</v>
      </c>
      <c r="F15" s="64"/>
      <c r="G15" s="181"/>
      <c r="H15" s="375"/>
      <c r="I15" s="375"/>
      <c r="J15" s="453">
        <v>1</v>
      </c>
      <c r="K15" s="376"/>
      <c r="L15" s="376"/>
      <c r="M15" s="377"/>
      <c r="N15" s="375"/>
      <c r="O15" s="378"/>
      <c r="P15" s="378"/>
      <c r="Q15" s="378"/>
      <c r="R15" s="378"/>
      <c r="S15" s="378"/>
      <c r="T15" s="378"/>
      <c r="U15" s="378"/>
      <c r="V15" s="378"/>
      <c r="W15" s="378"/>
      <c r="X15" s="378"/>
      <c r="Y15" s="378"/>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row>
    <row r="16" spans="1:180" s="56" customFormat="1" x14ac:dyDescent="0.2">
      <c r="A16" s="67"/>
      <c r="B16" s="68"/>
      <c r="C16" s="388" t="s">
        <v>11</v>
      </c>
      <c r="D16" s="379" t="s">
        <v>3453</v>
      </c>
      <c r="E16" s="118">
        <f t="shared" si="12"/>
        <v>-1</v>
      </c>
      <c r="F16" s="64"/>
      <c r="G16" s="181"/>
      <c r="H16" s="375"/>
      <c r="I16" s="375"/>
      <c r="J16" s="376"/>
      <c r="K16" s="453">
        <v>-1</v>
      </c>
      <c r="L16" s="376"/>
      <c r="M16" s="376"/>
      <c r="N16" s="375"/>
      <c r="O16" s="378"/>
      <c r="P16" s="378"/>
      <c r="Q16" s="378"/>
      <c r="R16" s="378"/>
      <c r="S16" s="378"/>
      <c r="T16" s="378"/>
      <c r="U16" s="378"/>
      <c r="V16" s="378"/>
      <c r="W16" s="378"/>
      <c r="X16" s="378"/>
      <c r="Y16" s="378"/>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row>
    <row r="17" spans="1:173" s="56" customFormat="1" x14ac:dyDescent="0.2">
      <c r="A17" s="67"/>
      <c r="B17" s="156"/>
      <c r="C17" s="388" t="s">
        <v>11</v>
      </c>
      <c r="D17" s="379" t="s">
        <v>3454</v>
      </c>
      <c r="E17" s="118">
        <f t="shared" si="12"/>
        <v>0</v>
      </c>
      <c r="F17" s="64"/>
      <c r="G17" s="173"/>
      <c r="H17" s="376"/>
      <c r="I17" s="376"/>
      <c r="J17" s="376"/>
      <c r="K17" s="453">
        <v>1</v>
      </c>
      <c r="L17" s="376"/>
      <c r="M17" s="453">
        <v>-1</v>
      </c>
      <c r="N17" s="375"/>
      <c r="O17" s="378"/>
      <c r="P17" s="378"/>
      <c r="Q17" s="378"/>
      <c r="R17" s="378"/>
      <c r="S17" s="378"/>
      <c r="T17" s="378"/>
      <c r="U17" s="378"/>
      <c r="V17" s="378"/>
      <c r="W17" s="378"/>
      <c r="X17" s="378"/>
      <c r="Y17" s="378"/>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row>
    <row r="18" spans="1:173" s="56" customFormat="1" x14ac:dyDescent="0.2">
      <c r="A18" s="67"/>
      <c r="B18" s="68"/>
      <c r="C18" s="388" t="s">
        <v>11</v>
      </c>
      <c r="D18" s="387" t="s">
        <v>4460</v>
      </c>
      <c r="E18" s="118">
        <f t="shared" si="12"/>
        <v>0</v>
      </c>
      <c r="F18" s="64"/>
      <c r="G18" s="173"/>
      <c r="H18" s="376"/>
      <c r="I18" s="377"/>
      <c r="J18" s="377"/>
      <c r="K18" s="377"/>
      <c r="L18" s="376"/>
      <c r="M18" s="377"/>
      <c r="N18" s="378"/>
      <c r="O18" s="378"/>
      <c r="P18" s="378"/>
      <c r="Q18" s="378"/>
      <c r="R18" s="378"/>
      <c r="S18" s="378"/>
      <c r="T18" s="378"/>
      <c r="U18" s="378"/>
      <c r="V18" s="378"/>
      <c r="W18" s="378"/>
      <c r="X18" s="378"/>
      <c r="Y18" s="378"/>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row>
    <row r="19" spans="1:173" s="56" customFormat="1" ht="13.5" customHeight="1" x14ac:dyDescent="0.2">
      <c r="A19" s="67"/>
      <c r="B19" s="156"/>
      <c r="C19" s="388" t="s">
        <v>11</v>
      </c>
      <c r="D19" s="385" t="s">
        <v>3721</v>
      </c>
      <c r="E19" s="118">
        <f t="shared" si="12"/>
        <v>0</v>
      </c>
      <c r="F19" s="64"/>
      <c r="G19" s="173"/>
      <c r="H19" s="378"/>
      <c r="I19" s="378"/>
      <c r="J19" s="377"/>
      <c r="K19" s="377"/>
      <c r="L19" s="377"/>
      <c r="M19" s="377"/>
      <c r="N19" s="375"/>
      <c r="O19" s="375"/>
      <c r="P19" s="378"/>
      <c r="Q19" s="378"/>
      <c r="R19" s="378"/>
      <c r="S19" s="378"/>
      <c r="T19" s="378"/>
      <c r="U19" s="378"/>
      <c r="V19" s="378"/>
      <c r="W19" s="378"/>
      <c r="X19" s="378"/>
      <c r="Y19" s="378"/>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row>
    <row r="20" spans="1:173" s="56" customFormat="1" x14ac:dyDescent="0.2">
      <c r="A20" s="67"/>
      <c r="B20" s="68"/>
      <c r="C20" s="388" t="s">
        <v>11</v>
      </c>
      <c r="D20" s="387" t="s">
        <v>3634</v>
      </c>
      <c r="E20" s="118">
        <f t="shared" si="12"/>
        <v>1</v>
      </c>
      <c r="F20" s="64"/>
      <c r="G20" s="173"/>
      <c r="H20" s="378"/>
      <c r="I20" s="378"/>
      <c r="J20" s="377"/>
      <c r="K20" s="377"/>
      <c r="L20" s="377"/>
      <c r="M20" s="452">
        <v>1</v>
      </c>
      <c r="N20" s="378"/>
      <c r="O20" s="378"/>
      <c r="P20" s="378"/>
      <c r="Q20" s="378"/>
      <c r="R20" s="378"/>
      <c r="S20" s="378"/>
      <c r="T20" s="378"/>
      <c r="U20" s="378"/>
      <c r="V20" s="378"/>
      <c r="W20" s="378"/>
      <c r="X20" s="378"/>
      <c r="Y20" s="378"/>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row>
    <row r="21" spans="1:173" s="56" customFormat="1" x14ac:dyDescent="0.2">
      <c r="A21" s="67"/>
      <c r="B21" s="68"/>
      <c r="C21" s="388" t="s">
        <v>11</v>
      </c>
      <c r="D21" s="387" t="s">
        <v>3763</v>
      </c>
      <c r="E21" s="118">
        <f t="shared" si="12"/>
        <v>-1</v>
      </c>
      <c r="F21" s="64"/>
      <c r="G21" s="173"/>
      <c r="H21" s="378"/>
      <c r="I21" s="378"/>
      <c r="J21" s="377"/>
      <c r="K21" s="377"/>
      <c r="L21" s="377"/>
      <c r="M21" s="377"/>
      <c r="N21" s="450">
        <v>-1</v>
      </c>
      <c r="O21" s="378"/>
      <c r="P21" s="378"/>
      <c r="Q21" s="378"/>
      <c r="R21" s="378"/>
      <c r="S21" s="378"/>
      <c r="T21" s="378"/>
      <c r="U21" s="378"/>
      <c r="V21" s="378"/>
      <c r="W21" s="378"/>
      <c r="X21" s="378"/>
      <c r="Y21" s="378"/>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row>
    <row r="22" spans="1:173" s="56" customFormat="1" x14ac:dyDescent="0.2">
      <c r="A22" s="67"/>
      <c r="B22" s="68"/>
      <c r="C22" s="388" t="s">
        <v>11</v>
      </c>
      <c r="D22" s="387" t="s">
        <v>3769</v>
      </c>
      <c r="E22" s="118">
        <f t="shared" si="12"/>
        <v>1</v>
      </c>
      <c r="F22" s="64"/>
      <c r="G22" s="173"/>
      <c r="H22" s="378"/>
      <c r="I22" s="378"/>
      <c r="J22" s="377"/>
      <c r="K22" s="377"/>
      <c r="L22" s="377"/>
      <c r="M22" s="377"/>
      <c r="N22" s="450">
        <v>1</v>
      </c>
      <c r="O22" s="378"/>
      <c r="P22" s="378"/>
      <c r="Q22" s="378"/>
      <c r="R22" s="378"/>
      <c r="S22" s="378"/>
      <c r="T22" s="378"/>
      <c r="U22" s="378"/>
      <c r="V22" s="378"/>
      <c r="W22" s="378"/>
      <c r="X22" s="378"/>
      <c r="Y22" s="378"/>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row>
    <row r="23" spans="1:173" s="56" customFormat="1" x14ac:dyDescent="0.2">
      <c r="A23" s="67"/>
      <c r="B23" s="68"/>
      <c r="C23" s="388" t="s">
        <v>11</v>
      </c>
      <c r="D23" s="387" t="s">
        <v>4461</v>
      </c>
      <c r="E23" s="118">
        <f t="shared" si="12"/>
        <v>0</v>
      </c>
      <c r="H23" s="378"/>
      <c r="I23" s="378"/>
      <c r="J23" s="378"/>
      <c r="K23" s="378"/>
      <c r="L23" s="378"/>
      <c r="M23" s="378"/>
      <c r="N23" s="378"/>
      <c r="O23" s="378"/>
      <c r="P23" s="378"/>
      <c r="Q23" s="378"/>
      <c r="R23" s="378"/>
      <c r="S23" s="378"/>
      <c r="T23" s="378"/>
      <c r="U23" s="378"/>
      <c r="V23" s="378"/>
      <c r="W23" s="378"/>
      <c r="X23" s="378"/>
      <c r="Y23" s="378"/>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row>
    <row r="24" spans="1:173" s="56" customFormat="1" x14ac:dyDescent="0.2">
      <c r="B24" s="68"/>
      <c r="C24" s="388" t="s">
        <v>11</v>
      </c>
      <c r="D24" s="379" t="s">
        <v>3778</v>
      </c>
      <c r="E24" s="118">
        <f t="shared" si="12"/>
        <v>0</v>
      </c>
      <c r="H24" s="378"/>
      <c r="I24" s="375"/>
      <c r="J24" s="375"/>
      <c r="K24" s="375"/>
      <c r="L24" s="375"/>
      <c r="M24" s="375"/>
      <c r="N24" s="375"/>
      <c r="O24" s="375"/>
      <c r="P24" s="375"/>
      <c r="Q24" s="375"/>
      <c r="R24" s="375"/>
      <c r="S24" s="375"/>
      <c r="T24" s="375"/>
      <c r="U24" s="375"/>
      <c r="V24" s="375"/>
      <c r="W24" s="375"/>
      <c r="X24" s="375"/>
      <c r="Y24" s="375"/>
    </row>
    <row r="25" spans="1:173" s="56" customFormat="1" x14ac:dyDescent="0.2">
      <c r="B25" s="68"/>
      <c r="C25" s="388" t="s">
        <v>11</v>
      </c>
      <c r="D25" s="385" t="s">
        <v>3794</v>
      </c>
      <c r="E25" s="118">
        <f t="shared" si="12"/>
        <v>0</v>
      </c>
      <c r="H25" s="378"/>
      <c r="I25" s="375"/>
      <c r="J25" s="375"/>
      <c r="K25" s="375"/>
      <c r="L25" s="375"/>
      <c r="M25" s="375"/>
      <c r="N25" s="375"/>
      <c r="O25" s="375"/>
      <c r="P25" s="375"/>
      <c r="Q25" s="375"/>
      <c r="R25" s="375"/>
      <c r="S25" s="375"/>
      <c r="T25" s="375"/>
      <c r="U25" s="375"/>
      <c r="V25" s="375"/>
      <c r="W25" s="375"/>
      <c r="X25" s="375"/>
      <c r="Y25" s="375"/>
    </row>
    <row r="26" spans="1:173" s="56" customFormat="1" x14ac:dyDescent="0.2">
      <c r="B26" s="68"/>
      <c r="C26" s="388" t="s">
        <v>11</v>
      </c>
      <c r="D26" s="379" t="s">
        <v>4462</v>
      </c>
      <c r="E26" s="118">
        <f t="shared" si="12"/>
        <v>-1</v>
      </c>
      <c r="H26" s="378"/>
      <c r="I26" s="375"/>
      <c r="J26" s="375"/>
      <c r="K26" s="375"/>
      <c r="L26" s="375"/>
      <c r="M26" s="375"/>
      <c r="N26" s="375"/>
      <c r="O26" s="375"/>
      <c r="P26" s="375"/>
      <c r="Q26" s="451">
        <v>-1</v>
      </c>
      <c r="R26" s="375"/>
      <c r="S26" s="375"/>
      <c r="T26" s="375"/>
      <c r="U26" s="375"/>
      <c r="V26" s="375"/>
      <c r="W26" s="375"/>
      <c r="X26" s="375"/>
      <c r="Y26" s="375"/>
    </row>
    <row r="27" spans="1:173" s="56" customFormat="1" x14ac:dyDescent="0.2">
      <c r="B27" s="68"/>
      <c r="C27" s="388" t="s">
        <v>11</v>
      </c>
      <c r="D27" s="379" t="s">
        <v>4463</v>
      </c>
      <c r="E27" s="118">
        <f t="shared" si="12"/>
        <v>1</v>
      </c>
      <c r="H27" s="378"/>
      <c r="I27" s="375"/>
      <c r="J27" s="375"/>
      <c r="K27" s="375"/>
      <c r="L27" s="375"/>
      <c r="M27" s="375"/>
      <c r="N27" s="375"/>
      <c r="O27" s="375"/>
      <c r="P27" s="375"/>
      <c r="Q27" s="451">
        <v>1</v>
      </c>
      <c r="R27" s="375"/>
      <c r="S27" s="375"/>
      <c r="T27" s="375"/>
      <c r="U27" s="375"/>
      <c r="V27" s="375"/>
      <c r="W27" s="375"/>
      <c r="X27" s="375"/>
      <c r="Y27" s="375"/>
    </row>
    <row r="28" spans="1:173" s="56" customFormat="1" x14ac:dyDescent="0.2">
      <c r="B28" s="68"/>
      <c r="C28" s="388" t="s">
        <v>11</v>
      </c>
      <c r="D28" s="385" t="s">
        <v>3846</v>
      </c>
      <c r="E28" s="118">
        <f t="shared" si="12"/>
        <v>-1</v>
      </c>
      <c r="H28" s="378"/>
      <c r="I28" s="375"/>
      <c r="J28" s="375"/>
      <c r="K28" s="375"/>
      <c r="L28" s="375"/>
      <c r="M28" s="375"/>
      <c r="N28" s="375"/>
      <c r="O28" s="375"/>
      <c r="P28" s="375"/>
      <c r="Q28" s="375"/>
      <c r="R28" s="375"/>
      <c r="S28" s="451">
        <v>-1</v>
      </c>
      <c r="T28" s="375"/>
      <c r="U28" s="375"/>
      <c r="V28" s="375"/>
      <c r="W28" s="375"/>
      <c r="X28" s="375"/>
      <c r="Y28" s="375"/>
    </row>
    <row r="29" spans="1:173" s="56" customFormat="1" x14ac:dyDescent="0.2">
      <c r="B29" s="68"/>
      <c r="C29" s="388" t="s">
        <v>11</v>
      </c>
      <c r="D29" s="385" t="s">
        <v>3844</v>
      </c>
      <c r="E29" s="118">
        <f t="shared" si="12"/>
        <v>1</v>
      </c>
      <c r="H29" s="378"/>
      <c r="I29" s="375"/>
      <c r="J29" s="375"/>
      <c r="K29" s="375"/>
      <c r="L29" s="375"/>
      <c r="M29" s="375"/>
      <c r="N29" s="375"/>
      <c r="O29" s="375"/>
      <c r="P29" s="375"/>
      <c r="Q29" s="375"/>
      <c r="R29" s="375"/>
      <c r="S29" s="451">
        <v>1</v>
      </c>
      <c r="T29" s="375"/>
      <c r="U29" s="375"/>
      <c r="V29" s="375"/>
      <c r="W29" s="375"/>
      <c r="X29" s="375"/>
      <c r="Y29" s="375"/>
    </row>
    <row r="30" spans="1:173" s="56" customFormat="1" x14ac:dyDescent="0.2">
      <c r="B30" s="68"/>
      <c r="C30" s="388" t="s">
        <v>11</v>
      </c>
      <c r="D30" s="379" t="s">
        <v>3814</v>
      </c>
      <c r="E30" s="118">
        <f t="shared" si="12"/>
        <v>-1</v>
      </c>
      <c r="H30" s="378"/>
      <c r="I30" s="375"/>
      <c r="J30" s="375"/>
      <c r="K30" s="375"/>
      <c r="L30" s="375"/>
      <c r="M30" s="375"/>
      <c r="N30" s="375"/>
      <c r="O30" s="375"/>
      <c r="P30" s="375"/>
      <c r="Q30" s="375"/>
      <c r="R30" s="375"/>
      <c r="S30" s="375"/>
      <c r="T30" s="451">
        <v>-1</v>
      </c>
      <c r="U30" s="375"/>
      <c r="V30" s="375"/>
      <c r="W30" s="375"/>
      <c r="X30" s="375"/>
      <c r="Y30" s="375"/>
    </row>
    <row r="31" spans="1:173" s="56" customFormat="1" x14ac:dyDescent="0.2">
      <c r="B31" s="66"/>
      <c r="C31" s="388" t="s">
        <v>11</v>
      </c>
      <c r="D31" s="387" t="s">
        <v>4464</v>
      </c>
      <c r="E31" s="118">
        <f t="shared" si="12"/>
        <v>1</v>
      </c>
      <c r="H31" s="378"/>
      <c r="I31" s="375"/>
      <c r="J31" s="375"/>
      <c r="K31" s="375"/>
      <c r="L31" s="375"/>
      <c r="M31" s="375"/>
      <c r="N31" s="375"/>
      <c r="O31" s="375"/>
      <c r="P31" s="375"/>
      <c r="Q31" s="375"/>
      <c r="R31" s="375"/>
      <c r="S31" s="375"/>
      <c r="T31" s="451">
        <v>1</v>
      </c>
      <c r="U31" s="375"/>
      <c r="V31" s="375"/>
      <c r="W31" s="375"/>
      <c r="X31" s="375"/>
      <c r="Y31" s="375"/>
    </row>
    <row r="32" spans="1:173" s="56" customFormat="1" x14ac:dyDescent="0.2">
      <c r="B32" s="66"/>
      <c r="C32" s="388" t="s">
        <v>11</v>
      </c>
      <c r="D32" s="387" t="s">
        <v>896</v>
      </c>
      <c r="E32" s="118">
        <f t="shared" si="12"/>
        <v>-1</v>
      </c>
      <c r="H32" s="378"/>
      <c r="I32" s="375"/>
      <c r="J32" s="375"/>
      <c r="K32" s="375"/>
      <c r="L32" s="375"/>
      <c r="M32" s="375"/>
      <c r="N32" s="375"/>
      <c r="O32" s="375"/>
      <c r="P32" s="375"/>
      <c r="Q32" s="375"/>
      <c r="R32" s="375"/>
      <c r="S32" s="375"/>
      <c r="T32" s="375"/>
      <c r="U32" s="451">
        <v>-1</v>
      </c>
      <c r="V32" s="375"/>
      <c r="W32" s="375"/>
      <c r="X32" s="375"/>
      <c r="Y32" s="375"/>
    </row>
    <row r="33" spans="1:25" s="56" customFormat="1" x14ac:dyDescent="0.2">
      <c r="B33" s="66"/>
      <c r="C33" s="388" t="s">
        <v>11</v>
      </c>
      <c r="D33" s="379" t="s">
        <v>4465</v>
      </c>
      <c r="E33" s="118">
        <f t="shared" si="12"/>
        <v>1</v>
      </c>
      <c r="H33" s="378"/>
      <c r="I33" s="375"/>
      <c r="J33" s="375"/>
      <c r="K33" s="375"/>
      <c r="L33" s="375"/>
      <c r="M33" s="375"/>
      <c r="N33" s="375"/>
      <c r="O33" s="375"/>
      <c r="P33" s="375"/>
      <c r="Q33" s="375"/>
      <c r="R33" s="375"/>
      <c r="S33" s="375"/>
      <c r="T33" s="375"/>
      <c r="U33" s="451">
        <v>1</v>
      </c>
      <c r="V33" s="375"/>
      <c r="W33" s="375"/>
      <c r="X33" s="375"/>
      <c r="Y33" s="375"/>
    </row>
    <row r="34" spans="1:25" s="56" customFormat="1" x14ac:dyDescent="0.2">
      <c r="B34" s="66"/>
      <c r="C34" s="388" t="s">
        <v>11</v>
      </c>
      <c r="D34" s="387" t="s">
        <v>4466</v>
      </c>
      <c r="E34" s="118">
        <f t="shared" si="12"/>
        <v>0</v>
      </c>
      <c r="H34" s="378"/>
      <c r="I34" s="375"/>
      <c r="J34" s="375"/>
      <c r="K34" s="375"/>
      <c r="L34" s="375"/>
      <c r="M34" s="375"/>
      <c r="N34" s="375"/>
      <c r="O34" s="375"/>
      <c r="P34" s="375"/>
      <c r="Q34" s="375"/>
      <c r="R34" s="375"/>
      <c r="S34" s="375"/>
      <c r="T34" s="375"/>
      <c r="U34" s="375"/>
      <c r="V34" s="375"/>
      <c r="W34" s="375"/>
      <c r="X34" s="375"/>
      <c r="Y34" s="375"/>
    </row>
    <row r="35" spans="1:25" s="56" customFormat="1" x14ac:dyDescent="0.2">
      <c r="B35" s="66"/>
      <c r="C35" s="388" t="s">
        <v>11</v>
      </c>
      <c r="D35" s="387" t="s">
        <v>3864</v>
      </c>
      <c r="E35" s="118">
        <f t="shared" si="12"/>
        <v>-1</v>
      </c>
      <c r="H35" s="378"/>
      <c r="I35" s="375"/>
      <c r="J35" s="375"/>
      <c r="K35" s="375"/>
      <c r="L35" s="375"/>
      <c r="M35" s="375"/>
      <c r="N35" s="375"/>
      <c r="O35" s="375"/>
      <c r="P35" s="375"/>
      <c r="Q35" s="375"/>
      <c r="R35" s="375"/>
      <c r="S35" s="375"/>
      <c r="T35" s="375"/>
      <c r="U35" s="375"/>
      <c r="V35" s="375"/>
      <c r="W35" s="451">
        <v>-1</v>
      </c>
      <c r="X35" s="375"/>
      <c r="Y35" s="375"/>
    </row>
    <row r="36" spans="1:25" s="56" customFormat="1" x14ac:dyDescent="0.2">
      <c r="B36" s="66"/>
      <c r="C36" s="388" t="s">
        <v>11</v>
      </c>
      <c r="D36" s="387" t="s">
        <v>3898</v>
      </c>
      <c r="E36" s="118">
        <f t="shared" si="12"/>
        <v>1</v>
      </c>
      <c r="H36" s="378"/>
      <c r="I36" s="375"/>
      <c r="J36" s="375"/>
      <c r="K36" s="375"/>
      <c r="L36" s="375"/>
      <c r="M36" s="375"/>
      <c r="N36" s="375"/>
      <c r="O36" s="375"/>
      <c r="P36" s="375"/>
      <c r="Q36" s="375"/>
      <c r="R36" s="375"/>
      <c r="S36" s="375"/>
      <c r="T36" s="375"/>
      <c r="U36" s="375"/>
      <c r="V36" s="375"/>
      <c r="W36" s="451">
        <v>1</v>
      </c>
      <c r="X36" s="375"/>
      <c r="Y36" s="375"/>
    </row>
    <row r="37" spans="1:25" s="56" customFormat="1" x14ac:dyDescent="0.2">
      <c r="B37" s="66"/>
      <c r="C37" s="388" t="s">
        <v>11</v>
      </c>
      <c r="D37" s="387" t="s">
        <v>4467</v>
      </c>
      <c r="E37" s="118">
        <f t="shared" si="12"/>
        <v>0</v>
      </c>
      <c r="H37" s="378"/>
      <c r="I37" s="375"/>
      <c r="J37" s="375"/>
      <c r="K37" s="375"/>
      <c r="L37" s="375"/>
      <c r="M37" s="375"/>
      <c r="N37" s="375"/>
      <c r="O37" s="375"/>
      <c r="P37" s="375"/>
      <c r="Q37" s="375"/>
      <c r="R37" s="375"/>
      <c r="S37" s="375"/>
      <c r="T37" s="375"/>
      <c r="U37" s="375"/>
      <c r="V37" s="375"/>
      <c r="W37" s="375"/>
      <c r="X37" s="375"/>
      <c r="Y37" s="375"/>
    </row>
    <row r="38" spans="1:25" s="56" customFormat="1" x14ac:dyDescent="0.2">
      <c r="B38" s="66"/>
      <c r="C38" s="388" t="s">
        <v>11</v>
      </c>
      <c r="D38" s="379" t="s">
        <v>3915</v>
      </c>
      <c r="E38" s="118">
        <f t="shared" si="12"/>
        <v>0</v>
      </c>
      <c r="H38" s="378"/>
      <c r="I38" s="375"/>
      <c r="J38" s="375"/>
      <c r="K38" s="375"/>
      <c r="L38" s="375"/>
      <c r="M38" s="375"/>
      <c r="N38" s="375"/>
      <c r="O38" s="375"/>
      <c r="P38" s="375"/>
      <c r="Q38" s="375"/>
      <c r="R38" s="375"/>
      <c r="S38" s="375"/>
      <c r="T38" s="375"/>
      <c r="U38" s="375"/>
      <c r="V38" s="375"/>
      <c r="W38" s="375"/>
      <c r="X38" s="375"/>
      <c r="Y38" s="375"/>
    </row>
    <row r="39" spans="1:25" s="56" customFormat="1" x14ac:dyDescent="0.2">
      <c r="B39" s="66"/>
      <c r="C39" s="388" t="s">
        <v>11</v>
      </c>
      <c r="D39" s="387" t="s">
        <v>3959</v>
      </c>
      <c r="E39" s="118">
        <f t="shared" si="12"/>
        <v>-1</v>
      </c>
      <c r="H39" s="378"/>
      <c r="I39" s="375"/>
      <c r="J39" s="375"/>
      <c r="K39" s="375"/>
      <c r="L39" s="375"/>
      <c r="M39" s="375"/>
      <c r="N39" s="375"/>
      <c r="O39" s="375"/>
      <c r="P39" s="375"/>
      <c r="Q39" s="375"/>
      <c r="R39" s="375"/>
      <c r="S39" s="375"/>
      <c r="T39" s="375"/>
      <c r="U39" s="375"/>
      <c r="V39" s="375"/>
      <c r="W39" s="375"/>
      <c r="X39" s="375"/>
      <c r="Y39" s="451">
        <v>-1</v>
      </c>
    </row>
    <row r="40" spans="1:25" s="56" customFormat="1" x14ac:dyDescent="0.2">
      <c r="B40" s="66"/>
      <c r="C40" s="388" t="s">
        <v>11</v>
      </c>
      <c r="D40" s="379" t="s">
        <v>3960</v>
      </c>
      <c r="E40" s="118">
        <f t="shared" si="12"/>
        <v>1</v>
      </c>
      <c r="H40" s="378"/>
      <c r="I40" s="375"/>
      <c r="J40" s="375"/>
      <c r="K40" s="375"/>
      <c r="L40" s="375"/>
      <c r="M40" s="375"/>
      <c r="N40" s="375"/>
      <c r="O40" s="375"/>
      <c r="P40" s="375"/>
      <c r="Q40" s="375"/>
      <c r="R40" s="375"/>
      <c r="S40" s="375"/>
      <c r="T40" s="375"/>
      <c r="U40" s="375"/>
      <c r="V40" s="375"/>
      <c r="W40" s="375"/>
      <c r="X40" s="375"/>
      <c r="Y40" s="451">
        <v>1</v>
      </c>
    </row>
    <row r="41" spans="1:25" s="56" customFormat="1" x14ac:dyDescent="0.2">
      <c r="B41" s="66"/>
      <c r="C41" s="117"/>
      <c r="D41" s="37"/>
      <c r="E41" s="118"/>
      <c r="H41" s="57"/>
    </row>
    <row r="42" spans="1:25" s="56" customFormat="1" x14ac:dyDescent="0.2">
      <c r="B42" s="66"/>
      <c r="C42" s="117"/>
      <c r="D42" s="120"/>
      <c r="E42" s="118"/>
      <c r="H42" s="57"/>
    </row>
    <row r="43" spans="1:25" s="56" customFormat="1" x14ac:dyDescent="0.2">
      <c r="A43" s="389"/>
      <c r="B43" s="66"/>
      <c r="C43" s="117"/>
      <c r="D43" s="37"/>
      <c r="E43" s="118"/>
      <c r="H43" s="57"/>
    </row>
    <row r="44" spans="1:25" s="56" customFormat="1" x14ac:dyDescent="0.2">
      <c r="B44" s="66"/>
      <c r="C44" s="117"/>
      <c r="D44" s="37"/>
      <c r="E44" s="118"/>
      <c r="H44" s="57"/>
    </row>
    <row r="45" spans="1:25" s="56" customFormat="1" x14ac:dyDescent="0.2">
      <c r="B45" s="66"/>
      <c r="C45" s="117"/>
      <c r="D45" s="37"/>
      <c r="E45" s="118"/>
      <c r="H45" s="57"/>
    </row>
    <row r="46" spans="1:25" s="56" customFormat="1" x14ac:dyDescent="0.2">
      <c r="B46" s="66"/>
      <c r="C46" s="117"/>
      <c r="D46" s="37"/>
      <c r="E46" s="118"/>
      <c r="H46" s="57"/>
    </row>
    <row r="47" spans="1:25" s="56" customFormat="1" x14ac:dyDescent="0.2">
      <c r="B47" s="66"/>
      <c r="C47" s="117"/>
      <c r="D47" s="37"/>
      <c r="E47" s="118"/>
      <c r="H47" s="57"/>
    </row>
    <row r="48" spans="1:25" s="56" customFormat="1" x14ac:dyDescent="0.2">
      <c r="B48" s="66"/>
      <c r="C48" s="117"/>
      <c r="D48" s="37"/>
      <c r="E48" s="118"/>
      <c r="H48" s="57"/>
    </row>
    <row r="49" spans="2:8" s="56" customFormat="1" x14ac:dyDescent="0.2">
      <c r="B49" s="66"/>
      <c r="C49" s="117"/>
      <c r="D49" s="120"/>
      <c r="E49" s="118"/>
      <c r="H49" s="57"/>
    </row>
    <row r="50" spans="2:8" s="56" customFormat="1" x14ac:dyDescent="0.2">
      <c r="B50" s="66"/>
      <c r="C50" s="117"/>
      <c r="D50" s="120"/>
      <c r="E50" s="118"/>
      <c r="H50" s="57"/>
    </row>
    <row r="51" spans="2:8" s="56" customFormat="1" x14ac:dyDescent="0.2">
      <c r="B51" s="66"/>
      <c r="C51" s="117"/>
      <c r="D51" s="37"/>
      <c r="E51" s="118"/>
      <c r="H51" s="57"/>
    </row>
    <row r="52" spans="2:8" s="56" customFormat="1" x14ac:dyDescent="0.2">
      <c r="B52" s="66"/>
      <c r="C52" s="117"/>
      <c r="D52" s="120"/>
      <c r="E52" s="118"/>
    </row>
    <row r="53" spans="2:8" s="56" customFormat="1" x14ac:dyDescent="0.2">
      <c r="B53" s="66"/>
      <c r="C53" s="117"/>
      <c r="D53" s="37"/>
      <c r="E53" s="118"/>
    </row>
    <row r="54" spans="2:8" s="56" customFormat="1" x14ac:dyDescent="0.2">
      <c r="B54" s="66"/>
      <c r="C54" s="117"/>
      <c r="D54" s="120"/>
      <c r="E54" s="118"/>
    </row>
    <row r="55" spans="2:8" s="56" customFormat="1" x14ac:dyDescent="0.2">
      <c r="B55" s="66"/>
      <c r="C55" s="117"/>
      <c r="D55" s="120"/>
      <c r="E55" s="118"/>
    </row>
    <row r="56" spans="2:8" s="56" customFormat="1" x14ac:dyDescent="0.2">
      <c r="B56" s="66"/>
      <c r="C56" s="117"/>
      <c r="D56" s="37"/>
      <c r="E56" s="118"/>
    </row>
    <row r="57" spans="2:8" s="56" customFormat="1" x14ac:dyDescent="0.2">
      <c r="B57" s="66"/>
      <c r="C57" s="117"/>
      <c r="D57" s="120"/>
      <c r="E57" s="118"/>
    </row>
    <row r="58" spans="2:8" s="56" customFormat="1" x14ac:dyDescent="0.2">
      <c r="B58" s="66"/>
      <c r="C58" s="117"/>
      <c r="D58" s="120"/>
      <c r="E58" s="118"/>
    </row>
    <row r="59" spans="2:8" s="56" customFormat="1" x14ac:dyDescent="0.2">
      <c r="B59" s="66"/>
      <c r="C59" s="117"/>
      <c r="D59" s="41"/>
      <c r="E59" s="118"/>
    </row>
    <row r="60" spans="2:8" s="56" customFormat="1" x14ac:dyDescent="0.2">
      <c r="B60" s="66"/>
      <c r="C60" s="117"/>
      <c r="D60" s="120"/>
      <c r="E60" s="118"/>
    </row>
    <row r="61" spans="2:8" s="56" customFormat="1" x14ac:dyDescent="0.2">
      <c r="B61" s="66"/>
      <c r="C61" s="101"/>
      <c r="D61" s="49"/>
      <c r="E61" s="101"/>
    </row>
    <row r="62" spans="2:8" s="56" customFormat="1" x14ac:dyDescent="0.2">
      <c r="B62" s="66"/>
      <c r="C62" s="101"/>
      <c r="D62" s="49"/>
      <c r="E62" s="101"/>
    </row>
    <row r="63" spans="2:8" s="56" customFormat="1" x14ac:dyDescent="0.2">
      <c r="B63" s="66"/>
      <c r="C63" s="101"/>
      <c r="D63" s="49"/>
      <c r="E63" s="101"/>
    </row>
    <row r="64" spans="2:8" s="56" customFormat="1" x14ac:dyDescent="0.2">
      <c r="B64" s="66"/>
      <c r="C64" s="101"/>
      <c r="D64" s="49"/>
      <c r="E64" s="101"/>
    </row>
    <row r="65" spans="2:5" s="56" customFormat="1" x14ac:dyDescent="0.2">
      <c r="B65" s="66"/>
      <c r="C65" s="101"/>
      <c r="D65" s="49"/>
      <c r="E65" s="101"/>
    </row>
    <row r="66" spans="2:5" s="56" customFormat="1" x14ac:dyDescent="0.2">
      <c r="B66" s="66"/>
      <c r="C66" s="101"/>
      <c r="D66" s="49"/>
      <c r="E66" s="101"/>
    </row>
    <row r="67" spans="2:5" s="56" customFormat="1" x14ac:dyDescent="0.2">
      <c r="B67" s="66"/>
      <c r="C67" s="101"/>
      <c r="D67" s="49"/>
      <c r="E67" s="101"/>
    </row>
    <row r="68" spans="2:5" s="56" customFormat="1" x14ac:dyDescent="0.2">
      <c r="B68" s="66"/>
      <c r="C68" s="101"/>
      <c r="D68" s="49"/>
      <c r="E68" s="101"/>
    </row>
    <row r="69" spans="2:5" s="56" customFormat="1" x14ac:dyDescent="0.2">
      <c r="B69" s="66"/>
      <c r="C69" s="101"/>
      <c r="D69" s="49"/>
      <c r="E69" s="101"/>
    </row>
    <row r="70" spans="2:5" s="56" customFormat="1" x14ac:dyDescent="0.2">
      <c r="B70" s="66"/>
      <c r="C70" s="101"/>
      <c r="D70" s="49"/>
      <c r="E70" s="101"/>
    </row>
    <row r="71" spans="2:5" s="56" customFormat="1" x14ac:dyDescent="0.2">
      <c r="B71" s="66"/>
      <c r="C71" s="101"/>
      <c r="D71" s="49"/>
      <c r="E71" s="101"/>
    </row>
    <row r="72" spans="2:5" s="56" customFormat="1" x14ac:dyDescent="0.2">
      <c r="B72" s="66"/>
      <c r="C72" s="101"/>
      <c r="D72" s="49"/>
      <c r="E72" s="101"/>
    </row>
    <row r="73" spans="2:5" s="56" customFormat="1" x14ac:dyDescent="0.2">
      <c r="B73" s="66"/>
      <c r="C73" s="101"/>
      <c r="D73" s="49"/>
      <c r="E73" s="101"/>
    </row>
    <row r="74" spans="2:5" s="56" customFormat="1" x14ac:dyDescent="0.2">
      <c r="B74" s="66"/>
      <c r="C74" s="101"/>
      <c r="D74" s="49"/>
      <c r="E74" s="101"/>
    </row>
    <row r="75" spans="2:5" s="56" customFormat="1" x14ac:dyDescent="0.2">
      <c r="B75" s="66"/>
      <c r="C75" s="101"/>
      <c r="D75" s="49"/>
      <c r="E75" s="101"/>
    </row>
    <row r="76" spans="2:5" s="56" customFormat="1" x14ac:dyDescent="0.2">
      <c r="B76" s="66"/>
      <c r="C76" s="101"/>
      <c r="D76" s="49"/>
      <c r="E76" s="101"/>
    </row>
    <row r="77" spans="2:5" s="56" customFormat="1" x14ac:dyDescent="0.2">
      <c r="B77" s="66"/>
      <c r="C77" s="101"/>
      <c r="D77" s="49"/>
      <c r="E77" s="101"/>
    </row>
    <row r="78" spans="2:5" s="56" customFormat="1" x14ac:dyDescent="0.2">
      <c r="B78" s="66"/>
      <c r="C78" s="101"/>
      <c r="D78" s="49"/>
      <c r="E78" s="101"/>
    </row>
    <row r="79" spans="2:5" s="56" customFormat="1" x14ac:dyDescent="0.2">
      <c r="B79" s="66"/>
      <c r="C79" s="101"/>
      <c r="D79" s="49"/>
      <c r="E79" s="101"/>
    </row>
    <row r="80" spans="2:5" s="56" customFormat="1" x14ac:dyDescent="0.2">
      <c r="B80" s="66"/>
      <c r="C80" s="101"/>
      <c r="D80" s="49"/>
      <c r="E80" s="101"/>
    </row>
    <row r="81" spans="2:5" s="56" customFormat="1" x14ac:dyDescent="0.2">
      <c r="B81" s="66"/>
      <c r="C81" s="101"/>
      <c r="D81" s="49"/>
      <c r="E81" s="101"/>
    </row>
    <row r="82" spans="2:5" s="56" customFormat="1" x14ac:dyDescent="0.2">
      <c r="B82" s="66"/>
      <c r="C82" s="101"/>
      <c r="D82" s="49"/>
      <c r="E82" s="101"/>
    </row>
    <row r="83" spans="2:5" s="56" customFormat="1" x14ac:dyDescent="0.2">
      <c r="B83" s="66"/>
      <c r="C83" s="101"/>
      <c r="D83" s="49"/>
      <c r="E83" s="101"/>
    </row>
    <row r="84" spans="2:5" s="56" customFormat="1" x14ac:dyDescent="0.2">
      <c r="B84" s="66"/>
      <c r="C84" s="101"/>
      <c r="D84" s="49"/>
      <c r="E84" s="101"/>
    </row>
    <row r="85" spans="2:5" s="56" customFormat="1" x14ac:dyDescent="0.2">
      <c r="B85" s="66"/>
      <c r="C85" s="101"/>
      <c r="D85" s="49"/>
      <c r="E85" s="101"/>
    </row>
    <row r="86" spans="2:5" s="56" customFormat="1" x14ac:dyDescent="0.2">
      <c r="B86" s="66"/>
      <c r="C86" s="101"/>
      <c r="D86" s="49"/>
      <c r="E86" s="101"/>
    </row>
    <row r="87" spans="2:5" s="56" customFormat="1" x14ac:dyDescent="0.2">
      <c r="B87" s="66"/>
      <c r="C87" s="101"/>
      <c r="D87" s="49"/>
      <c r="E87" s="101"/>
    </row>
    <row r="88" spans="2:5" s="56" customFormat="1" x14ac:dyDescent="0.2">
      <c r="B88" s="66"/>
      <c r="C88" s="101"/>
      <c r="D88" s="49"/>
      <c r="E88" s="101"/>
    </row>
    <row r="89" spans="2:5" s="56" customFormat="1" x14ac:dyDescent="0.2">
      <c r="B89" s="66"/>
      <c r="C89" s="101"/>
      <c r="D89" s="49"/>
      <c r="E89" s="101"/>
    </row>
    <row r="90" spans="2:5" s="56" customFormat="1" x14ac:dyDescent="0.2">
      <c r="B90" s="66"/>
      <c r="C90" s="101"/>
      <c r="D90" s="49"/>
      <c r="E90" s="101"/>
    </row>
    <row r="91" spans="2:5" s="56" customFormat="1" x14ac:dyDescent="0.2">
      <c r="B91" s="66"/>
      <c r="C91" s="101"/>
      <c r="D91" s="49"/>
      <c r="E91" s="101"/>
    </row>
    <row r="92" spans="2:5" s="56" customFormat="1" x14ac:dyDescent="0.2">
      <c r="B92" s="66"/>
      <c r="C92" s="101"/>
      <c r="D92" s="49"/>
      <c r="E92" s="101"/>
    </row>
    <row r="93" spans="2:5" s="56" customFormat="1" x14ac:dyDescent="0.2">
      <c r="B93" s="66"/>
      <c r="C93" s="101"/>
      <c r="D93" s="49"/>
      <c r="E93" s="101"/>
    </row>
    <row r="94" spans="2:5" s="56" customFormat="1" x14ac:dyDescent="0.2">
      <c r="B94" s="66"/>
      <c r="C94" s="101"/>
      <c r="D94" s="49"/>
      <c r="E94" s="101"/>
    </row>
    <row r="95" spans="2:5" s="56" customFormat="1" x14ac:dyDescent="0.2">
      <c r="B95" s="66"/>
      <c r="C95" s="101"/>
      <c r="D95" s="49"/>
      <c r="E95" s="101"/>
    </row>
    <row r="96" spans="2:5" s="56" customFormat="1" x14ac:dyDescent="0.2">
      <c r="B96" s="66"/>
      <c r="C96" s="101"/>
      <c r="D96" s="49"/>
      <c r="E96" s="101"/>
    </row>
    <row r="97" spans="2:5" s="56" customFormat="1" x14ac:dyDescent="0.2">
      <c r="B97" s="66"/>
      <c r="C97" s="101"/>
      <c r="D97" s="49"/>
      <c r="E97" s="101"/>
    </row>
    <row r="98" spans="2:5" s="56" customFormat="1" x14ac:dyDescent="0.2">
      <c r="B98" s="66"/>
      <c r="C98" s="101"/>
      <c r="D98" s="49"/>
      <c r="E98" s="101"/>
    </row>
    <row r="99" spans="2:5" s="56" customFormat="1" x14ac:dyDescent="0.2">
      <c r="B99" s="66"/>
      <c r="C99" s="101"/>
      <c r="D99" s="49"/>
      <c r="E99" s="101"/>
    </row>
    <row r="100" spans="2:5" s="56" customFormat="1" x14ac:dyDescent="0.2">
      <c r="B100" s="66"/>
      <c r="C100" s="101"/>
      <c r="D100" s="49"/>
      <c r="E100" s="101"/>
    </row>
    <row r="101" spans="2:5" s="56" customFormat="1" x14ac:dyDescent="0.2">
      <c r="B101" s="66"/>
      <c r="C101" s="101"/>
      <c r="D101" s="49"/>
      <c r="E101" s="101"/>
    </row>
    <row r="102" spans="2:5" s="56" customFormat="1" x14ac:dyDescent="0.2">
      <c r="B102" s="66"/>
      <c r="C102" s="101"/>
      <c r="D102" s="49"/>
      <c r="E102" s="101"/>
    </row>
    <row r="103" spans="2:5" s="56" customFormat="1" x14ac:dyDescent="0.2">
      <c r="B103" s="66"/>
      <c r="C103" s="101"/>
      <c r="D103" s="49"/>
      <c r="E103" s="101"/>
    </row>
    <row r="104" spans="2:5" s="56" customFormat="1" x14ac:dyDescent="0.2">
      <c r="B104" s="66"/>
      <c r="C104" s="101"/>
      <c r="D104" s="49"/>
      <c r="E104" s="101"/>
    </row>
    <row r="105" spans="2:5" s="56" customFormat="1" x14ac:dyDescent="0.2">
      <c r="B105" s="66"/>
      <c r="C105" s="101"/>
      <c r="D105" s="49"/>
      <c r="E105" s="101"/>
    </row>
    <row r="106" spans="2:5" s="56" customFormat="1" x14ac:dyDescent="0.2">
      <c r="B106" s="66"/>
      <c r="C106" s="101"/>
      <c r="D106" s="49"/>
      <c r="E106" s="101"/>
    </row>
    <row r="107" spans="2:5" s="56" customFormat="1" x14ac:dyDescent="0.2">
      <c r="B107" s="66"/>
      <c r="C107" s="101"/>
      <c r="D107" s="49"/>
      <c r="E107" s="101"/>
    </row>
    <row r="108" spans="2:5" s="56" customFormat="1" x14ac:dyDescent="0.2">
      <c r="B108" s="66"/>
      <c r="C108" s="101"/>
      <c r="D108" s="49"/>
      <c r="E108" s="101"/>
    </row>
    <row r="109" spans="2:5" s="56" customFormat="1" x14ac:dyDescent="0.2">
      <c r="B109" s="66"/>
      <c r="C109" s="101"/>
      <c r="D109" s="49"/>
      <c r="E109" s="101"/>
    </row>
    <row r="110" spans="2:5" s="56" customFormat="1" x14ac:dyDescent="0.2">
      <c r="B110" s="66"/>
      <c r="C110" s="101"/>
      <c r="D110" s="49"/>
      <c r="E110" s="101"/>
    </row>
    <row r="111" spans="2:5" s="56" customFormat="1" x14ac:dyDescent="0.2">
      <c r="B111" s="66"/>
      <c r="C111" s="101"/>
      <c r="D111" s="49"/>
      <c r="E111" s="101"/>
    </row>
    <row r="112" spans="2:5" s="56" customFormat="1" x14ac:dyDescent="0.2">
      <c r="B112" s="66"/>
      <c r="C112" s="101"/>
      <c r="D112" s="49"/>
      <c r="E112" s="101"/>
    </row>
    <row r="113" spans="2:5" s="56" customFormat="1" x14ac:dyDescent="0.2">
      <c r="B113" s="66"/>
      <c r="C113" s="101"/>
      <c r="D113" s="49"/>
      <c r="E113" s="101"/>
    </row>
    <row r="114" spans="2:5" s="56" customFormat="1" x14ac:dyDescent="0.2">
      <c r="B114" s="66"/>
      <c r="C114" s="101"/>
      <c r="D114" s="49"/>
      <c r="E114" s="101"/>
    </row>
    <row r="115" spans="2:5" s="56" customFormat="1" x14ac:dyDescent="0.2">
      <c r="B115" s="66"/>
      <c r="C115" s="101"/>
      <c r="D115" s="49"/>
      <c r="E115" s="101"/>
    </row>
    <row r="116" spans="2:5" s="56" customFormat="1" x14ac:dyDescent="0.2">
      <c r="B116" s="66"/>
      <c r="C116" s="101"/>
      <c r="D116" s="49"/>
      <c r="E116" s="101"/>
    </row>
    <row r="117" spans="2:5" s="56" customFormat="1" x14ac:dyDescent="0.2">
      <c r="B117" s="66"/>
      <c r="C117" s="101"/>
      <c r="D117" s="49"/>
      <c r="E117" s="101"/>
    </row>
    <row r="118" spans="2:5" s="56" customFormat="1" x14ac:dyDescent="0.2">
      <c r="B118" s="66"/>
      <c r="C118" s="101"/>
      <c r="D118" s="49"/>
      <c r="E118" s="101"/>
    </row>
    <row r="119" spans="2:5" s="56" customFormat="1" x14ac:dyDescent="0.2">
      <c r="B119" s="66"/>
      <c r="C119" s="101"/>
      <c r="D119" s="49"/>
      <c r="E119" s="101"/>
    </row>
    <row r="120" spans="2:5" s="56" customFormat="1" x14ac:dyDescent="0.2">
      <c r="B120" s="66"/>
      <c r="C120" s="101"/>
      <c r="D120" s="49"/>
      <c r="E120" s="101"/>
    </row>
    <row r="121" spans="2:5" s="56" customFormat="1" x14ac:dyDescent="0.2">
      <c r="B121" s="66"/>
      <c r="C121" s="101"/>
      <c r="D121" s="49"/>
      <c r="E121" s="101"/>
    </row>
    <row r="122" spans="2:5" s="56" customFormat="1" x14ac:dyDescent="0.2">
      <c r="B122" s="66"/>
      <c r="C122" s="101"/>
      <c r="D122" s="49"/>
      <c r="E122" s="101"/>
    </row>
    <row r="123" spans="2:5" s="56" customFormat="1" x14ac:dyDescent="0.2">
      <c r="B123" s="66"/>
      <c r="C123" s="101"/>
      <c r="D123" s="49"/>
      <c r="E123" s="101"/>
    </row>
    <row r="124" spans="2:5" s="56" customFormat="1" x14ac:dyDescent="0.2">
      <c r="B124" s="66"/>
      <c r="C124" s="101"/>
      <c r="D124" s="49"/>
      <c r="E124" s="101"/>
    </row>
    <row r="125" spans="2:5" s="56" customFormat="1" x14ac:dyDescent="0.2">
      <c r="B125" s="66"/>
      <c r="C125" s="101"/>
      <c r="D125" s="49"/>
      <c r="E125" s="101"/>
    </row>
    <row r="126" spans="2:5" s="56" customFormat="1" x14ac:dyDescent="0.2">
      <c r="B126" s="66"/>
      <c r="C126" s="101"/>
      <c r="D126" s="49"/>
      <c r="E126" s="101"/>
    </row>
    <row r="127" spans="2:5" s="56" customFormat="1" x14ac:dyDescent="0.2">
      <c r="B127" s="66"/>
      <c r="C127" s="101"/>
      <c r="D127" s="49"/>
      <c r="E127" s="101"/>
    </row>
    <row r="128" spans="2:5" s="56" customFormat="1" x14ac:dyDescent="0.2">
      <c r="B128" s="66"/>
      <c r="C128" s="101"/>
      <c r="D128" s="49"/>
      <c r="E128" s="101"/>
    </row>
    <row r="129" spans="2:5" s="56" customFormat="1" x14ac:dyDescent="0.2">
      <c r="B129" s="66"/>
      <c r="C129" s="101"/>
      <c r="D129" s="49"/>
      <c r="E129" s="101"/>
    </row>
    <row r="130" spans="2:5" s="56" customFormat="1" x14ac:dyDescent="0.2">
      <c r="B130" s="66"/>
      <c r="C130" s="101"/>
      <c r="D130" s="49"/>
      <c r="E130" s="101"/>
    </row>
    <row r="131" spans="2:5" s="56" customFormat="1" x14ac:dyDescent="0.2">
      <c r="B131" s="66"/>
      <c r="C131" s="101"/>
      <c r="D131" s="49"/>
      <c r="E131" s="101"/>
    </row>
    <row r="132" spans="2:5" s="56" customFormat="1" x14ac:dyDescent="0.2">
      <c r="B132" s="66"/>
      <c r="C132" s="101"/>
      <c r="D132" s="49"/>
      <c r="E132" s="101"/>
    </row>
    <row r="133" spans="2:5" s="56" customFormat="1" x14ac:dyDescent="0.2">
      <c r="B133" s="66"/>
      <c r="C133" s="101"/>
      <c r="D133" s="49"/>
      <c r="E133" s="101"/>
    </row>
    <row r="134" spans="2:5" s="56" customFormat="1" x14ac:dyDescent="0.2">
      <c r="B134" s="66"/>
      <c r="C134" s="101"/>
      <c r="D134" s="49"/>
      <c r="E134" s="101"/>
    </row>
    <row r="135" spans="2:5" s="56" customFormat="1" x14ac:dyDescent="0.2">
      <c r="B135" s="66"/>
      <c r="C135" s="101"/>
      <c r="D135" s="49"/>
      <c r="E135" s="101"/>
    </row>
    <row r="136" spans="2:5" s="56" customFormat="1" x14ac:dyDescent="0.2">
      <c r="B136" s="66"/>
      <c r="C136" s="101"/>
      <c r="D136" s="49"/>
      <c r="E136" s="101"/>
    </row>
    <row r="137" spans="2:5" s="56" customFormat="1" x14ac:dyDescent="0.2">
      <c r="B137" s="66"/>
      <c r="C137" s="101"/>
      <c r="D137" s="49"/>
      <c r="E137" s="101"/>
    </row>
    <row r="138" spans="2:5" s="56" customFormat="1" x14ac:dyDescent="0.2">
      <c r="B138" s="66"/>
      <c r="C138" s="101"/>
      <c r="D138" s="49"/>
      <c r="E138" s="101"/>
    </row>
    <row r="139" spans="2:5" s="56" customFormat="1" x14ac:dyDescent="0.2">
      <c r="B139" s="66"/>
      <c r="C139" s="101"/>
      <c r="D139" s="49"/>
      <c r="E139" s="101"/>
    </row>
    <row r="140" spans="2:5" s="56" customFormat="1" x14ac:dyDescent="0.2">
      <c r="B140" s="66"/>
      <c r="C140" s="101"/>
      <c r="D140" s="49"/>
      <c r="E140" s="101"/>
    </row>
    <row r="141" spans="2:5" s="56" customFormat="1" x14ac:dyDescent="0.2">
      <c r="B141" s="66"/>
      <c r="C141" s="101"/>
      <c r="D141" s="49"/>
      <c r="E141" s="101"/>
    </row>
    <row r="142" spans="2:5" s="56" customFormat="1" x14ac:dyDescent="0.2">
      <c r="B142" s="66"/>
      <c r="C142" s="101"/>
      <c r="D142" s="49"/>
      <c r="E142" s="101"/>
    </row>
    <row r="143" spans="2:5" s="56" customFormat="1" x14ac:dyDescent="0.2">
      <c r="B143" s="66"/>
      <c r="C143" s="101"/>
      <c r="D143" s="49"/>
      <c r="E143" s="101"/>
    </row>
    <row r="144" spans="2:5" s="56" customFormat="1" x14ac:dyDescent="0.2">
      <c r="B144" s="66"/>
      <c r="C144" s="101"/>
      <c r="D144" s="49"/>
      <c r="E144" s="101"/>
    </row>
    <row r="145" spans="2:5" s="56" customFormat="1" x14ac:dyDescent="0.2">
      <c r="B145" s="66"/>
      <c r="C145" s="101"/>
      <c r="D145" s="49"/>
      <c r="E145" s="101"/>
    </row>
    <row r="146" spans="2:5" s="56" customFormat="1" x14ac:dyDescent="0.2">
      <c r="B146" s="66"/>
      <c r="C146" s="101"/>
      <c r="D146" s="49"/>
      <c r="E146" s="101"/>
    </row>
    <row r="147" spans="2:5" s="56" customFormat="1" x14ac:dyDescent="0.2">
      <c r="B147" s="66"/>
      <c r="C147" s="101"/>
      <c r="D147" s="49"/>
      <c r="E147" s="101"/>
    </row>
    <row r="148" spans="2:5" s="56" customFormat="1" x14ac:dyDescent="0.2">
      <c r="B148" s="66"/>
      <c r="C148" s="101"/>
      <c r="D148" s="49"/>
      <c r="E148" s="101"/>
    </row>
    <row r="149" spans="2:5" s="56" customFormat="1" x14ac:dyDescent="0.2">
      <c r="B149" s="66"/>
      <c r="C149" s="101"/>
      <c r="D149" s="49"/>
      <c r="E149" s="101"/>
    </row>
    <row r="150" spans="2:5" s="56" customFormat="1" x14ac:dyDescent="0.2">
      <c r="B150" s="66"/>
      <c r="C150" s="101"/>
      <c r="D150" s="49"/>
      <c r="E150" s="101"/>
    </row>
    <row r="151" spans="2:5" s="56" customFormat="1" x14ac:dyDescent="0.2">
      <c r="B151" s="66"/>
      <c r="C151" s="101"/>
      <c r="D151" s="49"/>
      <c r="E151" s="101"/>
    </row>
    <row r="152" spans="2:5" s="56" customFormat="1" x14ac:dyDescent="0.2">
      <c r="B152" s="66"/>
      <c r="C152" s="101"/>
      <c r="D152" s="49"/>
      <c r="E152" s="101"/>
    </row>
    <row r="153" spans="2:5" s="56" customFormat="1" x14ac:dyDescent="0.2">
      <c r="B153" s="66"/>
      <c r="C153" s="101"/>
      <c r="D153" s="49"/>
      <c r="E153" s="101"/>
    </row>
    <row r="154" spans="2:5" s="56" customFormat="1" x14ac:dyDescent="0.2">
      <c r="B154" s="66"/>
      <c r="C154" s="101"/>
      <c r="D154" s="49"/>
      <c r="E154" s="101"/>
    </row>
    <row r="155" spans="2:5" s="56" customFormat="1" x14ac:dyDescent="0.2">
      <c r="B155" s="66"/>
      <c r="C155" s="101"/>
      <c r="D155" s="49"/>
      <c r="E155" s="101"/>
    </row>
    <row r="156" spans="2:5" s="56" customFormat="1" x14ac:dyDescent="0.2">
      <c r="B156" s="66"/>
      <c r="C156" s="101"/>
      <c r="D156" s="49"/>
      <c r="E156" s="101"/>
    </row>
    <row r="157" spans="2:5" s="56" customFormat="1" x14ac:dyDescent="0.2">
      <c r="B157" s="66"/>
      <c r="C157" s="101"/>
      <c r="D157" s="49"/>
      <c r="E157" s="101"/>
    </row>
    <row r="158" spans="2:5" s="56" customFormat="1" x14ac:dyDescent="0.2">
      <c r="B158" s="66"/>
      <c r="C158" s="101"/>
      <c r="D158" s="49"/>
      <c r="E158" s="101"/>
    </row>
    <row r="159" spans="2:5" s="56" customFormat="1" x14ac:dyDescent="0.2">
      <c r="B159" s="66"/>
      <c r="C159" s="101"/>
      <c r="D159" s="49"/>
      <c r="E159" s="101"/>
    </row>
    <row r="160" spans="2:5" s="56" customFormat="1" x14ac:dyDescent="0.2">
      <c r="B160" s="66"/>
      <c r="C160" s="101"/>
      <c r="D160" s="49"/>
      <c r="E160" s="101"/>
    </row>
    <row r="161" spans="2:5" s="56" customFormat="1" x14ac:dyDescent="0.2">
      <c r="B161" s="66"/>
      <c r="C161" s="101"/>
      <c r="D161" s="49"/>
      <c r="E161" s="101"/>
    </row>
    <row r="162" spans="2:5" s="56" customFormat="1" x14ac:dyDescent="0.2">
      <c r="B162" s="66"/>
      <c r="C162" s="101"/>
      <c r="D162" s="49"/>
      <c r="E162" s="101"/>
    </row>
    <row r="163" spans="2:5" s="56" customFormat="1" x14ac:dyDescent="0.2">
      <c r="B163" s="66"/>
      <c r="C163" s="101"/>
      <c r="D163" s="49"/>
      <c r="E163" s="101"/>
    </row>
    <row r="164" spans="2:5" s="58" customFormat="1" x14ac:dyDescent="0.2">
      <c r="B164" s="62"/>
      <c r="C164" s="61"/>
      <c r="D164" s="60" t="s">
        <v>4468</v>
      </c>
      <c r="E164" s="59"/>
    </row>
    <row r="165" spans="2:5" s="55" customFormat="1" x14ac:dyDescent="0.2">
      <c r="B165" s="53"/>
      <c r="C165" s="52"/>
      <c r="D165" s="51" t="s">
        <v>4469</v>
      </c>
      <c r="E165" s="50"/>
    </row>
    <row r="166" spans="2:5" x14ac:dyDescent="0.2">
      <c r="B166" s="53"/>
      <c r="C166" s="52"/>
      <c r="D166" s="51" t="s">
        <v>4470</v>
      </c>
      <c r="E166" s="50"/>
    </row>
  </sheetData>
  <mergeCells count="183">
    <mergeCell ref="FK7:FK8"/>
    <mergeCell ref="EC7:EC8"/>
    <mergeCell ref="CD7:CD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 ref="FE7:FE8"/>
    <mergeCell ref="EW7:EW8"/>
    <mergeCell ref="FG7:FG8"/>
    <mergeCell ref="EY7:EY8"/>
    <mergeCell ref="EP7:EP8"/>
    <mergeCell ref="FB7:F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H7:FH8"/>
    <mergeCell ref="DZ7:DZ8"/>
    <mergeCell ref="BS7:BS8"/>
    <mergeCell ref="EJ7:EJ8"/>
    <mergeCell ref="BU7:BU8"/>
    <mergeCell ref="B5:C5"/>
    <mergeCell ref="DW7:DW8"/>
    <mergeCell ref="AR7:AR8"/>
    <mergeCell ref="EI7:EI8"/>
    <mergeCell ref="ED7:ED8"/>
    <mergeCell ref="AO7:AO8"/>
    <mergeCell ref="D6:D7"/>
    <mergeCell ref="BY7:BY8"/>
    <mergeCell ref="AQ7:AQ8"/>
    <mergeCell ref="B6:B8"/>
    <mergeCell ref="AX7:AX8"/>
    <mergeCell ref="DB7:DB8"/>
    <mergeCell ref="CL7:CL8"/>
    <mergeCell ref="AG7:AG8"/>
    <mergeCell ref="DL7:DL8"/>
    <mergeCell ref="DD7:DD8"/>
    <mergeCell ref="BV7:BV8"/>
    <mergeCell ref="BE7:BE8"/>
    <mergeCell ref="DF7:DF8"/>
    <mergeCell ref="BG7:BG8"/>
    <mergeCell ref="DX7:DX8"/>
    <mergeCell ref="C6:C7"/>
    <mergeCell ref="BF7:BF8"/>
    <mergeCell ref="BB7:BB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FO7:FO8"/>
    <mergeCell ref="BH7:BH8"/>
    <mergeCell ref="E3:F3"/>
    <mergeCell ref="DY7:DY8"/>
    <mergeCell ref="FQ7:FQ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FI7:FI8"/>
    <mergeCell ref="CJ7:CJ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L7:L8"/>
    <mergeCell ref="DU7:DU8"/>
    <mergeCell ref="N7:N8"/>
    <mergeCell ref="BN7:BN8"/>
    <mergeCell ref="BP7:BP8"/>
    <mergeCell ref="EG7:EG8"/>
    <mergeCell ref="FD7:FD8"/>
    <mergeCell ref="BO7:BO8"/>
    <mergeCell ref="CI7:CI8"/>
    <mergeCell ref="DS7:DS8"/>
    <mergeCell ref="BR7:BR8"/>
    <mergeCell ref="BA7:BA8"/>
    <mergeCell ref="BC7:BC8"/>
    <mergeCell ref="DT7:DT8"/>
    <mergeCell ref="M7:M8"/>
    <mergeCell ref="DV7:DV8"/>
    <mergeCell ref="CK7:CK8"/>
    <mergeCell ref="AL7:AL8"/>
    <mergeCell ref="DC7:DC8"/>
    <mergeCell ref="EK7:EK8"/>
    <mergeCell ref="EM7:EM8"/>
    <mergeCell ref="CN7:CN8"/>
    <mergeCell ref="O7:O8"/>
    <mergeCell ref="Q7:Q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BZ7:BZ8"/>
    <mergeCell ref="CB7:CB8"/>
    <mergeCell ref="R7:R8"/>
    <mergeCell ref="CE7:CE8"/>
    <mergeCell ref="AJ7:AJ8"/>
    <mergeCell ref="CG7:CG8"/>
    <mergeCell ref="EX7:EX8"/>
    <mergeCell ref="EZ7:EZ8"/>
    <mergeCell ref="DH7:DH8"/>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R150"/>
  <sheetViews>
    <sheetView zoomScaleNormal="120" workbookViewId="0">
      <pane ySplit="5" topLeftCell="A6" activePane="bottomLeft" state="frozen"/>
      <selection pane="bottomLeft" activeCell="J10" sqref="J10"/>
    </sheetView>
  </sheetViews>
  <sheetFormatPr defaultColWidth="14.42578125" defaultRowHeight="12.75" x14ac:dyDescent="0.2"/>
  <cols>
    <col min="1" max="1" width="6.140625" style="48" customWidth="1"/>
    <col min="2" max="2" width="11" style="47" customWidth="1"/>
    <col min="3" max="3" width="35.28515625" style="46" customWidth="1"/>
    <col min="4" max="4" width="25.7109375" style="45" customWidth="1"/>
    <col min="5" max="5" width="11.85546875" style="44" customWidth="1"/>
    <col min="6" max="6" width="11.85546875" style="42" customWidth="1"/>
    <col min="7" max="7" width="9.140625" style="42" customWidth="1"/>
    <col min="8" max="8" width="12.5703125" style="42" customWidth="1"/>
    <col min="9" max="9" width="9.5703125" style="42" customWidth="1"/>
    <col min="10" max="10" width="8.7109375" style="42" customWidth="1"/>
    <col min="11" max="11" width="18.28515625" style="42" customWidth="1"/>
    <col min="12" max="12" width="47.5703125" style="42" customWidth="1"/>
    <col min="13" max="173" width="14.42578125" style="42" customWidth="1"/>
    <col min="174" max="174" width="3" style="43" customWidth="1"/>
    <col min="175" max="177" width="14.42578125" style="42" customWidth="1"/>
    <col min="178" max="16384" width="14.42578125" style="42"/>
  </cols>
  <sheetData>
    <row r="1" spans="1:12" s="89" customFormat="1" ht="15.75" customHeight="1" x14ac:dyDescent="0.25">
      <c r="A1" s="390" t="s">
        <v>4471</v>
      </c>
    </row>
    <row r="2" spans="1:12" s="89" customFormat="1" ht="15" customHeight="1" x14ac:dyDescent="0.2">
      <c r="A2" s="564" t="s">
        <v>4472</v>
      </c>
      <c r="B2" s="565"/>
      <c r="C2" s="565"/>
      <c r="D2" s="565"/>
      <c r="E2" s="565"/>
      <c r="F2" s="565"/>
      <c r="G2" s="565"/>
      <c r="H2" s="565"/>
      <c r="I2" s="565"/>
      <c r="J2" s="565"/>
      <c r="K2" s="565"/>
      <c r="L2" s="565"/>
    </row>
    <row r="3" spans="1:12" s="89" customFormat="1" ht="15" customHeight="1" x14ac:dyDescent="0.25"/>
    <row r="4" spans="1:12" s="85" customFormat="1" ht="15" customHeight="1" x14ac:dyDescent="0.2">
      <c r="A4" s="568" t="s">
        <v>4473</v>
      </c>
      <c r="B4" s="570"/>
      <c r="C4" s="570"/>
      <c r="D4" s="570"/>
      <c r="E4" s="570"/>
      <c r="F4" s="570"/>
      <c r="G4" s="570"/>
      <c r="H4" s="570"/>
      <c r="I4" s="570"/>
      <c r="J4" s="570"/>
      <c r="K4" s="570"/>
      <c r="L4" s="570"/>
    </row>
    <row r="5" spans="1:12" s="84" customFormat="1" ht="15.75" customHeight="1" thickBot="1" x14ac:dyDescent="0.25">
      <c r="A5" s="391" t="s">
        <v>218</v>
      </c>
      <c r="B5" s="391" t="s">
        <v>4474</v>
      </c>
      <c r="C5" s="391" t="s">
        <v>4475</v>
      </c>
      <c r="D5" s="391" t="s">
        <v>4476</v>
      </c>
      <c r="E5" s="391" t="s">
        <v>4477</v>
      </c>
      <c r="F5" s="391" t="s">
        <v>4478</v>
      </c>
      <c r="G5" s="391" t="s">
        <v>4479</v>
      </c>
      <c r="H5" s="391" t="s">
        <v>4480</v>
      </c>
      <c r="I5" s="391" t="s">
        <v>7</v>
      </c>
      <c r="J5" s="391" t="s">
        <v>4481</v>
      </c>
      <c r="K5" s="391" t="s">
        <v>4482</v>
      </c>
      <c r="L5" s="391" t="s">
        <v>9</v>
      </c>
    </row>
    <row r="6" spans="1:12" s="82" customFormat="1" ht="16.5" customHeight="1" thickTop="1" thickBot="1" x14ac:dyDescent="0.25">
      <c r="A6" s="392">
        <v>292</v>
      </c>
      <c r="B6" s="393" t="str">
        <f>IFERROR(INDEX(OGLs!$E:$E,MATCH($A6,OGLs!$A:$A,0)),"")</f>
        <v>2693/337</v>
      </c>
      <c r="C6" s="394" t="str">
        <f>IFERROR(INDEX(OGLs!$H:$H,MATCH($A6,OGLs!$A:$A,0)),"")</f>
        <v>James Gerard Buonaccorsi, Carrie Leeann Mitchell, Trustee of The Mitchell Buonaccorsi Living Trust</v>
      </c>
      <c r="D6" s="394" t="str">
        <f>IFERROR(INDEX(OGLs!$I:$I,MATCH($A6,OGLs!$A:$A,0)),"")</f>
        <v>Silveroak Natural Resources, LLC</v>
      </c>
      <c r="E6" s="395">
        <f>IFERROR(INDEX(OGLs!$F:$F,MATCH($A6,OGLs!$A:$A,0)),"")</f>
        <v>46076</v>
      </c>
      <c r="F6" s="395">
        <f>IFERROR(INDEX(OGLs!$G:$G,MATCH($A6,OGLs!$A:$A,0)),"")</f>
        <v>46122</v>
      </c>
      <c r="G6" s="396">
        <f>IFERROR(INDEX(OGLs!$L:$L,MATCH($A6,OGLs!$A:$A,0)),"")</f>
        <v>36</v>
      </c>
      <c r="H6" s="395">
        <f>IFERROR(INDEX(OGLs!$O:$O,MATCH($A6,OGLs!$A:$A,0)),"")</f>
        <v>47172</v>
      </c>
      <c r="I6" s="397">
        <f>IFERROR(INDEX(OGLs!$Q:$Q,MATCH($A6,OGLs!$A:$A,0)),"")</f>
        <v>0.1875</v>
      </c>
      <c r="J6" s="398">
        <f>IFERROR(INDEX(OGLs!$M:$M,MATCH($A6,OGLs!$A:$A,0)),"")</f>
        <v>0</v>
      </c>
      <c r="K6" s="392" t="str">
        <f t="shared" ref="K6:K11" ca="1" si="0">IF($H6="","",IF($H6&lt;TODAY(),"Past primary term","Within primary term"))</f>
        <v>Within primary term</v>
      </c>
      <c r="L6" s="394" t="s">
        <v>4483</v>
      </c>
    </row>
    <row r="7" spans="1:12" s="55" customFormat="1" ht="15.75" customHeight="1" thickTop="1" x14ac:dyDescent="0.2">
      <c r="A7" s="392">
        <v>293</v>
      </c>
      <c r="B7" s="393" t="str">
        <f>IFERROR(INDEX(OGLs!$E:$E,MATCH($A7,OGLs!$A:$A,0)),"")</f>
        <v>2693/345</v>
      </c>
      <c r="C7" s="394" t="str">
        <f>IFERROR(INDEX(OGLs!$H:$H,MATCH($A7,OGLs!$A:$A,0)),"")</f>
        <v>Kevin Johnson Johnson, Trustee of The Kevin Warner Johnson Trust</v>
      </c>
      <c r="D7" s="394" t="str">
        <f>IFERROR(INDEX(OGLs!$I:$I,MATCH($A7,OGLs!$A:$A,0)),"")</f>
        <v>Silveroak Natural Resources, LLC</v>
      </c>
      <c r="E7" s="395">
        <f>IFERROR(INDEX(OGLs!$F:$F,MATCH($A7,OGLs!$A:$A,0)),"")</f>
        <v>46080</v>
      </c>
      <c r="F7" s="395">
        <f>IFERROR(INDEX(OGLs!$G:$G,MATCH($A7,OGLs!$A:$A,0)),"")</f>
        <v>46122</v>
      </c>
      <c r="G7" s="396">
        <f>IFERROR(INDEX(OGLs!$L:$L,MATCH($A7,OGLs!$A:$A,0)),"")</f>
        <v>60</v>
      </c>
      <c r="H7" s="395">
        <f>IFERROR(INDEX(OGLs!$O:$O,MATCH($A7,OGLs!$A:$A,0)),"")</f>
        <v>47906</v>
      </c>
      <c r="I7" s="397">
        <f>IFERROR(INDEX(OGLs!$Q:$Q,MATCH($A7,OGLs!$A:$A,0)),"")</f>
        <v>0.1875</v>
      </c>
      <c r="J7" s="398">
        <f>IFERROR(INDEX(OGLs!$M:$M,MATCH($A7,OGLs!$A:$A,0)),"")</f>
        <v>0</v>
      </c>
      <c r="K7" s="392" t="str">
        <f t="shared" ca="1" si="0"/>
        <v>Within primary term</v>
      </c>
      <c r="L7" s="394" t="s">
        <v>4483</v>
      </c>
    </row>
    <row r="8" spans="1:12" s="69" customFormat="1" ht="15" customHeight="1" x14ac:dyDescent="0.2">
      <c r="A8" s="392">
        <v>291</v>
      </c>
      <c r="B8" s="393" t="str">
        <f>IFERROR(INDEX(OGLs!$E:$E,MATCH($A8,OGLs!$A:$A,0)),"")</f>
        <v>2693/349</v>
      </c>
      <c r="C8" s="394" t="str">
        <f>IFERROR(INDEX(OGLs!$H:$H,MATCH($A8,OGLs!$A:$A,0)),"")</f>
        <v>Mark Ashley Daigle, Trustee of The Mark Ashley Daigle Trust</v>
      </c>
      <c r="D8" s="394" t="str">
        <f>IFERROR(INDEX(OGLs!$I:$I,MATCH($A8,OGLs!$A:$A,0)),"")</f>
        <v>Silveroak Natural Resources, LLC</v>
      </c>
      <c r="E8" s="395">
        <f>IFERROR(INDEX(OGLs!$F:$F,MATCH($A8,OGLs!$A:$A,0)),"")</f>
        <v>46076</v>
      </c>
      <c r="F8" s="395">
        <f>IFERROR(INDEX(OGLs!$G:$G,MATCH($A8,OGLs!$A:$A,0)),"")</f>
        <v>46122</v>
      </c>
      <c r="G8" s="396">
        <f>IFERROR(INDEX(OGLs!$L:$L,MATCH($A8,OGLs!$A:$A,0)),"")</f>
        <v>60</v>
      </c>
      <c r="H8" s="395">
        <f>IFERROR(INDEX(OGLs!$O:$O,MATCH($A8,OGLs!$A:$A,0)),"")</f>
        <v>47902</v>
      </c>
      <c r="I8" s="397">
        <f>IFERROR(INDEX(OGLs!$Q:$Q,MATCH($A8,OGLs!$A:$A,0)),"")</f>
        <v>0.1875</v>
      </c>
      <c r="J8" s="398">
        <f>IFERROR(INDEX(OGLs!$M:$M,MATCH($A8,OGLs!$A:$A,0)),"")</f>
        <v>0</v>
      </c>
      <c r="K8" s="392" t="str">
        <f t="shared" ca="1" si="0"/>
        <v>Within primary term</v>
      </c>
      <c r="L8" s="394" t="s">
        <v>4483</v>
      </c>
    </row>
    <row r="9" spans="1:12" s="56" customFormat="1" ht="15" customHeight="1" x14ac:dyDescent="0.2">
      <c r="A9" s="392">
        <v>290</v>
      </c>
      <c r="B9" s="393" t="str">
        <f>IFERROR(INDEX(OGLs!$E:$E,MATCH($A9,OGLs!$A:$A,0)),"")</f>
        <v>2697/520</v>
      </c>
      <c r="C9" s="394" t="str">
        <f>IFERROR(INDEX(OGLs!$H:$H,MATCH($A9,OGLs!$A:$A,0)),"")</f>
        <v>Keri Lee Daigle Tucker, Trustee of The Keri Lee Daigle Tucker Trust</v>
      </c>
      <c r="D9" s="394" t="str">
        <f>IFERROR(INDEX(OGLs!$I:$I,MATCH($A9,OGLs!$A:$A,0)),"")</f>
        <v>Silver Oak Natural Resources, LLC</v>
      </c>
      <c r="E9" s="395">
        <f>IFERROR(INDEX(OGLs!$F:$F,MATCH($A9,OGLs!$A:$A,0)),"")</f>
        <v>46070</v>
      </c>
      <c r="F9" s="395">
        <f>IFERROR(INDEX(OGLs!$G:$G,MATCH($A9,OGLs!$A:$A,0)),"")</f>
        <v>46143</v>
      </c>
      <c r="G9" s="396">
        <f>IFERROR(INDEX(OGLs!$L:$L,MATCH($A9,OGLs!$A:$A,0)),"")</f>
        <v>60</v>
      </c>
      <c r="H9" s="395">
        <f>IFERROR(INDEX(OGLs!$O:$O,MATCH($A9,OGLs!$A:$A,0)),"")</f>
        <v>47896</v>
      </c>
      <c r="I9" s="397">
        <f>IFERROR(INDEX(OGLs!$Q:$Q,MATCH($A9,OGLs!$A:$A,0)),"")</f>
        <v>0.1875</v>
      </c>
      <c r="J9" s="398">
        <f>IFERROR(INDEX(OGLs!$M:$M,MATCH($A9,OGLs!$A:$A,0)),"")</f>
        <v>0</v>
      </c>
      <c r="K9" s="392" t="str">
        <f t="shared" ca="1" si="0"/>
        <v>Within primary term</v>
      </c>
      <c r="L9" s="394" t="s">
        <v>4483</v>
      </c>
    </row>
    <row r="10" spans="1:12" s="56" customFormat="1" ht="15" customHeight="1" x14ac:dyDescent="0.2">
      <c r="A10" s="392">
        <v>294</v>
      </c>
      <c r="B10" s="393" t="str">
        <f>IFERROR(INDEX(OGLs!$E:$E,MATCH($A10,OGLs!$A:$A,0)),"")</f>
        <v>2697/524</v>
      </c>
      <c r="C10" s="394" t="str">
        <f>IFERROR(INDEX(OGLs!$H:$H,MATCH($A10,OGLs!$A:$A,0)),"")</f>
        <v>Ronald Paul Dold</v>
      </c>
      <c r="D10" s="394" t="str">
        <f>IFERROR(INDEX(OGLs!$I:$I,MATCH($A10,OGLs!$A:$A,0)),"")</f>
        <v>Silver Oak Natural Resources, LLC</v>
      </c>
      <c r="E10" s="395">
        <f>IFERROR(INDEX(OGLs!$F:$F,MATCH($A10,OGLs!$A:$A,0)),"")</f>
        <v>46112</v>
      </c>
      <c r="F10" s="395">
        <f>IFERROR(INDEX(OGLs!$G:$G,MATCH($A10,OGLs!$A:$A,0)),"")</f>
        <v>46143</v>
      </c>
      <c r="G10" s="396">
        <f>IFERROR(INDEX(OGLs!$L:$L,MATCH($A10,OGLs!$A:$A,0)),"")</f>
        <v>36</v>
      </c>
      <c r="H10" s="395">
        <f>IFERROR(INDEX(OGLs!$O:$O,MATCH($A10,OGLs!$A:$A,0)),"")</f>
        <v>47208</v>
      </c>
      <c r="I10" s="397">
        <f>IFERROR(INDEX(OGLs!$Q:$Q,MATCH($A10,OGLs!$A:$A,0)),"")</f>
        <v>0.1875</v>
      </c>
      <c r="J10" s="398">
        <f>IFERROR(INDEX(OGLs!$M:$M,MATCH($A10,OGLs!$A:$A,0)),"")</f>
        <v>0</v>
      </c>
      <c r="K10" s="392" t="str">
        <f t="shared" ca="1" si="0"/>
        <v>Within primary term</v>
      </c>
      <c r="L10" s="394" t="s">
        <v>4483</v>
      </c>
    </row>
    <row r="11" spans="1:12" s="56" customFormat="1" ht="15" customHeight="1" x14ac:dyDescent="0.2">
      <c r="A11" s="392">
        <v>289</v>
      </c>
      <c r="B11" s="393" t="str">
        <f>IFERROR(INDEX(OGLs!$E:$E,MATCH($A11,OGLs!$A:$A,0)),"")</f>
        <v>2702/505</v>
      </c>
      <c r="C11" s="394" t="str">
        <f>IFERROR(INDEX(OGLs!$H:$H,MATCH($A11,OGLs!$A:$A,0)),"")</f>
        <v>a/k/a Gena Williams,
a/k/a Gena Mitchell Williams,
Gena W. Moore</v>
      </c>
      <c r="D11" s="394" t="str">
        <f>IFERROR(INDEX(OGLs!$I:$I,MATCH($A11,OGLs!$A:$A,0)),"")</f>
        <v>Silver Oak Natural Resources, LLC</v>
      </c>
      <c r="E11" s="395">
        <f>IFERROR(INDEX(OGLs!$F:$F,MATCH($A11,OGLs!$A:$A,0)),"")</f>
        <v>46064</v>
      </c>
      <c r="F11" s="395">
        <f>IFERROR(INDEX(OGLs!$G:$G,MATCH($A11,OGLs!$A:$A,0)),"")</f>
        <v>46170</v>
      </c>
      <c r="G11" s="396">
        <f>IFERROR(INDEX(OGLs!$L:$L,MATCH($A11,OGLs!$A:$A,0)),"")</f>
        <v>60</v>
      </c>
      <c r="H11" s="395">
        <f>IFERROR(INDEX(OGLs!$O:$O,MATCH($A11,OGLs!$A:$A,0)),"")</f>
        <v>47890</v>
      </c>
      <c r="I11" s="397">
        <f>IFERROR(INDEX(OGLs!$Q:$Q,MATCH($A11,OGLs!$A:$A,0)),"")</f>
        <v>0.1875</v>
      </c>
      <c r="J11" s="398">
        <f>IFERROR(INDEX(OGLs!$M:$M,MATCH($A11,OGLs!$A:$A,0)),"")</f>
        <v>0</v>
      </c>
      <c r="K11" s="392" t="str">
        <f t="shared" ca="1" si="0"/>
        <v>Within primary term</v>
      </c>
      <c r="L11" s="394" t="s">
        <v>4483</v>
      </c>
    </row>
    <row r="12" spans="1:12" s="56" customFormat="1" ht="15" customHeight="1" x14ac:dyDescent="0.2"/>
    <row r="13" spans="1:12" s="56" customFormat="1" ht="15" customHeight="1" x14ac:dyDescent="0.2">
      <c r="A13" s="568" t="s">
        <v>4484</v>
      </c>
      <c r="B13" s="567"/>
      <c r="C13" s="567"/>
      <c r="D13" s="567"/>
      <c r="E13" s="567"/>
      <c r="F13" s="567"/>
      <c r="G13" s="567"/>
      <c r="H13" s="567"/>
      <c r="I13" s="567"/>
      <c r="J13" s="567"/>
      <c r="K13" s="567"/>
      <c r="L13" s="567"/>
    </row>
    <row r="14" spans="1:12" s="56" customFormat="1" ht="15" customHeight="1" x14ac:dyDescent="0.2">
      <c r="A14" s="391" t="s">
        <v>218</v>
      </c>
      <c r="B14" s="391" t="s">
        <v>4474</v>
      </c>
      <c r="C14" s="391" t="s">
        <v>4475</v>
      </c>
      <c r="D14" s="391" t="s">
        <v>4476</v>
      </c>
      <c r="E14" s="391" t="s">
        <v>4477</v>
      </c>
      <c r="F14" s="391" t="s">
        <v>4478</v>
      </c>
      <c r="G14" s="391" t="s">
        <v>4479</v>
      </c>
      <c r="H14" s="391" t="s">
        <v>4480</v>
      </c>
      <c r="I14" s="391" t="s">
        <v>7</v>
      </c>
      <c r="J14" s="391" t="s">
        <v>4481</v>
      </c>
      <c r="K14" s="391" t="s">
        <v>4482</v>
      </c>
      <c r="L14" s="391" t="s">
        <v>9</v>
      </c>
    </row>
    <row r="15" spans="1:12" s="56" customFormat="1" ht="15" customHeight="1" x14ac:dyDescent="0.2">
      <c r="A15" s="392">
        <v>1</v>
      </c>
      <c r="B15" s="393" t="str">
        <f>IFERROR(INDEX(OGLs!$E:$E,MATCH($A15,OGLs!$A:$A,0)),"")</f>
        <v>1676/377</v>
      </c>
      <c r="C15" s="394" t="str">
        <f>IFERROR(INDEX(OGLs!$H:$H,MATCH($A15,OGLs!$A:$A,0)),"")</f>
        <v>Myron V. Slobin</v>
      </c>
      <c r="D15" s="394" t="str">
        <f>IFERROR(INDEX(OGLs!$I:$I,MATCH($A15,OGLs!$A:$A,0)),"")</f>
        <v>Chesapeake Exploration, Ltd. Partnership</v>
      </c>
      <c r="E15" s="395">
        <f>IFERROR(INDEX(OGLs!$F:$F,MATCH($A15,OGLs!$A:$A,0)),"")</f>
        <v>37347</v>
      </c>
      <c r="F15" s="395">
        <f>IFERROR(INDEX(OGLs!$G:$G,MATCH($A15,OGLs!$A:$A,0)),"")</f>
        <v>37372</v>
      </c>
      <c r="G15" s="396">
        <f>IFERROR(INDEX(OGLs!$L:$L,MATCH($A15,OGLs!$A:$A,0)),"")</f>
        <v>36</v>
      </c>
      <c r="H15" s="395">
        <f>IFERROR(INDEX(OGLs!$O:$O,MATCH($A15,OGLs!$A:$A,0)),"")</f>
        <v>38443</v>
      </c>
      <c r="I15" s="397">
        <f>IFERROR(INDEX(OGLs!$Q:$Q,MATCH($A15,OGLs!$A:$A,0)),"")</f>
        <v>0.25</v>
      </c>
      <c r="J15" s="398">
        <f>IFERROR(INDEX(OGLs!$M:$M,MATCH($A15,OGLs!$A:$A,0)),"")</f>
        <v>160</v>
      </c>
      <c r="K15" s="392" t="str">
        <f t="shared" ref="K15:K41" ca="1" si="1">IF($H15="","",IF($H15&lt;TODAY(),"Past primary term","Within primary term"))</f>
        <v>Past primary term</v>
      </c>
      <c r="L15" s="394" t="s">
        <v>4485</v>
      </c>
    </row>
    <row r="16" spans="1:12" s="56" customFormat="1" ht="15" customHeight="1" x14ac:dyDescent="0.2">
      <c r="A16" s="392">
        <v>2</v>
      </c>
      <c r="B16" s="393" t="str">
        <f>IFERROR(INDEX(OGLs!$E:$E,MATCH($A16,OGLs!$A:$A,0)),"")</f>
        <v>4/61</v>
      </c>
      <c r="C16" s="394" t="str">
        <f>IFERROR(INDEX(OGLs!$H:$H,MATCH($A16,OGLs!$A:$A,0)),"")</f>
        <v>H. E. Rupp,
L. M. Rupp</v>
      </c>
      <c r="D16" s="394" t="str">
        <f>IFERROR(INDEX(OGLs!$I:$I,MATCH($A16,OGLs!$A:$A,0)),"")</f>
        <v>REO Oil &amp; Gas Company</v>
      </c>
      <c r="E16" s="395">
        <f>IFERROR(INDEX(OGLs!$F:$F,MATCH($A16,OGLs!$A:$A,0)),"")</f>
        <v>6333</v>
      </c>
      <c r="F16" s="395">
        <f>IFERROR(INDEX(OGLs!$G:$G,MATCH($A16,OGLs!$A:$A,0)),"")</f>
        <v>6333</v>
      </c>
      <c r="G16" s="396">
        <f>IFERROR(INDEX(OGLs!$L:$L,MATCH($A16,OGLs!$A:$A,0)),"")</f>
        <v>0</v>
      </c>
      <c r="H16" s="395">
        <f>IFERROR(INDEX(OGLs!$O:$O,MATCH($A16,OGLs!$A:$A,0)),"")</f>
        <v>0</v>
      </c>
      <c r="I16" s="397">
        <f>IFERROR(INDEX(OGLs!$Q:$Q,MATCH($A16,OGLs!$A:$A,0)),"")</f>
        <v>0</v>
      </c>
      <c r="J16" s="398">
        <f>IFERROR(INDEX(OGLs!$M:$M,MATCH($A16,OGLs!$A:$A,0)),"")</f>
        <v>0</v>
      </c>
      <c r="K16" s="392" t="str">
        <f t="shared" ca="1" si="1"/>
        <v>Past primary term</v>
      </c>
      <c r="L16" s="394" t="s">
        <v>4485</v>
      </c>
    </row>
    <row r="17" spans="1:12" s="56" customFormat="1" ht="15" customHeight="1" x14ac:dyDescent="0.2">
      <c r="A17" s="392">
        <v>3</v>
      </c>
      <c r="B17" s="393" t="str">
        <f>IFERROR(INDEX(OGLs!$E:$E,MATCH($A17,OGLs!$A:$A,0)),"")</f>
        <v>4/64</v>
      </c>
      <c r="C17" s="394" t="str">
        <f>IFERROR(INDEX(OGLs!$H:$H,MATCH($A17,OGLs!$A:$A,0)),"")</f>
        <v>M. Hambrook</v>
      </c>
      <c r="D17" s="394" t="str">
        <f>IFERROR(INDEX(OGLs!$I:$I,MATCH($A17,OGLs!$A:$A,0)),"")</f>
        <v>REO Oil &amp; Gas Company</v>
      </c>
      <c r="E17" s="395">
        <f>IFERROR(INDEX(OGLs!$F:$F,MATCH($A17,OGLs!$A:$A,0)),"")</f>
        <v>6333</v>
      </c>
      <c r="F17" s="395">
        <f>IFERROR(INDEX(OGLs!$G:$G,MATCH($A17,OGLs!$A:$A,0)),"")</f>
        <v>6333</v>
      </c>
      <c r="G17" s="396">
        <f>IFERROR(INDEX(OGLs!$L:$L,MATCH($A17,OGLs!$A:$A,0)),"")</f>
        <v>0</v>
      </c>
      <c r="H17" s="395">
        <f>IFERROR(INDEX(OGLs!$O:$O,MATCH($A17,OGLs!$A:$A,0)),"")</f>
        <v>0</v>
      </c>
      <c r="I17" s="397">
        <f>IFERROR(INDEX(OGLs!$Q:$Q,MATCH($A17,OGLs!$A:$A,0)),"")</f>
        <v>0</v>
      </c>
      <c r="J17" s="398">
        <f>IFERROR(INDEX(OGLs!$M:$M,MATCH($A17,OGLs!$A:$A,0)),"")</f>
        <v>0</v>
      </c>
      <c r="K17" s="392" t="str">
        <f t="shared" ca="1" si="1"/>
        <v>Past primary term</v>
      </c>
      <c r="L17" s="394" t="s">
        <v>4485</v>
      </c>
    </row>
    <row r="18" spans="1:12" s="56" customFormat="1" ht="15" customHeight="1" x14ac:dyDescent="0.2">
      <c r="A18" s="392">
        <v>4</v>
      </c>
      <c r="B18" s="393" t="str">
        <f>IFERROR(INDEX(OGLs!$E:$E,MATCH($A18,OGLs!$A:$A,0)),"")</f>
        <v>5/320</v>
      </c>
      <c r="C18" s="394" t="str">
        <f>IFERROR(INDEX(OGLs!$H:$H,MATCH($A18,OGLs!$A:$A,0)),"")</f>
        <v>Claude J. McGuire,
Herbert E. McGuire</v>
      </c>
      <c r="D18" s="394" t="str">
        <f>IFERROR(INDEX(OGLs!$I:$I,MATCH($A18,OGLs!$A:$A,0)),"")</f>
        <v>Empire Gas &amp; Fuel Company</v>
      </c>
      <c r="E18" s="395">
        <f>IFERROR(INDEX(OGLs!$F:$F,MATCH($A18,OGLs!$A:$A,0)),"")</f>
        <v>6399</v>
      </c>
      <c r="F18" s="395">
        <f>IFERROR(INDEX(OGLs!$G:$G,MATCH($A18,OGLs!$A:$A,0)),"")</f>
        <v>6399</v>
      </c>
      <c r="G18" s="396">
        <f>IFERROR(INDEX(OGLs!$L:$L,MATCH($A18,OGLs!$A:$A,0)),"")</f>
        <v>0</v>
      </c>
      <c r="H18" s="395">
        <f>IFERROR(INDEX(OGLs!$O:$O,MATCH($A18,OGLs!$A:$A,0)),"")</f>
        <v>0</v>
      </c>
      <c r="I18" s="397">
        <f>IFERROR(INDEX(OGLs!$Q:$Q,MATCH($A18,OGLs!$A:$A,0)),"")</f>
        <v>0</v>
      </c>
      <c r="J18" s="398">
        <f>IFERROR(INDEX(OGLs!$M:$M,MATCH($A18,OGLs!$A:$A,0)),"")</f>
        <v>0</v>
      </c>
      <c r="K18" s="392" t="str">
        <f t="shared" ca="1" si="1"/>
        <v>Past primary term</v>
      </c>
      <c r="L18" s="394" t="s">
        <v>4485</v>
      </c>
    </row>
    <row r="19" spans="1:12" s="56" customFormat="1" ht="15" customHeight="1" x14ac:dyDescent="0.2">
      <c r="A19" s="392">
        <v>5</v>
      </c>
      <c r="B19" s="393" t="str">
        <f>IFERROR(INDEX(OGLs!$E:$E,MATCH($A19,OGLs!$A:$A,0)),"")</f>
        <v>5/332</v>
      </c>
      <c r="C19" s="394" t="str">
        <f>IFERROR(INDEX(OGLs!$H:$H,MATCH($A19,OGLs!$A:$A,0)),"")</f>
        <v>C. S. Repass,
Sarah Repass</v>
      </c>
      <c r="D19" s="394" t="str">
        <f>IFERROR(INDEX(OGLs!$I:$I,MATCH($A19,OGLs!$A:$A,0)),"")</f>
        <v>Empire Gas &amp; Fuel Company</v>
      </c>
      <c r="E19" s="395">
        <f>IFERROR(INDEX(OGLs!$F:$F,MATCH($A19,OGLs!$A:$A,0)),"")</f>
        <v>6399</v>
      </c>
      <c r="F19" s="395">
        <f>IFERROR(INDEX(OGLs!$G:$G,MATCH($A19,OGLs!$A:$A,0)),"")</f>
        <v>6399</v>
      </c>
      <c r="G19" s="396">
        <f>IFERROR(INDEX(OGLs!$L:$L,MATCH($A19,OGLs!$A:$A,0)),"")</f>
        <v>0</v>
      </c>
      <c r="H19" s="395">
        <f>IFERROR(INDEX(OGLs!$O:$O,MATCH($A19,OGLs!$A:$A,0)),"")</f>
        <v>0</v>
      </c>
      <c r="I19" s="397">
        <f>IFERROR(INDEX(OGLs!$Q:$Q,MATCH($A19,OGLs!$A:$A,0)),"")</f>
        <v>0</v>
      </c>
      <c r="J19" s="398">
        <f>IFERROR(INDEX(OGLs!$M:$M,MATCH($A19,OGLs!$A:$A,0)),"")</f>
        <v>0</v>
      </c>
      <c r="K19" s="392" t="str">
        <f t="shared" ca="1" si="1"/>
        <v>Past primary term</v>
      </c>
      <c r="L19" s="394" t="s">
        <v>4485</v>
      </c>
    </row>
    <row r="20" spans="1:12" s="56" customFormat="1" ht="15" customHeight="1" x14ac:dyDescent="0.2">
      <c r="A20" s="392">
        <v>6</v>
      </c>
      <c r="B20" s="393" t="str">
        <f>IFERROR(INDEX(OGLs!$E:$E,MATCH($A20,OGLs!$A:$A,0)),"")</f>
        <v>4/401</v>
      </c>
      <c r="C20" s="394" t="str">
        <f>IFERROR(INDEX(OGLs!$H:$H,MATCH($A20,OGLs!$A:$A,0)),"")</f>
        <v>Susie Danforth,
W. C. Danforth</v>
      </c>
      <c r="D20" s="394" t="str">
        <f>IFERROR(INDEX(OGLs!$I:$I,MATCH($A20,OGLs!$A:$A,0)),"")</f>
        <v>John R. Williams</v>
      </c>
      <c r="E20" s="395">
        <f>IFERROR(INDEX(OGLs!$F:$F,MATCH($A20,OGLs!$A:$A,0)),"")</f>
        <v>7090</v>
      </c>
      <c r="F20" s="395">
        <f>IFERROR(INDEX(OGLs!$G:$G,MATCH($A20,OGLs!$A:$A,0)),"")</f>
        <v>7090</v>
      </c>
      <c r="G20" s="396">
        <f>IFERROR(INDEX(OGLs!$L:$L,MATCH($A20,OGLs!$A:$A,0)),"")</f>
        <v>0</v>
      </c>
      <c r="H20" s="395">
        <f>IFERROR(INDEX(OGLs!$O:$O,MATCH($A20,OGLs!$A:$A,0)),"")</f>
        <v>0</v>
      </c>
      <c r="I20" s="397">
        <f>IFERROR(INDEX(OGLs!$Q:$Q,MATCH($A20,OGLs!$A:$A,0)),"")</f>
        <v>0</v>
      </c>
      <c r="J20" s="398">
        <f>IFERROR(INDEX(OGLs!$M:$M,MATCH($A20,OGLs!$A:$A,0)),"")</f>
        <v>0</v>
      </c>
      <c r="K20" s="392" t="str">
        <f t="shared" ca="1" si="1"/>
        <v>Past primary term</v>
      </c>
      <c r="L20" s="394" t="s">
        <v>4485</v>
      </c>
    </row>
    <row r="21" spans="1:12" s="56" customFormat="1" ht="15" customHeight="1" x14ac:dyDescent="0.2">
      <c r="A21" s="392">
        <v>7</v>
      </c>
      <c r="B21" s="393" t="str">
        <f>IFERROR(INDEX(OGLs!$E:$E,MATCH($A21,OGLs!$A:$A,0)),"")</f>
        <v>4/445</v>
      </c>
      <c r="C21" s="394" t="str">
        <f>IFERROR(INDEX(OGLs!$H:$H,MATCH($A21,OGLs!$A:$A,0)),"")</f>
        <v>H. E. Rupp,
Lulu M. Rupp</v>
      </c>
      <c r="D21" s="394" t="str">
        <f>IFERROR(INDEX(OGLs!$I:$I,MATCH($A21,OGLs!$A:$A,0)),"")</f>
        <v>J. G. Queman</v>
      </c>
      <c r="E21" s="395">
        <f>IFERROR(INDEX(OGLs!$F:$F,MATCH($A21,OGLs!$A:$A,0)),"")</f>
        <v>7116</v>
      </c>
      <c r="F21" s="395">
        <f>IFERROR(INDEX(OGLs!$G:$G,MATCH($A21,OGLs!$A:$A,0)),"")</f>
        <v>7116</v>
      </c>
      <c r="G21" s="396">
        <f>IFERROR(INDEX(OGLs!$L:$L,MATCH($A21,OGLs!$A:$A,0)),"")</f>
        <v>0</v>
      </c>
      <c r="H21" s="395">
        <f>IFERROR(INDEX(OGLs!$O:$O,MATCH($A21,OGLs!$A:$A,0)),"")</f>
        <v>0</v>
      </c>
      <c r="I21" s="397">
        <f>IFERROR(INDEX(OGLs!$Q:$Q,MATCH($A21,OGLs!$A:$A,0)),"")</f>
        <v>0</v>
      </c>
      <c r="J21" s="398">
        <f>IFERROR(INDEX(OGLs!$M:$M,MATCH($A21,OGLs!$A:$A,0)),"")</f>
        <v>0</v>
      </c>
      <c r="K21" s="392" t="str">
        <f t="shared" ca="1" si="1"/>
        <v>Past primary term</v>
      </c>
      <c r="L21" s="394" t="s">
        <v>4485</v>
      </c>
    </row>
    <row r="22" spans="1:12" s="56" customFormat="1" ht="15" customHeight="1" x14ac:dyDescent="0.2">
      <c r="A22" s="392">
        <v>8</v>
      </c>
      <c r="B22" s="393" t="str">
        <f>IFERROR(INDEX(OGLs!$E:$E,MATCH($A22,OGLs!$A:$A,0)),"")</f>
        <v>4/556</v>
      </c>
      <c r="C22" s="394" t="str">
        <f>IFERROR(INDEX(OGLs!$H:$H,MATCH($A22,OGLs!$A:$A,0)),"")</f>
        <v>Margaret V. Black,
William G. Black</v>
      </c>
      <c r="D22" s="394" t="str">
        <f>IFERROR(INDEX(OGLs!$I:$I,MATCH($A22,OGLs!$A:$A,0)),"")</f>
        <v>W. E. Thomas</v>
      </c>
      <c r="E22" s="395">
        <f>IFERROR(INDEX(OGLs!$F:$F,MATCH($A22,OGLs!$A:$A,0)),"")</f>
        <v>7341</v>
      </c>
      <c r="F22" s="395">
        <f>IFERROR(INDEX(OGLs!$G:$G,MATCH($A22,OGLs!$A:$A,0)),"")</f>
        <v>7341</v>
      </c>
      <c r="G22" s="396">
        <f>IFERROR(INDEX(OGLs!$L:$L,MATCH($A22,OGLs!$A:$A,0)),"")</f>
        <v>0</v>
      </c>
      <c r="H22" s="395">
        <f>IFERROR(INDEX(OGLs!$O:$O,MATCH($A22,OGLs!$A:$A,0)),"")</f>
        <v>0</v>
      </c>
      <c r="I22" s="397">
        <f>IFERROR(INDEX(OGLs!$Q:$Q,MATCH($A22,OGLs!$A:$A,0)),"")</f>
        <v>0</v>
      </c>
      <c r="J22" s="398">
        <f>IFERROR(INDEX(OGLs!$M:$M,MATCH($A22,OGLs!$A:$A,0)),"")</f>
        <v>0</v>
      </c>
      <c r="K22" s="392" t="str">
        <f t="shared" ca="1" si="1"/>
        <v>Past primary term</v>
      </c>
      <c r="L22" s="394" t="s">
        <v>4485</v>
      </c>
    </row>
    <row r="23" spans="1:12" s="56" customFormat="1" ht="15" customHeight="1" x14ac:dyDescent="0.2">
      <c r="A23" s="392">
        <v>9</v>
      </c>
      <c r="B23" s="393" t="str">
        <f>IFERROR(INDEX(OGLs!$E:$E,MATCH($A23,OGLs!$A:$A,0)),"")</f>
        <v>6/484</v>
      </c>
      <c r="C23" s="394" t="str">
        <f>IFERROR(INDEX(OGLs!$H:$H,MATCH($A23,OGLs!$A:$A,0)),"")</f>
        <v>E. T. Gamble,
Zella Gamble</v>
      </c>
      <c r="D23" s="394" t="str">
        <f>IFERROR(INDEX(OGLs!$I:$I,MATCH($A23,OGLs!$A:$A,0)),"")</f>
        <v>Calvin M. Rosser</v>
      </c>
      <c r="E23" s="395">
        <f>IFERROR(INDEX(OGLs!$F:$F,MATCH($A23,OGLs!$A:$A,0)),"")</f>
        <v>8513</v>
      </c>
      <c r="F23" s="395">
        <f>IFERROR(INDEX(OGLs!$G:$G,MATCH($A23,OGLs!$A:$A,0)),"")</f>
        <v>8513</v>
      </c>
      <c r="G23" s="396">
        <f>IFERROR(INDEX(OGLs!$L:$L,MATCH($A23,OGLs!$A:$A,0)),"")</f>
        <v>0</v>
      </c>
      <c r="H23" s="395">
        <f>IFERROR(INDEX(OGLs!$O:$O,MATCH($A23,OGLs!$A:$A,0)),"")</f>
        <v>0</v>
      </c>
      <c r="I23" s="397">
        <f>IFERROR(INDEX(OGLs!$Q:$Q,MATCH($A23,OGLs!$A:$A,0)),"")</f>
        <v>0</v>
      </c>
      <c r="J23" s="398">
        <f>IFERROR(INDEX(OGLs!$M:$M,MATCH($A23,OGLs!$A:$A,0)),"")</f>
        <v>0</v>
      </c>
      <c r="K23" s="392" t="str">
        <f t="shared" ca="1" si="1"/>
        <v>Past primary term</v>
      </c>
      <c r="L23" s="394" t="s">
        <v>4485</v>
      </c>
    </row>
    <row r="24" spans="1:12" s="56" customFormat="1" ht="15" customHeight="1" x14ac:dyDescent="0.2">
      <c r="A24" s="392">
        <v>10</v>
      </c>
      <c r="B24" s="393" t="str">
        <f>IFERROR(INDEX(OGLs!$E:$E,MATCH($A24,OGLs!$A:$A,0)),"")</f>
        <v>8/649</v>
      </c>
      <c r="C24" s="394" t="str">
        <f>IFERROR(INDEX(OGLs!$H:$H,MATCH($A24,OGLs!$A:$A,0)),"")</f>
        <v>Louis E. Jaques,
Virginia Jaques</v>
      </c>
      <c r="D24" s="394" t="str">
        <f>IFERROR(INDEX(OGLs!$I:$I,MATCH($A24,OGLs!$A:$A,0)),"")</f>
        <v>Roy M. Johnson</v>
      </c>
      <c r="E24" s="395">
        <f>IFERROR(INDEX(OGLs!$F:$F,MATCH($A24,OGLs!$A:$A,0)),"")</f>
        <v>11164</v>
      </c>
      <c r="F24" s="395">
        <f>IFERROR(INDEX(OGLs!$G:$G,MATCH($A24,OGLs!$A:$A,0)),"")</f>
        <v>11164</v>
      </c>
      <c r="G24" s="396">
        <f>IFERROR(INDEX(OGLs!$L:$L,MATCH($A24,OGLs!$A:$A,0)),"")</f>
        <v>0</v>
      </c>
      <c r="H24" s="395">
        <f>IFERROR(INDEX(OGLs!$O:$O,MATCH($A24,OGLs!$A:$A,0)),"")</f>
        <v>0</v>
      </c>
      <c r="I24" s="397">
        <f>IFERROR(INDEX(OGLs!$Q:$Q,MATCH($A24,OGLs!$A:$A,0)),"")</f>
        <v>0</v>
      </c>
      <c r="J24" s="398">
        <f>IFERROR(INDEX(OGLs!$M:$M,MATCH($A24,OGLs!$A:$A,0)),"")</f>
        <v>0</v>
      </c>
      <c r="K24" s="392" t="str">
        <f t="shared" ca="1" si="1"/>
        <v>Past primary term</v>
      </c>
      <c r="L24" s="394" t="s">
        <v>4485</v>
      </c>
    </row>
    <row r="25" spans="1:12" s="56" customFormat="1" ht="15" customHeight="1" x14ac:dyDescent="0.2">
      <c r="A25" s="392">
        <v>11</v>
      </c>
      <c r="B25" s="393" t="str">
        <f>IFERROR(INDEX(OGLs!$E:$E,MATCH($A25,OGLs!$A:$A,0)),"")</f>
        <v>9/32</v>
      </c>
      <c r="C25" s="394" t="str">
        <f>IFERROR(INDEX(OGLs!$H:$H,MATCH($A25,OGLs!$A:$A,0)),"")</f>
        <v>Lee Aulbert,
Mollie Aulbert</v>
      </c>
      <c r="D25" s="394" t="str">
        <f>IFERROR(INDEX(OGLs!$I:$I,MATCH($A25,OGLs!$A:$A,0)),"")</f>
        <v>Roy M. Johnson</v>
      </c>
      <c r="E25" s="395">
        <f>IFERROR(INDEX(OGLs!$F:$F,MATCH($A25,OGLs!$A:$A,0)),"")</f>
        <v>11174</v>
      </c>
      <c r="F25" s="395">
        <f>IFERROR(INDEX(OGLs!$G:$G,MATCH($A25,OGLs!$A:$A,0)),"")</f>
        <v>11174</v>
      </c>
      <c r="G25" s="396">
        <f>IFERROR(INDEX(OGLs!$L:$L,MATCH($A25,OGLs!$A:$A,0)),"")</f>
        <v>0</v>
      </c>
      <c r="H25" s="395">
        <f>IFERROR(INDEX(OGLs!$O:$O,MATCH($A25,OGLs!$A:$A,0)),"")</f>
        <v>0</v>
      </c>
      <c r="I25" s="397">
        <f>IFERROR(INDEX(OGLs!$Q:$Q,MATCH($A25,OGLs!$A:$A,0)),"")</f>
        <v>0</v>
      </c>
      <c r="J25" s="398">
        <f>IFERROR(INDEX(OGLs!$M:$M,MATCH($A25,OGLs!$A:$A,0)),"")</f>
        <v>0</v>
      </c>
      <c r="K25" s="392" t="str">
        <f t="shared" ca="1" si="1"/>
        <v>Past primary term</v>
      </c>
      <c r="L25" s="394" t="s">
        <v>4485</v>
      </c>
    </row>
    <row r="26" spans="1:12" s="56" customFormat="1" ht="15" customHeight="1" x14ac:dyDescent="0.2">
      <c r="A26" s="392">
        <v>12</v>
      </c>
      <c r="B26" s="393" t="str">
        <f>IFERROR(INDEX(OGLs!$E:$E,MATCH($A26,OGLs!$A:$A,0)),"")</f>
        <v>9/30</v>
      </c>
      <c r="C26" s="394" t="str">
        <f>IFERROR(INDEX(OGLs!$H:$H,MATCH($A26,OGLs!$A:$A,0)),"")</f>
        <v>Mark Hambrook</v>
      </c>
      <c r="D26" s="394" t="str">
        <f>IFERROR(INDEX(OGLs!$I:$I,MATCH($A26,OGLs!$A:$A,0)),"")</f>
        <v>Roy M. Johnson</v>
      </c>
      <c r="E26" s="395">
        <f>IFERROR(INDEX(OGLs!$F:$F,MATCH($A26,OGLs!$A:$A,0)),"")</f>
        <v>11177</v>
      </c>
      <c r="F26" s="395">
        <f>IFERROR(INDEX(OGLs!$G:$G,MATCH($A26,OGLs!$A:$A,0)),"")</f>
        <v>11177</v>
      </c>
      <c r="G26" s="396">
        <f>IFERROR(INDEX(OGLs!$L:$L,MATCH($A26,OGLs!$A:$A,0)),"")</f>
        <v>0</v>
      </c>
      <c r="H26" s="395">
        <f>IFERROR(INDEX(OGLs!$O:$O,MATCH($A26,OGLs!$A:$A,0)),"")</f>
        <v>0</v>
      </c>
      <c r="I26" s="397">
        <f>IFERROR(INDEX(OGLs!$Q:$Q,MATCH($A26,OGLs!$A:$A,0)),"")</f>
        <v>0</v>
      </c>
      <c r="J26" s="398">
        <f>IFERROR(INDEX(OGLs!$M:$M,MATCH($A26,OGLs!$A:$A,0)),"")</f>
        <v>0</v>
      </c>
      <c r="K26" s="392" t="str">
        <f t="shared" ca="1" si="1"/>
        <v>Past primary term</v>
      </c>
      <c r="L26" s="394" t="s">
        <v>4485</v>
      </c>
    </row>
    <row r="27" spans="1:12" s="56" customFormat="1" ht="15" customHeight="1" x14ac:dyDescent="0.2">
      <c r="A27" s="392">
        <v>13</v>
      </c>
      <c r="B27" s="393" t="str">
        <f>IFERROR(INDEX(OGLs!$E:$E,MATCH($A27,OGLs!$A:$A,0)),"")</f>
        <v>9/62</v>
      </c>
      <c r="C27" s="394" t="str">
        <f>IFERROR(INDEX(OGLs!$H:$H,MATCH($A27,OGLs!$A:$A,0)),"")</f>
        <v>Eula Bain,
William C. Bain</v>
      </c>
      <c r="D27" s="394" t="str">
        <f>IFERROR(INDEX(OGLs!$I:$I,MATCH($A27,OGLs!$A:$A,0)),"")</f>
        <v>Roy M. Johnson</v>
      </c>
      <c r="E27" s="395">
        <f>IFERROR(INDEX(OGLs!$F:$F,MATCH($A27,OGLs!$A:$A,0)),"")</f>
        <v>11223</v>
      </c>
      <c r="F27" s="395">
        <f>IFERROR(INDEX(OGLs!$G:$G,MATCH($A27,OGLs!$A:$A,0)),"")</f>
        <v>11223</v>
      </c>
      <c r="G27" s="396">
        <f>IFERROR(INDEX(OGLs!$L:$L,MATCH($A27,OGLs!$A:$A,0)),"")</f>
        <v>0</v>
      </c>
      <c r="H27" s="395">
        <f>IFERROR(INDEX(OGLs!$O:$O,MATCH($A27,OGLs!$A:$A,0)),"")</f>
        <v>0</v>
      </c>
      <c r="I27" s="397">
        <f>IFERROR(INDEX(OGLs!$Q:$Q,MATCH($A27,OGLs!$A:$A,0)),"")</f>
        <v>0</v>
      </c>
      <c r="J27" s="398">
        <f>IFERROR(INDEX(OGLs!$M:$M,MATCH($A27,OGLs!$A:$A,0)),"")</f>
        <v>0</v>
      </c>
      <c r="K27" s="392" t="str">
        <f t="shared" ca="1" si="1"/>
        <v>Past primary term</v>
      </c>
      <c r="L27" s="394" t="s">
        <v>4485</v>
      </c>
    </row>
    <row r="28" spans="1:12" s="56" customFormat="1" ht="15" customHeight="1" x14ac:dyDescent="0.2">
      <c r="A28" s="392">
        <v>14</v>
      </c>
      <c r="B28" s="393" t="str">
        <f>IFERROR(INDEX(OGLs!$E:$E,MATCH($A28,OGLs!$A:$A,0)),"")</f>
        <v>9/100</v>
      </c>
      <c r="C28" s="394" t="str">
        <f>IFERROR(INDEX(OGLs!$H:$H,MATCH($A28,OGLs!$A:$A,0)),"")</f>
        <v>J. G. Hambrook,
Thomas Hambrook</v>
      </c>
      <c r="D28" s="394" t="str">
        <f>IFERROR(INDEX(OGLs!$I:$I,MATCH($A28,OGLs!$A:$A,0)),"")</f>
        <v>Roy M. Johnson</v>
      </c>
      <c r="E28" s="395">
        <f>IFERROR(INDEX(OGLs!$F:$F,MATCH($A28,OGLs!$A:$A,0)),"")</f>
        <v>11260</v>
      </c>
      <c r="F28" s="395">
        <f>IFERROR(INDEX(OGLs!$G:$G,MATCH($A28,OGLs!$A:$A,0)),"")</f>
        <v>11260</v>
      </c>
      <c r="G28" s="396">
        <f>IFERROR(INDEX(OGLs!$L:$L,MATCH($A28,OGLs!$A:$A,0)),"")</f>
        <v>0</v>
      </c>
      <c r="H28" s="395">
        <f>IFERROR(INDEX(OGLs!$O:$O,MATCH($A28,OGLs!$A:$A,0)),"")</f>
        <v>0</v>
      </c>
      <c r="I28" s="397">
        <f>IFERROR(INDEX(OGLs!$Q:$Q,MATCH($A28,OGLs!$A:$A,0)),"")</f>
        <v>0</v>
      </c>
      <c r="J28" s="398">
        <f>IFERROR(INDEX(OGLs!$M:$M,MATCH($A28,OGLs!$A:$A,0)),"")</f>
        <v>0</v>
      </c>
      <c r="K28" s="392" t="str">
        <f t="shared" ca="1" si="1"/>
        <v>Past primary term</v>
      </c>
      <c r="L28" s="394" t="s">
        <v>4485</v>
      </c>
    </row>
    <row r="29" spans="1:12" s="56" customFormat="1" ht="15" customHeight="1" x14ac:dyDescent="0.2">
      <c r="A29" s="392">
        <v>15</v>
      </c>
      <c r="B29" s="393" t="str">
        <f>IFERROR(INDEX(OGLs!$E:$E,MATCH($A29,OGLs!$A:$A,0)),"")</f>
        <v>9/113</v>
      </c>
      <c r="C29" s="394" t="str">
        <f>IFERROR(INDEX(OGLs!$H:$H,MATCH($A29,OGLs!$A:$A,0)),"")</f>
        <v>Swinburn J. Stewart</v>
      </c>
      <c r="D29" s="394" t="str">
        <f>IFERROR(INDEX(OGLs!$I:$I,MATCH($A29,OGLs!$A:$A,0)),"")</f>
        <v>Roy M. Johnson</v>
      </c>
      <c r="E29" s="395">
        <f>IFERROR(INDEX(OGLs!$F:$F,MATCH($A29,OGLs!$A:$A,0)),"")</f>
        <v>11272</v>
      </c>
      <c r="F29" s="395">
        <f>IFERROR(INDEX(OGLs!$G:$G,MATCH($A29,OGLs!$A:$A,0)),"")</f>
        <v>11272</v>
      </c>
      <c r="G29" s="396">
        <f>IFERROR(INDEX(OGLs!$L:$L,MATCH($A29,OGLs!$A:$A,0)),"")</f>
        <v>0</v>
      </c>
      <c r="H29" s="395">
        <f>IFERROR(INDEX(OGLs!$O:$O,MATCH($A29,OGLs!$A:$A,0)),"")</f>
        <v>0</v>
      </c>
      <c r="I29" s="397">
        <f>IFERROR(INDEX(OGLs!$Q:$Q,MATCH($A29,OGLs!$A:$A,0)),"")</f>
        <v>0</v>
      </c>
      <c r="J29" s="398">
        <f>IFERROR(INDEX(OGLs!$M:$M,MATCH($A29,OGLs!$A:$A,0)),"")</f>
        <v>0</v>
      </c>
      <c r="K29" s="392" t="str">
        <f t="shared" ca="1" si="1"/>
        <v>Past primary term</v>
      </c>
      <c r="L29" s="394" t="s">
        <v>4485</v>
      </c>
    </row>
    <row r="30" spans="1:12" s="56" customFormat="1" ht="15" customHeight="1" x14ac:dyDescent="0.2">
      <c r="A30" s="392">
        <v>16</v>
      </c>
      <c r="B30" s="393" t="str">
        <f>IFERROR(INDEX(OGLs!$E:$E,MATCH($A30,OGLs!$A:$A,0)),"")</f>
        <v>9/116</v>
      </c>
      <c r="C30" s="394" t="str">
        <f>IFERROR(INDEX(OGLs!$H:$H,MATCH($A30,OGLs!$A:$A,0)),"")</f>
        <v>Maggie S. Bennett,
A. M. Cuff,
Ida M. Cuff,
O. L. Davis,
Pearl L. Davis,
Eli Shotwell,
Ida Shotwell,
Josie D. Shotwell,
Roy T. Shotwell</v>
      </c>
      <c r="D30" s="394" t="str">
        <f>IFERROR(INDEX(OGLs!$I:$I,MATCH($A30,OGLs!$A:$A,0)),"")</f>
        <v>Roy M. Johnson</v>
      </c>
      <c r="E30" s="395">
        <f>IFERROR(INDEX(OGLs!$F:$F,MATCH($A30,OGLs!$A:$A,0)),"")</f>
        <v>11279</v>
      </c>
      <c r="F30" s="395">
        <f>IFERROR(INDEX(OGLs!$G:$G,MATCH($A30,OGLs!$A:$A,0)),"")</f>
        <v>11279</v>
      </c>
      <c r="G30" s="396">
        <f>IFERROR(INDEX(OGLs!$L:$L,MATCH($A30,OGLs!$A:$A,0)),"")</f>
        <v>0</v>
      </c>
      <c r="H30" s="395">
        <f>IFERROR(INDEX(OGLs!$O:$O,MATCH($A30,OGLs!$A:$A,0)),"")</f>
        <v>0</v>
      </c>
      <c r="I30" s="397">
        <f>IFERROR(INDEX(OGLs!$Q:$Q,MATCH($A30,OGLs!$A:$A,0)),"")</f>
        <v>0</v>
      </c>
      <c r="J30" s="398">
        <f>IFERROR(INDEX(OGLs!$M:$M,MATCH($A30,OGLs!$A:$A,0)),"")</f>
        <v>0</v>
      </c>
      <c r="K30" s="392" t="str">
        <f t="shared" ca="1" si="1"/>
        <v>Past primary term</v>
      </c>
      <c r="L30" s="394" t="s">
        <v>4485</v>
      </c>
    </row>
    <row r="31" spans="1:12" s="56" customFormat="1" ht="15" customHeight="1" x14ac:dyDescent="0.2">
      <c r="A31" s="392">
        <v>17</v>
      </c>
      <c r="B31" s="393" t="str">
        <f>IFERROR(INDEX(OGLs!$E:$E,MATCH($A31,OGLs!$A:$A,0)),"")</f>
        <v>9/176</v>
      </c>
      <c r="C31" s="394" t="str">
        <f>IFERROR(INDEX(OGLs!$H:$H,MATCH($A31,OGLs!$A:$A,0)),"")</f>
        <v>Swinburn J. Stewart</v>
      </c>
      <c r="D31" s="394" t="str">
        <f>IFERROR(INDEX(OGLs!$I:$I,MATCH($A31,OGLs!$A:$A,0)),"")</f>
        <v>Roy M. Johnson</v>
      </c>
      <c r="E31" s="395">
        <f>IFERROR(INDEX(OGLs!$F:$F,MATCH($A31,OGLs!$A:$A,0)),"")</f>
        <v>11364</v>
      </c>
      <c r="F31" s="395">
        <f>IFERROR(INDEX(OGLs!$G:$G,MATCH($A31,OGLs!$A:$A,0)),"")</f>
        <v>11364</v>
      </c>
      <c r="G31" s="396">
        <f>IFERROR(INDEX(OGLs!$L:$L,MATCH($A31,OGLs!$A:$A,0)),"")</f>
        <v>0</v>
      </c>
      <c r="H31" s="395">
        <f>IFERROR(INDEX(OGLs!$O:$O,MATCH($A31,OGLs!$A:$A,0)),"")</f>
        <v>0</v>
      </c>
      <c r="I31" s="397">
        <f>IFERROR(INDEX(OGLs!$Q:$Q,MATCH($A31,OGLs!$A:$A,0)),"")</f>
        <v>0</v>
      </c>
      <c r="J31" s="398">
        <f>IFERROR(INDEX(OGLs!$M:$M,MATCH($A31,OGLs!$A:$A,0)),"")</f>
        <v>0</v>
      </c>
      <c r="K31" s="392" t="str">
        <f t="shared" ca="1" si="1"/>
        <v>Past primary term</v>
      </c>
      <c r="L31" s="394" t="s">
        <v>4485</v>
      </c>
    </row>
    <row r="32" spans="1:12" s="56" customFormat="1" ht="15" customHeight="1" x14ac:dyDescent="0.2">
      <c r="A32" s="392">
        <v>18</v>
      </c>
      <c r="B32" s="393" t="str">
        <f>IFERROR(INDEX(OGLs!$E:$E,MATCH($A32,OGLs!$A:$A,0)),"")</f>
        <v>11/83</v>
      </c>
      <c r="C32" s="394" t="str">
        <f>IFERROR(INDEX(OGLs!$H:$H,MATCH($A32,OGLs!$A:$A,0)),"")</f>
        <v>Lee Aulbert,
Mollie Aulbert</v>
      </c>
      <c r="D32" s="394" t="str">
        <f>IFERROR(INDEX(OGLs!$I:$I,MATCH($A32,OGLs!$A:$A,0)),"")</f>
        <v>Tom R. Johnson, Jr.</v>
      </c>
      <c r="E32" s="395">
        <f>IFERROR(INDEX(OGLs!$F:$F,MATCH($A32,OGLs!$A:$A,0)),"")</f>
        <v>16860</v>
      </c>
      <c r="F32" s="395">
        <f>IFERROR(INDEX(OGLs!$G:$G,MATCH($A32,OGLs!$A:$A,0)),"")</f>
        <v>16860</v>
      </c>
      <c r="G32" s="396">
        <f>IFERROR(INDEX(OGLs!$L:$L,MATCH($A32,OGLs!$A:$A,0)),"")</f>
        <v>0</v>
      </c>
      <c r="H32" s="395">
        <f>IFERROR(INDEX(OGLs!$O:$O,MATCH($A32,OGLs!$A:$A,0)),"")</f>
        <v>0</v>
      </c>
      <c r="I32" s="397">
        <f>IFERROR(INDEX(OGLs!$Q:$Q,MATCH($A32,OGLs!$A:$A,0)),"")</f>
        <v>0</v>
      </c>
      <c r="J32" s="398">
        <f>IFERROR(INDEX(OGLs!$M:$M,MATCH($A32,OGLs!$A:$A,0)),"")</f>
        <v>0</v>
      </c>
      <c r="K32" s="392" t="str">
        <f t="shared" ca="1" si="1"/>
        <v>Past primary term</v>
      </c>
      <c r="L32" s="394" t="s">
        <v>4485</v>
      </c>
    </row>
    <row r="33" spans="1:12" s="56" customFormat="1" ht="15" customHeight="1" x14ac:dyDescent="0.2">
      <c r="A33" s="392">
        <v>19</v>
      </c>
      <c r="B33" s="393" t="str">
        <f>IFERROR(INDEX(OGLs!$E:$E,MATCH($A33,OGLs!$A:$A,0)),"")</f>
        <v>11/88</v>
      </c>
      <c r="C33" s="394" t="str">
        <f>IFERROR(INDEX(OGLs!$H:$H,MATCH($A33,OGLs!$A:$A,0)),"")</f>
        <v>Eula Bain,
William C. Bain</v>
      </c>
      <c r="D33" s="394" t="str">
        <f>IFERROR(INDEX(OGLs!$I:$I,MATCH($A33,OGLs!$A:$A,0)),"")</f>
        <v>O. C. Robinson</v>
      </c>
      <c r="E33" s="395">
        <f>IFERROR(INDEX(OGLs!$F:$F,MATCH($A33,OGLs!$A:$A,0)),"")</f>
        <v>16860</v>
      </c>
      <c r="F33" s="395">
        <f>IFERROR(INDEX(OGLs!$G:$G,MATCH($A33,OGLs!$A:$A,0)),"")</f>
        <v>16860</v>
      </c>
      <c r="G33" s="396">
        <f>IFERROR(INDEX(OGLs!$L:$L,MATCH($A33,OGLs!$A:$A,0)),"")</f>
        <v>0</v>
      </c>
      <c r="H33" s="395">
        <f>IFERROR(INDEX(OGLs!$O:$O,MATCH($A33,OGLs!$A:$A,0)),"")</f>
        <v>0</v>
      </c>
      <c r="I33" s="397">
        <f>IFERROR(INDEX(OGLs!$Q:$Q,MATCH($A33,OGLs!$A:$A,0)),"")</f>
        <v>0</v>
      </c>
      <c r="J33" s="398">
        <f>IFERROR(INDEX(OGLs!$M:$M,MATCH($A33,OGLs!$A:$A,0)),"")</f>
        <v>0</v>
      </c>
      <c r="K33" s="392" t="str">
        <f t="shared" ca="1" si="1"/>
        <v>Past primary term</v>
      </c>
      <c r="L33" s="394" t="s">
        <v>4485</v>
      </c>
    </row>
    <row r="34" spans="1:12" s="56" customFormat="1" ht="15" customHeight="1" x14ac:dyDescent="0.2">
      <c r="A34" s="392">
        <v>20</v>
      </c>
      <c r="B34" s="393" t="str">
        <f>IFERROR(INDEX(OGLs!$E:$E,MATCH($A34,OGLs!$A:$A,0)),"")</f>
        <v>10/262</v>
      </c>
      <c r="C34" s="394" t="str">
        <f>IFERROR(INDEX(OGLs!$H:$H,MATCH($A34,OGLs!$A:$A,0)),"")</f>
        <v>Ethel Carter,
H. M. Carter</v>
      </c>
      <c r="D34" s="394" t="str">
        <f>IFERROR(INDEX(OGLs!$I:$I,MATCH($A34,OGLs!$A:$A,0)),"")</f>
        <v>Atlantic Refining Company</v>
      </c>
      <c r="E34" s="395">
        <f>IFERROR(INDEX(OGLs!$F:$F,MATCH($A34,OGLs!$A:$A,0)),"")</f>
        <v>16977</v>
      </c>
      <c r="F34" s="395">
        <f>IFERROR(INDEX(OGLs!$G:$G,MATCH($A34,OGLs!$A:$A,0)),"")</f>
        <v>16977</v>
      </c>
      <c r="G34" s="396">
        <f>IFERROR(INDEX(OGLs!$L:$L,MATCH($A34,OGLs!$A:$A,0)),"")</f>
        <v>0</v>
      </c>
      <c r="H34" s="395">
        <f>IFERROR(INDEX(OGLs!$O:$O,MATCH($A34,OGLs!$A:$A,0)),"")</f>
        <v>0</v>
      </c>
      <c r="I34" s="397">
        <f>IFERROR(INDEX(OGLs!$Q:$Q,MATCH($A34,OGLs!$A:$A,0)),"")</f>
        <v>0</v>
      </c>
      <c r="J34" s="398">
        <f>IFERROR(INDEX(OGLs!$M:$M,MATCH($A34,OGLs!$A:$A,0)),"")</f>
        <v>0</v>
      </c>
      <c r="K34" s="392" t="str">
        <f t="shared" ca="1" si="1"/>
        <v>Past primary term</v>
      </c>
      <c r="L34" s="394" t="s">
        <v>4485</v>
      </c>
    </row>
    <row r="35" spans="1:12" s="56" customFormat="1" ht="15" customHeight="1" x14ac:dyDescent="0.2">
      <c r="A35" s="392">
        <v>21</v>
      </c>
      <c r="B35" s="393" t="str">
        <f>IFERROR(INDEX(OGLs!$E:$E,MATCH($A35,OGLs!$A:$A,0)),"")</f>
        <v>10/457</v>
      </c>
      <c r="C35" s="394" t="str">
        <f>IFERROR(INDEX(OGLs!$H:$H,MATCH($A35,OGLs!$A:$A,0)),"")</f>
        <v>J. B. Campbell,
Lillie a. Campbell,
Lillie a. Hambrook</v>
      </c>
      <c r="D35" s="394" t="str">
        <f>IFERROR(INDEX(OGLs!$I:$I,MATCH($A35,OGLs!$A:$A,0)),"")</f>
        <v>C. L. Moss</v>
      </c>
      <c r="E35" s="395">
        <f>IFERROR(INDEX(OGLs!$F:$F,MATCH($A35,OGLs!$A:$A,0)),"")</f>
        <v>17504</v>
      </c>
      <c r="F35" s="395">
        <f>IFERROR(INDEX(OGLs!$G:$G,MATCH($A35,OGLs!$A:$A,0)),"")</f>
        <v>17504</v>
      </c>
      <c r="G35" s="396">
        <f>IFERROR(INDEX(OGLs!$L:$L,MATCH($A35,OGLs!$A:$A,0)),"")</f>
        <v>0</v>
      </c>
      <c r="H35" s="395">
        <f>IFERROR(INDEX(OGLs!$O:$O,MATCH($A35,OGLs!$A:$A,0)),"")</f>
        <v>0</v>
      </c>
      <c r="I35" s="397">
        <f>IFERROR(INDEX(OGLs!$Q:$Q,MATCH($A35,OGLs!$A:$A,0)),"")</f>
        <v>0</v>
      </c>
      <c r="J35" s="398">
        <f>IFERROR(INDEX(OGLs!$M:$M,MATCH($A35,OGLs!$A:$A,0)),"")</f>
        <v>0</v>
      </c>
      <c r="K35" s="392" t="str">
        <f t="shared" ca="1" si="1"/>
        <v>Past primary term</v>
      </c>
      <c r="L35" s="394" t="s">
        <v>4485</v>
      </c>
    </row>
    <row r="36" spans="1:12" s="56" customFormat="1" ht="15" customHeight="1" x14ac:dyDescent="0.2">
      <c r="A36" s="392">
        <v>22</v>
      </c>
      <c r="B36" s="393" t="str">
        <f>IFERROR(INDEX(OGLs!$E:$E,MATCH($A36,OGLs!$A:$A,0)),"")</f>
        <v>11/337</v>
      </c>
      <c r="C36" s="394" t="str">
        <f>IFERROR(INDEX(OGLs!$H:$H,MATCH($A36,OGLs!$A:$A,0)),"")</f>
        <v>J. E. Campbell,
Lillie a. Campbell</v>
      </c>
      <c r="D36" s="394" t="str">
        <f>IFERROR(INDEX(OGLs!$I:$I,MATCH($A36,OGLs!$A:$A,0)),"")</f>
        <v>C. L. Moss</v>
      </c>
      <c r="E36" s="395">
        <f>IFERROR(INDEX(OGLs!$F:$F,MATCH($A36,OGLs!$A:$A,0)),"")</f>
        <v>17549</v>
      </c>
      <c r="F36" s="395">
        <f>IFERROR(INDEX(OGLs!$G:$G,MATCH($A36,OGLs!$A:$A,0)),"")</f>
        <v>17549</v>
      </c>
      <c r="G36" s="396">
        <f>IFERROR(INDEX(OGLs!$L:$L,MATCH($A36,OGLs!$A:$A,0)),"")</f>
        <v>0</v>
      </c>
      <c r="H36" s="395">
        <f>IFERROR(INDEX(OGLs!$O:$O,MATCH($A36,OGLs!$A:$A,0)),"")</f>
        <v>0</v>
      </c>
      <c r="I36" s="397">
        <f>IFERROR(INDEX(OGLs!$Q:$Q,MATCH($A36,OGLs!$A:$A,0)),"")</f>
        <v>0</v>
      </c>
      <c r="J36" s="398">
        <f>IFERROR(INDEX(OGLs!$M:$M,MATCH($A36,OGLs!$A:$A,0)),"")</f>
        <v>0</v>
      </c>
      <c r="K36" s="392" t="str">
        <f t="shared" ca="1" si="1"/>
        <v>Past primary term</v>
      </c>
      <c r="L36" s="394" t="s">
        <v>4485</v>
      </c>
    </row>
    <row r="37" spans="1:12" s="56" customFormat="1" ht="15" customHeight="1" x14ac:dyDescent="0.2">
      <c r="A37" s="392">
        <v>23</v>
      </c>
      <c r="B37" s="393" t="str">
        <f>IFERROR(INDEX(OGLs!$E:$E,MATCH($A37,OGLs!$A:$A,0)),"")</f>
        <v>11/498</v>
      </c>
      <c r="C37" s="394" t="str">
        <f>IFERROR(INDEX(OGLs!$H:$H,MATCH($A37,OGLs!$A:$A,0)),"")</f>
        <v>Gladys Priest</v>
      </c>
      <c r="D37" s="394" t="str">
        <f>IFERROR(INDEX(OGLs!$I:$I,MATCH($A37,OGLs!$A:$A,0)),"")</f>
        <v>Tom R. Johnson</v>
      </c>
      <c r="E37" s="395">
        <f>IFERROR(INDEX(OGLs!$F:$F,MATCH($A37,OGLs!$A:$A,0)),"")</f>
        <v>17566</v>
      </c>
      <c r="F37" s="395">
        <f>IFERROR(INDEX(OGLs!$G:$G,MATCH($A37,OGLs!$A:$A,0)),"")</f>
        <v>17566</v>
      </c>
      <c r="G37" s="396">
        <f>IFERROR(INDEX(OGLs!$L:$L,MATCH($A37,OGLs!$A:$A,0)),"")</f>
        <v>0</v>
      </c>
      <c r="H37" s="395">
        <f>IFERROR(INDEX(OGLs!$O:$O,MATCH($A37,OGLs!$A:$A,0)),"")</f>
        <v>0</v>
      </c>
      <c r="I37" s="397">
        <f>IFERROR(INDEX(OGLs!$Q:$Q,MATCH($A37,OGLs!$A:$A,0)),"")</f>
        <v>0</v>
      </c>
      <c r="J37" s="398">
        <f>IFERROR(INDEX(OGLs!$M:$M,MATCH($A37,OGLs!$A:$A,0)),"")</f>
        <v>0</v>
      </c>
      <c r="K37" s="392" t="str">
        <f t="shared" ca="1" si="1"/>
        <v>Past primary term</v>
      </c>
      <c r="L37" s="394" t="s">
        <v>4485</v>
      </c>
    </row>
    <row r="38" spans="1:12" s="56" customFormat="1" ht="15" customHeight="1" x14ac:dyDescent="0.2">
      <c r="A38" s="392">
        <v>24</v>
      </c>
      <c r="B38" s="393" t="str">
        <f>IFERROR(INDEX(OGLs!$E:$E,MATCH($A38,OGLs!$A:$A,0)),"")</f>
        <v>12/452</v>
      </c>
      <c r="C38" s="394" t="str">
        <f>IFERROR(INDEX(OGLs!$H:$H,MATCH($A38,OGLs!$A:$A,0)),"")</f>
        <v>Lee Aulbert,
Mollie Aulbert</v>
      </c>
      <c r="D38" s="394" t="str">
        <f>IFERROR(INDEX(OGLs!$I:$I,MATCH($A38,OGLs!$A:$A,0)),"")</f>
        <v>Tom R. Johnson, Jr.</v>
      </c>
      <c r="E38" s="395">
        <f>IFERROR(INDEX(OGLs!$F:$F,MATCH($A38,OGLs!$A:$A,0)),"")</f>
        <v>18015</v>
      </c>
      <c r="F38" s="395">
        <f>IFERROR(INDEX(OGLs!$G:$G,MATCH($A38,OGLs!$A:$A,0)),"")</f>
        <v>18015</v>
      </c>
      <c r="G38" s="396">
        <f>IFERROR(INDEX(OGLs!$L:$L,MATCH($A38,OGLs!$A:$A,0)),"")</f>
        <v>0</v>
      </c>
      <c r="H38" s="395">
        <f>IFERROR(INDEX(OGLs!$O:$O,MATCH($A38,OGLs!$A:$A,0)),"")</f>
        <v>0</v>
      </c>
      <c r="I38" s="397">
        <f>IFERROR(INDEX(OGLs!$Q:$Q,MATCH($A38,OGLs!$A:$A,0)),"")</f>
        <v>0</v>
      </c>
      <c r="J38" s="398">
        <f>IFERROR(INDEX(OGLs!$M:$M,MATCH($A38,OGLs!$A:$A,0)),"")</f>
        <v>0</v>
      </c>
      <c r="K38" s="392" t="str">
        <f t="shared" ca="1" si="1"/>
        <v>Past primary term</v>
      </c>
      <c r="L38" s="394" t="s">
        <v>4485</v>
      </c>
    </row>
    <row r="39" spans="1:12" s="56" customFormat="1" ht="15" customHeight="1" x14ac:dyDescent="0.2">
      <c r="A39" s="392">
        <v>25</v>
      </c>
      <c r="B39" s="393" t="str">
        <f>IFERROR(INDEX(OGLs!$E:$E,MATCH($A39,OGLs!$A:$A,0)),"")</f>
        <v>22/198</v>
      </c>
      <c r="C39" s="394" t="str">
        <f>IFERROR(INDEX(OGLs!$H:$H,MATCH($A39,OGLs!$A:$A,0)),"")</f>
        <v>Eula M. Bain,
W. M. Bain</v>
      </c>
      <c r="D39" s="394" t="str">
        <f>IFERROR(INDEX(OGLs!$I:$I,MATCH($A39,OGLs!$A:$A,0)),"")</f>
        <v>Ed Puls</v>
      </c>
      <c r="E39" s="395">
        <f>IFERROR(INDEX(OGLs!$F:$F,MATCH($A39,OGLs!$A:$A,0)),"")</f>
        <v>21495</v>
      </c>
      <c r="F39" s="395">
        <f>IFERROR(INDEX(OGLs!$G:$G,MATCH($A39,OGLs!$A:$A,0)),"")</f>
        <v>21495</v>
      </c>
      <c r="G39" s="396">
        <f>IFERROR(INDEX(OGLs!$L:$L,MATCH($A39,OGLs!$A:$A,0)),"")</f>
        <v>0</v>
      </c>
      <c r="H39" s="395">
        <f>IFERROR(INDEX(OGLs!$O:$O,MATCH($A39,OGLs!$A:$A,0)),"")</f>
        <v>0</v>
      </c>
      <c r="I39" s="397">
        <f>IFERROR(INDEX(OGLs!$Q:$Q,MATCH($A39,OGLs!$A:$A,0)),"")</f>
        <v>0</v>
      </c>
      <c r="J39" s="398">
        <f>IFERROR(INDEX(OGLs!$M:$M,MATCH($A39,OGLs!$A:$A,0)),"")</f>
        <v>0</v>
      </c>
      <c r="K39" s="392" t="str">
        <f t="shared" ca="1" si="1"/>
        <v>Past primary term</v>
      </c>
      <c r="L39" s="394" t="s">
        <v>4485</v>
      </c>
    </row>
    <row r="40" spans="1:12" s="56" customFormat="1" ht="15" customHeight="1" x14ac:dyDescent="0.2">
      <c r="A40" s="392">
        <v>26</v>
      </c>
      <c r="B40" s="393" t="str">
        <f>IFERROR(INDEX(OGLs!$E:$E,MATCH($A40,OGLs!$A:$A,0)),"")</f>
        <v>1821/465</v>
      </c>
      <c r="C40" s="394" t="str">
        <f>IFERROR(INDEX(OGLs!$H:$H,MATCH($A40,OGLs!$A:$A,0)),"")</f>
        <v>James M. Robertson, Rose Elaine Robertson</v>
      </c>
      <c r="D40" s="394" t="str">
        <f>IFERROR(INDEX(OGLs!$I:$I,MATCH($A40,OGLs!$A:$A,0)),"")</f>
        <v>Devon Energy Prod Co.</v>
      </c>
      <c r="E40" s="395">
        <f>IFERROR(INDEX(OGLs!$F:$F,MATCH($A40,OGLs!$A:$A,0)),"")</f>
        <v>38732</v>
      </c>
      <c r="F40" s="395">
        <f>IFERROR(INDEX(OGLs!$G:$G,MATCH($A40,OGLs!$A:$A,0)),"")</f>
        <v>38747</v>
      </c>
      <c r="G40" s="396">
        <f>IFERROR(INDEX(OGLs!$L:$L,MATCH($A40,OGLs!$A:$A,0)),"")</f>
        <v>18</v>
      </c>
      <c r="H40" s="395">
        <f>IFERROR(INDEX(OGLs!$O:$O,MATCH($A40,OGLs!$A:$A,0)),"")</f>
        <v>39278</v>
      </c>
      <c r="I40" s="397">
        <f>IFERROR(INDEX(OGLs!$Q:$Q,MATCH($A40,OGLs!$A:$A,0)),"")</f>
        <v>0.25</v>
      </c>
      <c r="J40" s="398">
        <f>IFERROR(INDEX(OGLs!$M:$M,MATCH($A40,OGLs!$A:$A,0)),"")</f>
        <v>160</v>
      </c>
      <c r="K40" s="392" t="str">
        <f t="shared" ca="1" si="1"/>
        <v>Past primary term</v>
      </c>
      <c r="L40" s="394" t="s">
        <v>4485</v>
      </c>
    </row>
    <row r="41" spans="1:12" s="56" customFormat="1" ht="15" customHeight="1" x14ac:dyDescent="0.2">
      <c r="A41" s="392">
        <v>27</v>
      </c>
      <c r="B41" s="393" t="str">
        <f>IFERROR(INDEX(OGLs!$E:$E,MATCH($A41,OGLs!$A:$A,0)),"")</f>
        <v>1829/26</v>
      </c>
      <c r="C41" s="394" t="str">
        <f>IFERROR(INDEX(OGLs!$H:$H,MATCH($A41,OGLs!$A:$A,0)),"")</f>
        <v>Termo Company</v>
      </c>
      <c r="D41" s="394" t="str">
        <f>IFERROR(INDEX(OGLs!$I:$I,MATCH($A41,OGLs!$A:$A,0)),"")</f>
        <v>Devon Energy Production Co.</v>
      </c>
      <c r="E41" s="395">
        <f>IFERROR(INDEX(OGLs!$F:$F,MATCH($A41,OGLs!$A:$A,0)),"")</f>
        <v>38760</v>
      </c>
      <c r="F41" s="395">
        <f>IFERROR(INDEX(OGLs!$G:$G,MATCH($A41,OGLs!$A:$A,0)),"")</f>
        <v>38792</v>
      </c>
      <c r="G41" s="396">
        <f>IFERROR(INDEX(OGLs!$L:$L,MATCH($A41,OGLs!$A:$A,0)),"")</f>
        <v>36</v>
      </c>
      <c r="H41" s="395">
        <f>IFERROR(INDEX(OGLs!$O:$O,MATCH($A41,OGLs!$A:$A,0)),"")</f>
        <v>39856</v>
      </c>
      <c r="I41" s="397">
        <f>IFERROR(INDEX(OGLs!$Q:$Q,MATCH($A41,OGLs!$A:$A,0)),"")</f>
        <v>0.25</v>
      </c>
      <c r="J41" s="398">
        <f>IFERROR(INDEX(OGLs!$M:$M,MATCH($A41,OGLs!$A:$A,0)),"")</f>
        <v>180</v>
      </c>
      <c r="K41" s="392" t="str">
        <f t="shared" ca="1" si="1"/>
        <v>Past primary term</v>
      </c>
      <c r="L41" s="394" t="s">
        <v>4485</v>
      </c>
    </row>
    <row r="42" spans="1:12" s="56" customFormat="1" ht="15" customHeight="1" x14ac:dyDescent="0.2"/>
    <row r="43" spans="1:12" s="56" customFormat="1" ht="15" customHeight="1" x14ac:dyDescent="0.2">
      <c r="A43" s="568" t="s">
        <v>4486</v>
      </c>
      <c r="B43" s="567"/>
      <c r="C43" s="567"/>
      <c r="D43" s="567"/>
      <c r="E43" s="567"/>
      <c r="F43" s="567"/>
      <c r="G43" s="567"/>
      <c r="H43" s="567"/>
      <c r="I43" s="567"/>
      <c r="J43" s="567"/>
      <c r="K43" s="567"/>
      <c r="L43" s="567"/>
    </row>
    <row r="44" spans="1:12" s="56" customFormat="1" ht="15" customHeight="1" x14ac:dyDescent="0.2">
      <c r="A44" s="566" t="s">
        <v>4487</v>
      </c>
      <c r="B44" s="567"/>
      <c r="C44" s="567"/>
      <c r="D44" s="567"/>
      <c r="E44" s="567"/>
      <c r="F44" s="567"/>
      <c r="G44" s="567"/>
      <c r="H44" s="567"/>
      <c r="I44" s="567"/>
      <c r="J44" s="567"/>
      <c r="K44" s="567"/>
      <c r="L44" s="567"/>
    </row>
    <row r="45" spans="1:12" s="56" customFormat="1" ht="15" customHeight="1" x14ac:dyDescent="0.2"/>
    <row r="46" spans="1:12" s="56" customFormat="1" ht="15" customHeight="1" x14ac:dyDescent="0.2">
      <c r="A46" s="568" t="s">
        <v>4488</v>
      </c>
      <c r="B46" s="567"/>
      <c r="C46" s="567"/>
      <c r="D46" s="567"/>
      <c r="E46" s="567"/>
      <c r="F46" s="567"/>
      <c r="G46" s="567"/>
      <c r="H46" s="567"/>
      <c r="I46" s="567"/>
      <c r="J46" s="567"/>
      <c r="K46" s="567"/>
      <c r="L46" s="567"/>
    </row>
    <row r="47" spans="1:12" s="56" customFormat="1" ht="15" customHeight="1" x14ac:dyDescent="0.2">
      <c r="A47" s="566" t="s">
        <v>4489</v>
      </c>
      <c r="B47" s="567"/>
      <c r="C47" s="567"/>
      <c r="D47" s="567"/>
      <c r="E47" s="567"/>
      <c r="F47" s="567"/>
      <c r="G47" s="567"/>
      <c r="H47" s="567"/>
      <c r="I47" s="567"/>
      <c r="J47" s="567"/>
      <c r="K47" s="567"/>
      <c r="L47" s="567"/>
    </row>
    <row r="48" spans="1:12" s="56" customFormat="1" ht="15" customHeight="1" x14ac:dyDescent="0.2"/>
    <row r="49" spans="1:12" s="56" customFormat="1" ht="15" customHeight="1" x14ac:dyDescent="0.2">
      <c r="A49" s="569" t="s">
        <v>4490</v>
      </c>
      <c r="B49" s="567"/>
      <c r="C49" s="567"/>
      <c r="D49" s="567"/>
      <c r="E49" s="567"/>
      <c r="F49" s="567"/>
      <c r="G49" s="567"/>
      <c r="H49" s="567"/>
      <c r="I49" s="567"/>
      <c r="J49" s="567"/>
      <c r="K49" s="567"/>
      <c r="L49" s="567"/>
    </row>
    <row r="50" spans="1:12" s="56" customFormat="1" ht="15" customHeight="1" x14ac:dyDescent="0.2">
      <c r="A50" s="566" t="s">
        <v>4491</v>
      </c>
      <c r="B50" s="567"/>
      <c r="C50" s="567"/>
      <c r="D50" s="567"/>
      <c r="E50" s="567"/>
      <c r="F50" s="567"/>
      <c r="G50" s="567"/>
      <c r="H50" s="567"/>
      <c r="I50" s="567"/>
      <c r="J50" s="567"/>
      <c r="K50" s="567"/>
      <c r="L50" s="567"/>
    </row>
    <row r="51" spans="1:12" s="56" customFormat="1" ht="15" customHeight="1" x14ac:dyDescent="0.2">
      <c r="A51" s="566" t="s">
        <v>4492</v>
      </c>
      <c r="B51" s="567"/>
      <c r="C51" s="567"/>
      <c r="D51" s="567"/>
      <c r="E51" s="567"/>
      <c r="F51" s="567"/>
      <c r="G51" s="567"/>
      <c r="H51" s="567"/>
      <c r="I51" s="567"/>
      <c r="J51" s="567"/>
      <c r="K51" s="567"/>
      <c r="L51" s="567"/>
    </row>
    <row r="52" spans="1:12" s="56" customFormat="1" ht="15" customHeight="1" x14ac:dyDescent="0.2">
      <c r="A52" s="566" t="s">
        <v>4493</v>
      </c>
      <c r="B52" s="567"/>
      <c r="C52" s="567"/>
      <c r="D52" s="567"/>
      <c r="E52" s="567"/>
      <c r="F52" s="567"/>
      <c r="G52" s="567"/>
      <c r="H52" s="567"/>
      <c r="I52" s="567"/>
      <c r="J52" s="567"/>
      <c r="K52" s="567"/>
      <c r="L52" s="567"/>
    </row>
    <row r="53" spans="1:12" s="56" customFormat="1" ht="15" customHeight="1" x14ac:dyDescent="0.2"/>
    <row r="54" spans="1:12" s="56" customFormat="1" ht="15" customHeight="1" x14ac:dyDescent="0.2"/>
    <row r="55" spans="1:12" s="56" customFormat="1" ht="15" customHeight="1" x14ac:dyDescent="0.2"/>
    <row r="56" spans="1:12" s="56" customFormat="1" ht="15" customHeight="1" x14ac:dyDescent="0.2"/>
    <row r="57" spans="1:12" s="56" customFormat="1" ht="15" customHeight="1" x14ac:dyDescent="0.2"/>
    <row r="58" spans="1:12" s="56" customFormat="1" ht="15" customHeight="1" x14ac:dyDescent="0.2"/>
    <row r="59" spans="1:12" s="56" customFormat="1" ht="15" customHeight="1" x14ac:dyDescent="0.2"/>
    <row r="60" spans="1:12" s="56" customFormat="1" ht="15" customHeight="1" x14ac:dyDescent="0.2"/>
    <row r="61" spans="1:12" s="56" customFormat="1" ht="15" customHeight="1" x14ac:dyDescent="0.2"/>
    <row r="62" spans="1:12" s="56" customFormat="1" ht="15" customHeight="1" x14ac:dyDescent="0.2"/>
    <row r="63" spans="1:12" s="56" customFormat="1" ht="15" customHeight="1" x14ac:dyDescent="0.2"/>
    <row r="64" spans="1:12" s="56" customFormat="1" ht="15" customHeight="1" x14ac:dyDescent="0.2"/>
    <row r="65" s="56" customFormat="1" ht="15" customHeight="1" x14ac:dyDescent="0.2"/>
    <row r="66" s="56" customFormat="1" ht="15" customHeight="1" x14ac:dyDescent="0.2"/>
    <row r="67" s="56" customFormat="1" ht="15" customHeight="1" x14ac:dyDescent="0.2"/>
    <row r="68" s="56" customFormat="1" ht="15" customHeight="1" x14ac:dyDescent="0.2"/>
    <row r="69" s="56" customFormat="1" ht="15" customHeight="1" x14ac:dyDescent="0.2"/>
    <row r="70" s="56" customFormat="1" ht="15" customHeight="1" x14ac:dyDescent="0.2"/>
    <row r="71" s="56" customFormat="1" ht="15" customHeight="1" x14ac:dyDescent="0.2"/>
    <row r="72" s="56" customFormat="1" ht="15" customHeight="1" x14ac:dyDescent="0.2"/>
    <row r="73" s="56" customFormat="1" ht="15" customHeight="1" x14ac:dyDescent="0.2"/>
    <row r="74" s="56" customFormat="1" ht="15" customHeight="1" x14ac:dyDescent="0.2"/>
    <row r="75" s="56" customFormat="1" ht="15" customHeight="1" x14ac:dyDescent="0.2"/>
    <row r="76" s="56" customFormat="1" ht="15" customHeight="1" x14ac:dyDescent="0.2"/>
    <row r="77" s="56" customFormat="1" ht="15" customHeight="1" x14ac:dyDescent="0.2"/>
    <row r="78" s="56" customFormat="1" ht="15" customHeight="1" x14ac:dyDescent="0.2"/>
    <row r="79" s="56" customFormat="1" ht="15" customHeight="1" x14ac:dyDescent="0.2"/>
    <row r="80" s="56" customFormat="1" ht="15" customHeight="1" x14ac:dyDescent="0.2"/>
    <row r="81" s="56" customFormat="1" ht="15" customHeight="1" x14ac:dyDescent="0.2"/>
    <row r="82" s="56" customFormat="1" ht="15" customHeight="1" x14ac:dyDescent="0.2"/>
    <row r="83" s="56" customFormat="1" ht="15" customHeight="1" x14ac:dyDescent="0.2"/>
    <row r="84" s="56" customFormat="1" ht="15" customHeight="1" x14ac:dyDescent="0.2"/>
    <row r="85" s="56" customFormat="1" ht="15" customHeight="1" x14ac:dyDescent="0.2"/>
    <row r="86" s="56" customFormat="1" ht="15" customHeight="1" x14ac:dyDescent="0.2"/>
    <row r="87" s="56" customFormat="1" ht="15" customHeight="1" x14ac:dyDescent="0.2"/>
    <row r="88" s="56" customFormat="1" ht="15" customHeight="1" x14ac:dyDescent="0.2"/>
    <row r="89" s="56" customFormat="1" ht="15" customHeight="1" x14ac:dyDescent="0.2"/>
    <row r="90" s="56" customFormat="1" ht="15" customHeight="1" x14ac:dyDescent="0.2"/>
    <row r="91" s="56" customFormat="1" ht="15" customHeight="1" x14ac:dyDescent="0.2"/>
    <row r="92" s="56" customFormat="1" ht="15" customHeight="1" x14ac:dyDescent="0.2"/>
    <row r="93" s="56" customFormat="1" ht="15" customHeight="1" x14ac:dyDescent="0.2"/>
    <row r="94" s="56" customFormat="1" ht="15" customHeight="1" x14ac:dyDescent="0.2"/>
    <row r="95" s="56" customFormat="1" ht="15" customHeight="1" x14ac:dyDescent="0.2"/>
    <row r="96" s="56" customFormat="1" ht="15" customHeight="1" x14ac:dyDescent="0.2"/>
    <row r="97" s="56" customFormat="1" ht="15" customHeight="1" x14ac:dyDescent="0.2"/>
    <row r="98" s="56" customFormat="1" ht="15" customHeight="1" x14ac:dyDescent="0.2"/>
    <row r="99" s="56" customFormat="1" ht="15" customHeight="1" x14ac:dyDescent="0.2"/>
    <row r="100" s="56" customFormat="1" ht="15" customHeight="1" x14ac:dyDescent="0.2"/>
    <row r="101" s="56" customFormat="1" ht="15" customHeight="1" x14ac:dyDescent="0.2"/>
    <row r="102" s="56" customFormat="1" ht="15" customHeight="1" x14ac:dyDescent="0.2"/>
    <row r="103" s="56" customFormat="1" ht="15" customHeight="1" x14ac:dyDescent="0.2"/>
    <row r="104" s="56" customFormat="1" ht="15" customHeight="1" x14ac:dyDescent="0.2"/>
    <row r="105" s="56" customFormat="1" ht="15" customHeight="1" x14ac:dyDescent="0.2"/>
    <row r="106" s="56" customFormat="1" ht="15" customHeight="1" x14ac:dyDescent="0.2"/>
    <row r="107" s="56" customFormat="1" ht="15" customHeight="1" x14ac:dyDescent="0.2"/>
    <row r="108" s="56" customFormat="1" ht="15" customHeight="1" x14ac:dyDescent="0.2"/>
    <row r="109" s="56" customFormat="1" ht="15" customHeight="1" x14ac:dyDescent="0.2"/>
    <row r="110" s="56" customFormat="1" ht="15" customHeight="1" x14ac:dyDescent="0.2"/>
    <row r="111" s="56" customFormat="1" ht="15" customHeight="1" x14ac:dyDescent="0.2"/>
    <row r="112" s="56" customFormat="1" ht="15" customHeight="1" x14ac:dyDescent="0.2"/>
    <row r="113" s="56" customFormat="1" ht="15" customHeight="1" x14ac:dyDescent="0.2"/>
    <row r="114" s="56" customFormat="1" ht="15" customHeight="1" x14ac:dyDescent="0.2"/>
    <row r="115" s="56" customFormat="1" ht="15" customHeight="1" x14ac:dyDescent="0.2"/>
    <row r="116" s="56" customFormat="1" ht="15" customHeight="1" x14ac:dyDescent="0.2"/>
    <row r="117" s="56" customFormat="1" ht="15" customHeight="1" x14ac:dyDescent="0.2"/>
    <row r="118" s="56" customFormat="1" ht="15" customHeight="1" x14ac:dyDescent="0.2"/>
    <row r="119" s="56" customFormat="1" ht="15" customHeight="1" x14ac:dyDescent="0.2"/>
    <row r="120" s="56" customFormat="1" ht="15" customHeight="1" x14ac:dyDescent="0.2"/>
    <row r="121" s="56" customFormat="1" ht="15" customHeight="1" x14ac:dyDescent="0.2"/>
    <row r="122" s="56" customFormat="1" ht="15" customHeight="1" x14ac:dyDescent="0.2"/>
    <row r="123" s="56" customFormat="1" ht="15" customHeight="1" x14ac:dyDescent="0.2"/>
    <row r="124" s="56" customFormat="1" ht="15" customHeight="1" x14ac:dyDescent="0.2"/>
    <row r="125" s="56" customFormat="1" ht="15" customHeight="1" x14ac:dyDescent="0.2"/>
    <row r="126" s="56" customFormat="1" ht="15" customHeight="1" x14ac:dyDescent="0.2"/>
    <row r="127" s="56" customFormat="1" ht="15" customHeight="1" x14ac:dyDescent="0.2"/>
    <row r="128" s="56" customFormat="1" ht="15" customHeight="1" x14ac:dyDescent="0.2"/>
    <row r="129" s="56" customFormat="1" ht="15" customHeight="1" x14ac:dyDescent="0.2"/>
    <row r="130" s="56" customFormat="1" ht="15" customHeight="1" x14ac:dyDescent="0.2"/>
    <row r="131" s="56" customFormat="1" ht="15" customHeight="1" x14ac:dyDescent="0.2"/>
    <row r="132" s="56" customFormat="1" ht="15" customHeight="1" x14ac:dyDescent="0.2"/>
    <row r="133" s="56" customFormat="1" ht="15" customHeight="1" x14ac:dyDescent="0.2"/>
    <row r="134" s="56" customFormat="1" ht="15" customHeight="1" x14ac:dyDescent="0.2"/>
    <row r="135" s="56" customFormat="1" ht="15" customHeight="1" x14ac:dyDescent="0.2"/>
    <row r="136" s="56" customFormat="1" ht="15" customHeight="1" x14ac:dyDescent="0.2"/>
    <row r="137" s="56" customFormat="1" ht="15" customHeight="1" x14ac:dyDescent="0.2"/>
    <row r="138" s="56" customFormat="1" ht="15" customHeight="1" x14ac:dyDescent="0.2"/>
    <row r="139" s="56" customFormat="1" ht="15" customHeight="1" x14ac:dyDescent="0.2"/>
    <row r="140" s="56" customFormat="1" ht="15" customHeight="1" x14ac:dyDescent="0.2"/>
    <row r="141" s="56" customFormat="1" ht="15" customHeight="1" x14ac:dyDescent="0.2"/>
    <row r="142" s="56" customFormat="1" ht="15" customHeight="1" x14ac:dyDescent="0.2"/>
    <row r="143" s="58" customFormat="1" ht="15" customHeight="1" x14ac:dyDescent="0.2"/>
    <row r="144" s="55" customFormat="1"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sheetData>
  <mergeCells count="11">
    <mergeCell ref="A2:L2"/>
    <mergeCell ref="A52:L52"/>
    <mergeCell ref="A43:L43"/>
    <mergeCell ref="A51:L51"/>
    <mergeCell ref="A49:L49"/>
    <mergeCell ref="A47:L47"/>
    <mergeCell ref="A46:L46"/>
    <mergeCell ref="A13:L13"/>
    <mergeCell ref="A44:L44"/>
    <mergeCell ref="A50:L50"/>
    <mergeCell ref="A4:L4"/>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
  <sheetViews>
    <sheetView workbookViewId="0">
      <selection activeCell="G3" sqref="G3"/>
    </sheetView>
  </sheetViews>
  <sheetFormatPr defaultColWidth="8.7109375" defaultRowHeight="15" x14ac:dyDescent="0.25"/>
  <cols>
    <col min="1" max="1" width="10.85546875" style="94" customWidth="1"/>
    <col min="2" max="2" width="12.42578125" style="94" bestFit="1" customWidth="1"/>
    <col min="3" max="3" width="21.140625" style="94" bestFit="1" customWidth="1"/>
    <col min="4" max="4" width="17.42578125" style="94" bestFit="1" customWidth="1"/>
    <col min="5" max="5" width="22.140625" style="94" customWidth="1"/>
    <col min="6" max="6" width="43.42578125" style="94" bestFit="1" customWidth="1"/>
    <col min="7" max="7" width="41.7109375" style="94" bestFit="1" customWidth="1"/>
    <col min="8" max="8" width="10.7109375" style="94" bestFit="1" customWidth="1"/>
    <col min="9" max="9" width="20.42578125" style="94" bestFit="1" customWidth="1"/>
    <col min="10" max="10" width="12.28515625" style="94" bestFit="1" customWidth="1"/>
    <col min="11" max="11" width="11.5703125" style="94" bestFit="1" customWidth="1"/>
    <col min="12" max="12" width="10.140625" style="94" customWidth="1"/>
    <col min="13" max="13" width="5.28515625" style="100" bestFit="1" customWidth="1"/>
    <col min="14" max="14" width="16.140625" style="94" bestFit="1" customWidth="1"/>
    <col min="15" max="15" width="14.7109375" style="94" bestFit="1" customWidth="1"/>
    <col min="16" max="16" width="12.85546875" style="94" customWidth="1"/>
    <col min="17" max="17" width="22.85546875" style="94" customWidth="1"/>
    <col min="18" max="20" width="8.7109375" style="94" customWidth="1"/>
    <col min="21" max="16384" width="8.7109375" style="94"/>
  </cols>
  <sheetData>
    <row r="1" spans="1:15" x14ac:dyDescent="0.25">
      <c r="A1" s="256" t="s">
        <v>4494</v>
      </c>
      <c r="B1" s="256"/>
      <c r="C1" s="256"/>
      <c r="D1" s="256"/>
      <c r="E1" s="256"/>
      <c r="F1" s="256"/>
      <c r="G1" s="256"/>
      <c r="H1" s="256"/>
      <c r="I1" s="256"/>
      <c r="J1" s="256"/>
      <c r="K1" s="256"/>
      <c r="L1" s="256"/>
      <c r="N1" s="256"/>
      <c r="O1" s="256"/>
    </row>
    <row r="2" spans="1:15" s="8" customFormat="1" ht="30" customHeight="1" x14ac:dyDescent="0.25">
      <c r="A2" s="257" t="s">
        <v>4495</v>
      </c>
      <c r="B2" s="257" t="s">
        <v>4496</v>
      </c>
      <c r="C2" s="257" t="s">
        <v>4497</v>
      </c>
      <c r="D2" s="257" t="s">
        <v>4482</v>
      </c>
      <c r="E2" s="257" t="s">
        <v>4498</v>
      </c>
      <c r="F2" s="257" t="s">
        <v>4499</v>
      </c>
      <c r="G2" s="257" t="s">
        <v>4500</v>
      </c>
      <c r="H2" s="257" t="s">
        <v>4501</v>
      </c>
      <c r="I2" s="257" t="s">
        <v>148</v>
      </c>
    </row>
    <row r="3" spans="1:15" s="8" customFormat="1" ht="331.5" customHeight="1" x14ac:dyDescent="0.25">
      <c r="A3" s="258" t="s">
        <v>4502</v>
      </c>
      <c r="B3" s="258" t="s">
        <v>4503</v>
      </c>
      <c r="C3" s="258" t="s">
        <v>4504</v>
      </c>
      <c r="D3" s="258" t="s">
        <v>4505</v>
      </c>
      <c r="E3" s="258" t="s">
        <v>4506</v>
      </c>
      <c r="F3" s="258" t="s">
        <v>4507</v>
      </c>
      <c r="G3" s="258" t="s">
        <v>4508</v>
      </c>
      <c r="H3" s="258" t="s">
        <v>4509</v>
      </c>
      <c r="I3" s="258" t="s">
        <v>4510</v>
      </c>
    </row>
  </sheetData>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472"/>
  <sheetViews>
    <sheetView workbookViewId="0">
      <selection activeCell="J15" sqref="J15"/>
    </sheetView>
  </sheetViews>
  <sheetFormatPr defaultRowHeight="15" x14ac:dyDescent="0.25"/>
  <cols>
    <col min="9" max="9" width="30" customWidth="1"/>
    <col min="11" max="11" width="26" customWidth="1"/>
    <col min="12" max="12" width="27.85546875" customWidth="1"/>
  </cols>
  <sheetData>
    <row r="1" spans="1:26" x14ac:dyDescent="0.25">
      <c r="A1" s="8" t="s">
        <v>4511</v>
      </c>
      <c r="B1" s="8" t="s">
        <v>957</v>
      </c>
      <c r="C1" s="8" t="s">
        <v>958</v>
      </c>
      <c r="D1" s="8" t="s">
        <v>959</v>
      </c>
      <c r="E1" s="8" t="s">
        <v>960</v>
      </c>
      <c r="F1" s="8" t="s">
        <v>961</v>
      </c>
      <c r="G1" s="8" t="s">
        <v>225</v>
      </c>
      <c r="H1" s="8" t="s">
        <v>226</v>
      </c>
      <c r="I1" s="8" t="s">
        <v>227</v>
      </c>
      <c r="J1" s="8" t="s">
        <v>148</v>
      </c>
      <c r="K1" s="8" t="s">
        <v>4512</v>
      </c>
      <c r="L1" s="8" t="s">
        <v>4513</v>
      </c>
      <c r="M1" s="8" t="s">
        <v>962</v>
      </c>
      <c r="N1" s="8" t="s">
        <v>4514</v>
      </c>
      <c r="O1" s="8" t="s">
        <v>4515</v>
      </c>
      <c r="P1" s="245" t="s">
        <v>4516</v>
      </c>
      <c r="Q1" s="245" t="s">
        <v>4517</v>
      </c>
      <c r="R1" s="245" t="s">
        <v>4518</v>
      </c>
      <c r="S1" s="246" t="s">
        <v>4519</v>
      </c>
      <c r="T1" s="246" t="s">
        <v>4520</v>
      </c>
      <c r="U1" s="246" t="s">
        <v>4521</v>
      </c>
      <c r="V1" s="246" t="s">
        <v>4522</v>
      </c>
      <c r="W1" s="246" t="s">
        <v>4523</v>
      </c>
      <c r="X1" s="246" t="s">
        <v>4524</v>
      </c>
      <c r="Y1" s="246" t="s">
        <v>4525</v>
      </c>
      <c r="Z1" s="246" t="s">
        <v>4526</v>
      </c>
    </row>
    <row r="3" spans="1:26" x14ac:dyDescent="0.25">
      <c r="A3" s="8"/>
      <c r="B3" s="8" t="s">
        <v>4527</v>
      </c>
      <c r="C3" s="8" t="s">
        <v>238</v>
      </c>
      <c r="D3" s="8" t="s">
        <v>239</v>
      </c>
      <c r="E3" s="8" t="s">
        <v>4528</v>
      </c>
      <c r="F3" s="8" t="s">
        <v>4529</v>
      </c>
      <c r="G3" s="8" t="s">
        <v>4530</v>
      </c>
      <c r="H3" s="8" t="s">
        <v>4531</v>
      </c>
      <c r="I3" s="8" t="s">
        <v>242</v>
      </c>
      <c r="J3" s="8" t="s">
        <v>4527</v>
      </c>
      <c r="K3" s="8" t="s">
        <v>4532</v>
      </c>
      <c r="L3" s="8" t="s">
        <v>4533</v>
      </c>
      <c r="M3" s="8"/>
      <c r="N3" s="8"/>
      <c r="O3" s="8"/>
      <c r="P3" s="399" t="s">
        <v>4534</v>
      </c>
      <c r="Q3" s="399" t="s">
        <v>4535</v>
      </c>
      <c r="R3" s="399" t="s">
        <v>238</v>
      </c>
      <c r="S3" s="400">
        <v>37348</v>
      </c>
      <c r="T3" s="401" t="s">
        <v>4536</v>
      </c>
      <c r="U3" s="400">
        <v>37372</v>
      </c>
      <c r="V3" s="401" t="s">
        <v>242</v>
      </c>
      <c r="W3" s="401" t="s">
        <v>4537</v>
      </c>
      <c r="X3" s="401" t="s">
        <v>4538</v>
      </c>
      <c r="Y3" s="402" t="s">
        <v>4539</v>
      </c>
      <c r="Z3" s="402" t="s">
        <v>4540</v>
      </c>
    </row>
    <row r="4" spans="1:26" x14ac:dyDescent="0.25">
      <c r="A4" s="8"/>
      <c r="B4" s="8" t="s">
        <v>4527</v>
      </c>
      <c r="C4" s="8" t="s">
        <v>238</v>
      </c>
      <c r="D4" s="8" t="s">
        <v>244</v>
      </c>
      <c r="E4" s="8" t="s">
        <v>4541</v>
      </c>
      <c r="F4" s="8" t="s">
        <v>4529</v>
      </c>
      <c r="G4" s="8" t="s">
        <v>4542</v>
      </c>
      <c r="H4" s="8" t="s">
        <v>4531</v>
      </c>
      <c r="I4" s="8" t="s">
        <v>242</v>
      </c>
      <c r="J4" s="8" t="s">
        <v>4527</v>
      </c>
      <c r="K4" s="8" t="s">
        <v>4532</v>
      </c>
      <c r="L4" s="8" t="s">
        <v>4533</v>
      </c>
      <c r="M4" s="8"/>
      <c r="N4" s="8"/>
      <c r="O4" s="8"/>
      <c r="P4" s="399" t="s">
        <v>4534</v>
      </c>
      <c r="Q4" s="399" t="s">
        <v>4535</v>
      </c>
      <c r="R4" s="399" t="s">
        <v>238</v>
      </c>
      <c r="S4" s="400">
        <v>37354</v>
      </c>
      <c r="T4" s="401" t="s">
        <v>4536</v>
      </c>
      <c r="U4" s="400">
        <v>37372</v>
      </c>
      <c r="V4" s="401" t="s">
        <v>242</v>
      </c>
      <c r="W4" s="401" t="s">
        <v>4537</v>
      </c>
      <c r="X4" s="401" t="s">
        <v>4538</v>
      </c>
      <c r="Y4" s="402" t="s">
        <v>4539</v>
      </c>
      <c r="Z4" s="402" t="s">
        <v>4540</v>
      </c>
    </row>
    <row r="5" spans="1:26" x14ac:dyDescent="0.25">
      <c r="A5" s="8"/>
      <c r="B5" s="8" t="s">
        <v>4527</v>
      </c>
      <c r="C5" s="8" t="s">
        <v>238</v>
      </c>
      <c r="D5" s="8" t="s">
        <v>246</v>
      </c>
      <c r="E5" s="8" t="s">
        <v>4541</v>
      </c>
      <c r="F5" s="8" t="s">
        <v>4543</v>
      </c>
      <c r="G5" s="8" t="s">
        <v>4544</v>
      </c>
      <c r="H5" s="8" t="s">
        <v>4531</v>
      </c>
      <c r="I5" s="8" t="s">
        <v>242</v>
      </c>
      <c r="J5" s="8" t="s">
        <v>4527</v>
      </c>
      <c r="K5" s="8" t="s">
        <v>4532</v>
      </c>
      <c r="L5" s="8" t="s">
        <v>4533</v>
      </c>
      <c r="M5" s="8"/>
      <c r="N5" s="8"/>
      <c r="O5" s="8"/>
      <c r="P5" s="399" t="s">
        <v>4534</v>
      </c>
      <c r="Q5" s="399" t="s">
        <v>4535</v>
      </c>
      <c r="R5" s="399" t="s">
        <v>238</v>
      </c>
      <c r="S5" s="400">
        <v>37354</v>
      </c>
      <c r="T5" s="401" t="s">
        <v>4536</v>
      </c>
      <c r="U5" s="400">
        <v>37503</v>
      </c>
      <c r="V5" s="401" t="s">
        <v>242</v>
      </c>
      <c r="W5" s="401" t="s">
        <v>4537</v>
      </c>
      <c r="X5" s="401" t="s">
        <v>4538</v>
      </c>
      <c r="Y5" s="402" t="s">
        <v>4539</v>
      </c>
      <c r="Z5" s="402" t="s">
        <v>4540</v>
      </c>
    </row>
    <row r="6" spans="1:26" x14ac:dyDescent="0.25">
      <c r="A6" s="8"/>
      <c r="B6" s="8" t="s">
        <v>4527</v>
      </c>
      <c r="C6" s="8" t="s">
        <v>238</v>
      </c>
      <c r="D6" s="8" t="s">
        <v>248</v>
      </c>
      <c r="E6" s="8" t="s">
        <v>4545</v>
      </c>
      <c r="F6" s="8" t="s">
        <v>4546</v>
      </c>
      <c r="G6" s="8" t="s">
        <v>4547</v>
      </c>
      <c r="H6" s="8" t="s">
        <v>487</v>
      </c>
      <c r="I6" s="8" t="s">
        <v>242</v>
      </c>
      <c r="J6" s="8" t="s">
        <v>4527</v>
      </c>
      <c r="K6" s="8" t="s">
        <v>4532</v>
      </c>
      <c r="L6" s="8" t="s">
        <v>4533</v>
      </c>
      <c r="M6" s="8"/>
      <c r="N6" s="8"/>
      <c r="O6" s="8"/>
      <c r="P6" s="399" t="s">
        <v>4534</v>
      </c>
      <c r="Q6" s="399" t="s">
        <v>4535</v>
      </c>
      <c r="R6" s="399" t="s">
        <v>238</v>
      </c>
      <c r="S6" s="400">
        <v>37361</v>
      </c>
      <c r="T6" s="401" t="s">
        <v>4536</v>
      </c>
      <c r="U6" s="400">
        <v>37389</v>
      </c>
      <c r="V6" s="401" t="s">
        <v>242</v>
      </c>
      <c r="W6" s="401" t="s">
        <v>4537</v>
      </c>
      <c r="X6" s="401" t="s">
        <v>4538</v>
      </c>
      <c r="Y6" s="402" t="s">
        <v>4539</v>
      </c>
      <c r="Z6" s="402" t="s">
        <v>4540</v>
      </c>
    </row>
    <row r="7" spans="1:26" x14ac:dyDescent="0.25">
      <c r="A7" s="8"/>
      <c r="B7" s="8" t="s">
        <v>4527</v>
      </c>
      <c r="C7" s="8" t="s">
        <v>238</v>
      </c>
      <c r="D7" s="8" t="s">
        <v>251</v>
      </c>
      <c r="E7" s="8" t="s">
        <v>4548</v>
      </c>
      <c r="F7" s="8" t="s">
        <v>4546</v>
      </c>
      <c r="G7" s="8" t="s">
        <v>4549</v>
      </c>
      <c r="H7" s="8" t="s">
        <v>4550</v>
      </c>
      <c r="I7" s="8" t="s">
        <v>242</v>
      </c>
      <c r="J7" s="8" t="s">
        <v>4527</v>
      </c>
      <c r="K7" s="8" t="s">
        <v>4532</v>
      </c>
      <c r="L7" s="8" t="s">
        <v>4533</v>
      </c>
      <c r="M7" s="8"/>
      <c r="N7" s="8"/>
      <c r="O7" s="8"/>
      <c r="P7" s="399" t="s">
        <v>4534</v>
      </c>
      <c r="Q7" s="399" t="s">
        <v>4535</v>
      </c>
      <c r="R7" s="399" t="s">
        <v>238</v>
      </c>
      <c r="S7" s="400">
        <v>37364</v>
      </c>
      <c r="T7" s="401" t="s">
        <v>4536</v>
      </c>
      <c r="U7" s="400">
        <v>37389</v>
      </c>
      <c r="V7" s="401" t="s">
        <v>242</v>
      </c>
      <c r="W7" s="401" t="s">
        <v>4537</v>
      </c>
      <c r="X7" s="401" t="s">
        <v>4538</v>
      </c>
      <c r="Y7" s="402" t="s">
        <v>4539</v>
      </c>
      <c r="Z7" s="402" t="s">
        <v>4540</v>
      </c>
    </row>
    <row r="8" spans="1:26" x14ac:dyDescent="0.25">
      <c r="A8" s="8"/>
      <c r="B8" s="8" t="s">
        <v>4527</v>
      </c>
      <c r="C8" s="8" t="s">
        <v>238</v>
      </c>
      <c r="D8" s="8" t="s">
        <v>254</v>
      </c>
      <c r="E8" s="8" t="s">
        <v>4551</v>
      </c>
      <c r="F8" s="8" t="s">
        <v>4552</v>
      </c>
      <c r="G8" s="8" t="s">
        <v>4553</v>
      </c>
      <c r="H8" s="8" t="s">
        <v>256</v>
      </c>
      <c r="I8" s="8" t="s">
        <v>242</v>
      </c>
      <c r="J8" s="8" t="s">
        <v>4527</v>
      </c>
      <c r="K8" s="8" t="s">
        <v>4532</v>
      </c>
      <c r="L8" s="8" t="s">
        <v>4533</v>
      </c>
      <c r="M8" s="8"/>
      <c r="N8" s="8"/>
      <c r="O8" s="8"/>
      <c r="P8" s="399" t="s">
        <v>4534</v>
      </c>
      <c r="Q8" s="399" t="s">
        <v>4535</v>
      </c>
      <c r="R8" s="399" t="s">
        <v>238</v>
      </c>
      <c r="S8" s="400">
        <v>37381</v>
      </c>
      <c r="T8" s="401" t="s">
        <v>4536</v>
      </c>
      <c r="U8" s="400">
        <v>37433</v>
      </c>
      <c r="V8" s="401" t="s">
        <v>242</v>
      </c>
      <c r="W8" s="401" t="s">
        <v>4537</v>
      </c>
      <c r="X8" s="401" t="s">
        <v>4538</v>
      </c>
      <c r="Y8" s="402" t="s">
        <v>4539</v>
      </c>
      <c r="Z8" s="402" t="s">
        <v>4540</v>
      </c>
    </row>
    <row r="9" spans="1:26" x14ac:dyDescent="0.25">
      <c r="A9" s="8"/>
      <c r="B9" s="8" t="s">
        <v>4527</v>
      </c>
      <c r="C9" s="8" t="s">
        <v>238</v>
      </c>
      <c r="D9" s="8" t="s">
        <v>257</v>
      </c>
      <c r="E9" s="8" t="s">
        <v>4554</v>
      </c>
      <c r="F9" s="8" t="s">
        <v>4546</v>
      </c>
      <c r="G9" s="8" t="s">
        <v>610</v>
      </c>
      <c r="H9" s="8" t="s">
        <v>611</v>
      </c>
      <c r="I9" s="8" t="s">
        <v>242</v>
      </c>
      <c r="J9" s="8" t="s">
        <v>4527</v>
      </c>
      <c r="K9" s="8" t="s">
        <v>4532</v>
      </c>
      <c r="L9" s="8" t="s">
        <v>4533</v>
      </c>
      <c r="M9" s="8"/>
      <c r="N9" s="8"/>
      <c r="O9" s="8"/>
      <c r="P9" s="399" t="s">
        <v>4534</v>
      </c>
      <c r="Q9" s="399" t="s">
        <v>4535</v>
      </c>
      <c r="R9" s="399" t="s">
        <v>238</v>
      </c>
      <c r="S9" s="400">
        <v>37384</v>
      </c>
      <c r="T9" s="401" t="s">
        <v>4536</v>
      </c>
      <c r="U9" s="400">
        <v>37389</v>
      </c>
      <c r="V9" s="401" t="s">
        <v>242</v>
      </c>
      <c r="W9" s="401" t="s">
        <v>4537</v>
      </c>
      <c r="X9" s="401" t="s">
        <v>4538</v>
      </c>
      <c r="Y9" s="402" t="s">
        <v>4539</v>
      </c>
      <c r="Z9" s="402" t="s">
        <v>4540</v>
      </c>
    </row>
    <row r="10" spans="1:26" x14ac:dyDescent="0.25">
      <c r="A10" s="8"/>
      <c r="B10" s="8" t="s">
        <v>4527</v>
      </c>
      <c r="C10" s="8" t="s">
        <v>238</v>
      </c>
      <c r="D10" s="8" t="s">
        <v>260</v>
      </c>
      <c r="E10" s="8" t="s">
        <v>4555</v>
      </c>
      <c r="F10" s="8" t="s">
        <v>4556</v>
      </c>
      <c r="G10" s="8" t="s">
        <v>4557</v>
      </c>
      <c r="H10" s="8" t="s">
        <v>256</v>
      </c>
      <c r="I10" s="8" t="s">
        <v>242</v>
      </c>
      <c r="J10" s="8" t="s">
        <v>4527</v>
      </c>
      <c r="K10" s="8" t="s">
        <v>4532</v>
      </c>
      <c r="L10" s="8" t="s">
        <v>4533</v>
      </c>
      <c r="M10" s="8"/>
      <c r="N10" s="8"/>
      <c r="O10" s="8"/>
      <c r="P10" s="399" t="s">
        <v>4534</v>
      </c>
      <c r="Q10" s="399" t="s">
        <v>4535</v>
      </c>
      <c r="R10" s="399" t="s">
        <v>238</v>
      </c>
      <c r="S10" s="400">
        <v>37425</v>
      </c>
      <c r="T10" s="401" t="s">
        <v>4536</v>
      </c>
      <c r="U10" s="400">
        <v>37484</v>
      </c>
      <c r="V10" s="401" t="s">
        <v>242</v>
      </c>
      <c r="W10" s="401" t="s">
        <v>4537</v>
      </c>
      <c r="X10" s="401" t="s">
        <v>4538</v>
      </c>
      <c r="Y10" s="402" t="s">
        <v>4539</v>
      </c>
      <c r="Z10" s="402" t="s">
        <v>4540</v>
      </c>
    </row>
    <row r="11" spans="1:26" x14ac:dyDescent="0.25">
      <c r="A11" s="8"/>
      <c r="B11" s="8" t="s">
        <v>4527</v>
      </c>
      <c r="C11" s="8" t="s">
        <v>238</v>
      </c>
      <c r="D11" s="8" t="s">
        <v>262</v>
      </c>
      <c r="E11" s="8" t="s">
        <v>4558</v>
      </c>
      <c r="F11" s="8" t="s">
        <v>4559</v>
      </c>
      <c r="G11" s="8" t="s">
        <v>4560</v>
      </c>
      <c r="H11" s="8" t="s">
        <v>256</v>
      </c>
      <c r="I11" s="8" t="s">
        <v>242</v>
      </c>
      <c r="J11" s="8" t="s">
        <v>4527</v>
      </c>
      <c r="K11" s="8" t="s">
        <v>4532</v>
      </c>
      <c r="L11" s="8" t="s">
        <v>4533</v>
      </c>
      <c r="M11" s="8"/>
      <c r="N11" s="8"/>
      <c r="O11" s="8"/>
      <c r="P11" s="399" t="s">
        <v>4534</v>
      </c>
      <c r="Q11" s="399" t="s">
        <v>4535</v>
      </c>
      <c r="R11" s="399" t="s">
        <v>238</v>
      </c>
      <c r="S11" s="400">
        <v>37496</v>
      </c>
      <c r="T11" s="401" t="s">
        <v>4536</v>
      </c>
      <c r="U11" s="400">
        <v>37525</v>
      </c>
      <c r="V11" s="401" t="s">
        <v>242</v>
      </c>
      <c r="W11" s="401" t="s">
        <v>4537</v>
      </c>
      <c r="X11" s="401" t="s">
        <v>4538</v>
      </c>
      <c r="Y11" s="402" t="s">
        <v>4539</v>
      </c>
      <c r="Z11" s="402" t="s">
        <v>4540</v>
      </c>
    </row>
    <row r="12" spans="1:26" x14ac:dyDescent="0.25">
      <c r="A12" s="8"/>
      <c r="B12" s="8" t="s">
        <v>4527</v>
      </c>
      <c r="C12" s="8" t="s">
        <v>238</v>
      </c>
      <c r="D12" s="8" t="s">
        <v>264</v>
      </c>
      <c r="E12" s="8" t="s">
        <v>4561</v>
      </c>
      <c r="F12" s="8" t="s">
        <v>4562</v>
      </c>
      <c r="G12" s="8" t="s">
        <v>265</v>
      </c>
      <c r="H12" s="8" t="s">
        <v>4563</v>
      </c>
      <c r="I12" s="8" t="s">
        <v>242</v>
      </c>
      <c r="J12" s="8" t="s">
        <v>4527</v>
      </c>
      <c r="K12" s="8" t="s">
        <v>4532</v>
      </c>
      <c r="L12" s="8" t="s">
        <v>4533</v>
      </c>
      <c r="M12" s="8"/>
      <c r="N12" s="8"/>
      <c r="O12" s="8"/>
      <c r="P12" s="399" t="s">
        <v>4534</v>
      </c>
      <c r="Q12" s="399" t="s">
        <v>4535</v>
      </c>
      <c r="R12" s="399" t="s">
        <v>238</v>
      </c>
      <c r="S12" s="400">
        <v>38000</v>
      </c>
      <c r="T12" s="401" t="s">
        <v>4536</v>
      </c>
      <c r="U12" s="400">
        <v>38029</v>
      </c>
      <c r="V12" s="401" t="s">
        <v>242</v>
      </c>
      <c r="W12" s="401" t="s">
        <v>4537</v>
      </c>
      <c r="X12" s="401" t="s">
        <v>4538</v>
      </c>
      <c r="Y12" s="402" t="s">
        <v>4539</v>
      </c>
      <c r="Z12" s="402" t="s">
        <v>4540</v>
      </c>
    </row>
    <row r="13" spans="1:26" x14ac:dyDescent="0.25">
      <c r="A13" s="8"/>
      <c r="B13" s="8" t="s">
        <v>4527</v>
      </c>
      <c r="C13" s="8" t="s">
        <v>238</v>
      </c>
      <c r="D13" s="8" t="s">
        <v>267</v>
      </c>
      <c r="E13" s="8" t="s">
        <v>4564</v>
      </c>
      <c r="F13" s="8" t="s">
        <v>4562</v>
      </c>
      <c r="G13" s="8" t="s">
        <v>4565</v>
      </c>
      <c r="H13" s="8" t="s">
        <v>4563</v>
      </c>
      <c r="I13" s="8" t="s">
        <v>242</v>
      </c>
      <c r="J13" s="8" t="s">
        <v>4527</v>
      </c>
      <c r="K13" s="8" t="s">
        <v>4532</v>
      </c>
      <c r="L13" s="8" t="s">
        <v>4533</v>
      </c>
      <c r="M13" s="8"/>
      <c r="N13" s="8"/>
      <c r="O13" s="8"/>
      <c r="P13" s="399" t="s">
        <v>4534</v>
      </c>
      <c r="Q13" s="399" t="s">
        <v>4535</v>
      </c>
      <c r="R13" s="399" t="s">
        <v>238</v>
      </c>
      <c r="S13" s="400">
        <v>38007</v>
      </c>
      <c r="T13" s="401" t="s">
        <v>4536</v>
      </c>
      <c r="U13" s="400">
        <v>38029</v>
      </c>
      <c r="V13" s="401" t="s">
        <v>242</v>
      </c>
      <c r="W13" s="401" t="s">
        <v>4537</v>
      </c>
      <c r="X13" s="401" t="s">
        <v>4538</v>
      </c>
      <c r="Y13" s="402" t="s">
        <v>4539</v>
      </c>
      <c r="Z13" s="402" t="s">
        <v>4540</v>
      </c>
    </row>
    <row r="14" spans="1:26" x14ac:dyDescent="0.25">
      <c r="A14" s="8"/>
      <c r="B14" s="8" t="s">
        <v>4527</v>
      </c>
      <c r="C14" s="8" t="s">
        <v>238</v>
      </c>
      <c r="D14" s="8" t="s">
        <v>269</v>
      </c>
      <c r="E14" s="8" t="s">
        <v>4566</v>
      </c>
      <c r="F14" s="8" t="s">
        <v>4567</v>
      </c>
      <c r="G14" s="8" t="s">
        <v>4568</v>
      </c>
      <c r="H14" s="8" t="s">
        <v>4563</v>
      </c>
      <c r="I14" s="8" t="s">
        <v>242</v>
      </c>
      <c r="J14" s="8" t="s">
        <v>4527</v>
      </c>
      <c r="K14" s="8" t="s">
        <v>4532</v>
      </c>
      <c r="L14" s="8" t="s">
        <v>4533</v>
      </c>
      <c r="M14" s="8"/>
      <c r="N14" s="8"/>
      <c r="O14" s="8"/>
      <c r="P14" s="399" t="s">
        <v>4534</v>
      </c>
      <c r="Q14" s="399" t="s">
        <v>4535</v>
      </c>
      <c r="R14" s="399" t="s">
        <v>238</v>
      </c>
      <c r="S14" s="400">
        <v>38023</v>
      </c>
      <c r="T14" s="401" t="s">
        <v>4536</v>
      </c>
      <c r="U14" s="400">
        <v>38049</v>
      </c>
      <c r="V14" s="401" t="s">
        <v>242</v>
      </c>
      <c r="W14" s="401" t="s">
        <v>4537</v>
      </c>
      <c r="X14" s="401" t="s">
        <v>4538</v>
      </c>
      <c r="Y14" s="402" t="s">
        <v>4539</v>
      </c>
      <c r="Z14" s="402" t="s">
        <v>4540</v>
      </c>
    </row>
    <row r="15" spans="1:26" x14ac:dyDescent="0.25">
      <c r="A15" s="8"/>
      <c r="B15" s="8" t="s">
        <v>4527</v>
      </c>
      <c r="C15" s="8" t="s">
        <v>238</v>
      </c>
      <c r="D15" s="8" t="s">
        <v>271</v>
      </c>
      <c r="E15" s="8" t="s">
        <v>4569</v>
      </c>
      <c r="F15" s="8" t="s">
        <v>4570</v>
      </c>
      <c r="G15" s="8" t="s">
        <v>272</v>
      </c>
      <c r="H15" s="8" t="s">
        <v>4563</v>
      </c>
      <c r="I15" s="8" t="s">
        <v>242</v>
      </c>
      <c r="J15" s="8" t="s">
        <v>4527</v>
      </c>
      <c r="K15" s="8" t="s">
        <v>4532</v>
      </c>
      <c r="L15" s="8" t="s">
        <v>4533</v>
      </c>
      <c r="M15" s="8"/>
      <c r="N15" s="8"/>
      <c r="O15" s="8"/>
      <c r="P15" s="399" t="s">
        <v>4534</v>
      </c>
      <c r="Q15" s="399" t="s">
        <v>4535</v>
      </c>
      <c r="R15" s="399" t="s">
        <v>238</v>
      </c>
      <c r="S15" s="400">
        <v>38026</v>
      </c>
      <c r="T15" s="401" t="s">
        <v>4536</v>
      </c>
      <c r="U15" s="400">
        <v>38027</v>
      </c>
      <c r="V15" s="401" t="s">
        <v>242</v>
      </c>
      <c r="W15" s="401" t="s">
        <v>4537</v>
      </c>
      <c r="X15" s="401" t="s">
        <v>4538</v>
      </c>
      <c r="Y15" s="402" t="s">
        <v>4539</v>
      </c>
      <c r="Z15" s="402" t="s">
        <v>4540</v>
      </c>
    </row>
    <row r="16" spans="1:26" x14ac:dyDescent="0.25">
      <c r="A16" s="8"/>
      <c r="B16" s="8" t="s">
        <v>4527</v>
      </c>
      <c r="C16" s="8" t="s">
        <v>238</v>
      </c>
      <c r="D16" s="8" t="s">
        <v>273</v>
      </c>
      <c r="E16" s="8" t="s">
        <v>4571</v>
      </c>
      <c r="F16" s="8" t="s">
        <v>4572</v>
      </c>
      <c r="G16" s="8" t="s">
        <v>274</v>
      </c>
      <c r="H16" s="8" t="s">
        <v>487</v>
      </c>
      <c r="I16" s="8" t="s">
        <v>242</v>
      </c>
      <c r="J16" s="8" t="s">
        <v>4527</v>
      </c>
      <c r="K16" s="8" t="s">
        <v>4532</v>
      </c>
      <c r="L16" s="8" t="s">
        <v>4533</v>
      </c>
      <c r="M16" s="8"/>
      <c r="N16" s="8"/>
      <c r="O16" s="8"/>
      <c r="P16" s="399" t="s">
        <v>4534</v>
      </c>
      <c r="Q16" s="399" t="s">
        <v>4535</v>
      </c>
      <c r="R16" s="399" t="s">
        <v>238</v>
      </c>
      <c r="S16" s="400">
        <v>38441</v>
      </c>
      <c r="T16" s="401" t="s">
        <v>4536</v>
      </c>
      <c r="U16" s="400">
        <v>38504</v>
      </c>
      <c r="V16" s="401" t="s">
        <v>242</v>
      </c>
      <c r="W16" s="401" t="s">
        <v>4537</v>
      </c>
      <c r="X16" s="401" t="s">
        <v>4538</v>
      </c>
      <c r="Y16" s="402" t="s">
        <v>4539</v>
      </c>
      <c r="Z16" s="402" t="s">
        <v>4540</v>
      </c>
    </row>
    <row r="17" spans="1:26" x14ac:dyDescent="0.25">
      <c r="A17" s="8"/>
      <c r="B17" s="8" t="s">
        <v>4527</v>
      </c>
      <c r="C17" s="8" t="s">
        <v>238</v>
      </c>
      <c r="D17" s="8" t="s">
        <v>275</v>
      </c>
      <c r="E17" s="8" t="s">
        <v>4573</v>
      </c>
      <c r="F17" s="8" t="s">
        <v>4574</v>
      </c>
      <c r="G17" s="8" t="s">
        <v>4575</v>
      </c>
      <c r="H17" s="8" t="s">
        <v>4531</v>
      </c>
      <c r="I17" s="8" t="s">
        <v>242</v>
      </c>
      <c r="J17" s="8" t="s">
        <v>4527</v>
      </c>
      <c r="K17" s="8" t="s">
        <v>4532</v>
      </c>
      <c r="L17" s="8" t="s">
        <v>4533</v>
      </c>
      <c r="M17" s="8"/>
      <c r="N17" s="8"/>
      <c r="O17" s="8"/>
      <c r="P17" s="399" t="s">
        <v>4534</v>
      </c>
      <c r="Q17" s="399" t="s">
        <v>4535</v>
      </c>
      <c r="R17" s="399" t="s">
        <v>238</v>
      </c>
      <c r="S17" s="400">
        <v>38468</v>
      </c>
      <c r="T17" s="401" t="s">
        <v>4536</v>
      </c>
      <c r="U17" s="400">
        <v>38551</v>
      </c>
      <c r="V17" s="401" t="s">
        <v>242</v>
      </c>
      <c r="W17" s="401" t="s">
        <v>4537</v>
      </c>
      <c r="X17" s="401" t="s">
        <v>4538</v>
      </c>
      <c r="Y17" s="402" t="s">
        <v>4539</v>
      </c>
      <c r="Z17" s="402" t="s">
        <v>4540</v>
      </c>
    </row>
    <row r="18" spans="1:26" x14ac:dyDescent="0.25">
      <c r="A18" s="8"/>
      <c r="B18" s="8" t="s">
        <v>4527</v>
      </c>
      <c r="C18" s="8" t="s">
        <v>238</v>
      </c>
      <c r="D18" s="8" t="s">
        <v>277</v>
      </c>
      <c r="E18" s="8" t="s">
        <v>4576</v>
      </c>
      <c r="F18" s="8" t="s">
        <v>4577</v>
      </c>
      <c r="G18" s="8" t="s">
        <v>4578</v>
      </c>
      <c r="H18" s="8" t="s">
        <v>487</v>
      </c>
      <c r="I18" s="8" t="s">
        <v>242</v>
      </c>
      <c r="J18" s="8" t="s">
        <v>4527</v>
      </c>
      <c r="K18" s="8" t="s">
        <v>4532</v>
      </c>
      <c r="L18" s="8" t="s">
        <v>4533</v>
      </c>
      <c r="M18" s="8"/>
      <c r="N18" s="8"/>
      <c r="O18" s="8"/>
      <c r="P18" s="399" t="s">
        <v>4534</v>
      </c>
      <c r="Q18" s="399" t="s">
        <v>4535</v>
      </c>
      <c r="R18" s="399" t="s">
        <v>238</v>
      </c>
      <c r="S18" s="400">
        <v>38482</v>
      </c>
      <c r="T18" s="401" t="s">
        <v>4536</v>
      </c>
      <c r="U18" s="400">
        <v>38541</v>
      </c>
      <c r="V18" s="401" t="s">
        <v>242</v>
      </c>
      <c r="W18" s="401" t="s">
        <v>4537</v>
      </c>
      <c r="X18" s="401" t="s">
        <v>4538</v>
      </c>
      <c r="Y18" s="402" t="s">
        <v>4539</v>
      </c>
      <c r="Z18" s="402" t="s">
        <v>4540</v>
      </c>
    </row>
    <row r="19" spans="1:26" x14ac:dyDescent="0.25">
      <c r="A19" s="8"/>
      <c r="B19" s="8" t="s">
        <v>4527</v>
      </c>
      <c r="C19" s="8" t="s">
        <v>238</v>
      </c>
      <c r="D19" s="8" t="s">
        <v>279</v>
      </c>
      <c r="E19" s="8" t="s">
        <v>4579</v>
      </c>
      <c r="F19" s="8" t="s">
        <v>4580</v>
      </c>
      <c r="G19" s="8" t="s">
        <v>4581</v>
      </c>
      <c r="H19" s="8" t="s">
        <v>755</v>
      </c>
      <c r="I19" s="8" t="s">
        <v>242</v>
      </c>
      <c r="J19" s="8" t="s">
        <v>4527</v>
      </c>
      <c r="K19" s="8" t="s">
        <v>4532</v>
      </c>
      <c r="L19" s="8" t="s">
        <v>4533</v>
      </c>
      <c r="M19" s="8"/>
      <c r="N19" s="8"/>
      <c r="O19" s="8"/>
      <c r="P19" s="399" t="s">
        <v>4534</v>
      </c>
      <c r="Q19" s="399" t="s">
        <v>4535</v>
      </c>
      <c r="R19" s="399" t="s">
        <v>238</v>
      </c>
      <c r="S19" s="400">
        <v>38621</v>
      </c>
      <c r="T19" s="401" t="s">
        <v>4536</v>
      </c>
      <c r="U19" s="400">
        <v>38709</v>
      </c>
      <c r="V19" s="401" t="s">
        <v>242</v>
      </c>
      <c r="W19" s="401" t="s">
        <v>4537</v>
      </c>
      <c r="X19" s="401" t="s">
        <v>4538</v>
      </c>
      <c r="Y19" s="402" t="s">
        <v>4539</v>
      </c>
      <c r="Z19" s="402" t="s">
        <v>4540</v>
      </c>
    </row>
    <row r="20" spans="1:26" x14ac:dyDescent="0.25">
      <c r="A20" s="8"/>
      <c r="B20" s="8" t="s">
        <v>4527</v>
      </c>
      <c r="C20" s="8" t="s">
        <v>238</v>
      </c>
      <c r="D20" s="8" t="s">
        <v>282</v>
      </c>
      <c r="E20" s="8" t="s">
        <v>4582</v>
      </c>
      <c r="F20" s="8" t="s">
        <v>4583</v>
      </c>
      <c r="G20" s="8" t="s">
        <v>4584</v>
      </c>
      <c r="H20" s="8" t="s">
        <v>284</v>
      </c>
      <c r="I20" s="8" t="s">
        <v>242</v>
      </c>
      <c r="J20" s="8" t="s">
        <v>4527</v>
      </c>
      <c r="K20" s="8" t="s">
        <v>4532</v>
      </c>
      <c r="L20" s="8" t="s">
        <v>4533</v>
      </c>
      <c r="M20" s="8"/>
      <c r="N20" s="8"/>
      <c r="O20" s="8"/>
      <c r="P20" s="399" t="s">
        <v>4534</v>
      </c>
      <c r="Q20" s="399" t="s">
        <v>4535</v>
      </c>
      <c r="R20" s="399" t="s">
        <v>238</v>
      </c>
      <c r="S20" s="400">
        <v>38636</v>
      </c>
      <c r="T20" s="401" t="s">
        <v>4536</v>
      </c>
      <c r="U20" s="400">
        <v>38701</v>
      </c>
      <c r="V20" s="401" t="s">
        <v>242</v>
      </c>
      <c r="W20" s="401" t="s">
        <v>4537</v>
      </c>
      <c r="X20" s="401" t="s">
        <v>4538</v>
      </c>
      <c r="Y20" s="402" t="s">
        <v>4539</v>
      </c>
      <c r="Z20" s="402" t="s">
        <v>4540</v>
      </c>
    </row>
    <row r="21" spans="1:26" x14ac:dyDescent="0.25">
      <c r="A21" s="8"/>
      <c r="B21" s="8" t="s">
        <v>4527</v>
      </c>
      <c r="C21" s="8" t="s">
        <v>238</v>
      </c>
      <c r="D21" s="8" t="s">
        <v>285</v>
      </c>
      <c r="E21" s="8" t="s">
        <v>4582</v>
      </c>
      <c r="F21" s="8" t="s">
        <v>4583</v>
      </c>
      <c r="G21" s="8" t="s">
        <v>286</v>
      </c>
      <c r="H21" s="8" t="s">
        <v>284</v>
      </c>
      <c r="I21" s="8" t="s">
        <v>242</v>
      </c>
      <c r="J21" s="8" t="s">
        <v>4527</v>
      </c>
      <c r="K21" s="8" t="s">
        <v>4532</v>
      </c>
      <c r="L21" s="8" t="s">
        <v>4533</v>
      </c>
      <c r="M21" s="8"/>
      <c r="N21" s="8"/>
      <c r="O21" s="8"/>
      <c r="P21" s="399" t="s">
        <v>4534</v>
      </c>
      <c r="Q21" s="399" t="s">
        <v>4535</v>
      </c>
      <c r="R21" s="399" t="s">
        <v>238</v>
      </c>
      <c r="S21" s="400">
        <v>38636</v>
      </c>
      <c r="T21" s="401" t="s">
        <v>4536</v>
      </c>
      <c r="U21" s="400">
        <v>38701</v>
      </c>
      <c r="V21" s="401" t="s">
        <v>242</v>
      </c>
      <c r="W21" s="401" t="s">
        <v>4537</v>
      </c>
      <c r="X21" s="401" t="s">
        <v>4538</v>
      </c>
      <c r="Y21" s="402" t="s">
        <v>4539</v>
      </c>
      <c r="Z21" s="402" t="s">
        <v>4540</v>
      </c>
    </row>
    <row r="22" spans="1:26" x14ac:dyDescent="0.25">
      <c r="A22" s="8"/>
      <c r="B22" s="8" t="s">
        <v>4527</v>
      </c>
      <c r="C22" s="8" t="s">
        <v>238</v>
      </c>
      <c r="D22" s="8" t="s">
        <v>287</v>
      </c>
      <c r="E22" s="8" t="s">
        <v>4585</v>
      </c>
      <c r="F22" s="8" t="s">
        <v>4583</v>
      </c>
      <c r="G22" s="8" t="s">
        <v>288</v>
      </c>
      <c r="H22" s="8" t="s">
        <v>284</v>
      </c>
      <c r="I22" s="8" t="s">
        <v>242</v>
      </c>
      <c r="J22" s="8" t="s">
        <v>4527</v>
      </c>
      <c r="K22" s="8" t="s">
        <v>4532</v>
      </c>
      <c r="L22" s="8" t="s">
        <v>4533</v>
      </c>
      <c r="M22" s="8"/>
      <c r="N22" s="8"/>
      <c r="O22" s="8"/>
      <c r="P22" s="399" t="s">
        <v>4534</v>
      </c>
      <c r="Q22" s="399" t="s">
        <v>4535</v>
      </c>
      <c r="R22" s="399" t="s">
        <v>238</v>
      </c>
      <c r="S22" s="400">
        <v>38637</v>
      </c>
      <c r="T22" s="401" t="s">
        <v>4536</v>
      </c>
      <c r="U22" s="400">
        <v>38701</v>
      </c>
      <c r="V22" s="401" t="s">
        <v>242</v>
      </c>
      <c r="W22" s="401" t="s">
        <v>4537</v>
      </c>
      <c r="X22" s="401" t="s">
        <v>4538</v>
      </c>
      <c r="Y22" s="402" t="s">
        <v>4539</v>
      </c>
      <c r="Z22" s="402" t="s">
        <v>4540</v>
      </c>
    </row>
    <row r="23" spans="1:26" x14ac:dyDescent="0.25">
      <c r="A23" s="8"/>
      <c r="B23" s="8" t="s">
        <v>4527</v>
      </c>
      <c r="C23" s="8" t="s">
        <v>238</v>
      </c>
      <c r="D23" s="8" t="s">
        <v>289</v>
      </c>
      <c r="E23" s="8" t="s">
        <v>4586</v>
      </c>
      <c r="F23" s="8" t="s">
        <v>4587</v>
      </c>
      <c r="G23" s="8" t="s">
        <v>4547</v>
      </c>
      <c r="H23" s="8" t="s">
        <v>756</v>
      </c>
      <c r="I23" s="8" t="s">
        <v>242</v>
      </c>
      <c r="J23" s="8" t="s">
        <v>4527</v>
      </c>
      <c r="K23" s="8" t="s">
        <v>4532</v>
      </c>
      <c r="L23" s="8" t="s">
        <v>4533</v>
      </c>
      <c r="M23" s="8"/>
      <c r="N23" s="8"/>
      <c r="O23" s="8"/>
      <c r="P23" s="399" t="s">
        <v>4534</v>
      </c>
      <c r="Q23" s="399" t="s">
        <v>4535</v>
      </c>
      <c r="R23" s="399" t="s">
        <v>238</v>
      </c>
      <c r="S23" s="400">
        <v>38658</v>
      </c>
      <c r="T23" s="401" t="s">
        <v>4536</v>
      </c>
      <c r="U23" s="400">
        <v>38754</v>
      </c>
      <c r="V23" s="401" t="s">
        <v>242</v>
      </c>
      <c r="W23" s="401" t="s">
        <v>4537</v>
      </c>
      <c r="X23" s="401" t="s">
        <v>4538</v>
      </c>
      <c r="Y23" s="402" t="s">
        <v>4539</v>
      </c>
      <c r="Z23" s="402" t="s">
        <v>4540</v>
      </c>
    </row>
    <row r="24" spans="1:26" x14ac:dyDescent="0.25">
      <c r="A24" s="8"/>
      <c r="B24" s="8" t="s">
        <v>4527</v>
      </c>
      <c r="C24" s="8" t="s">
        <v>238</v>
      </c>
      <c r="D24" s="8" t="s">
        <v>291</v>
      </c>
      <c r="E24" s="8" t="s">
        <v>4588</v>
      </c>
      <c r="F24" s="8" t="s">
        <v>4583</v>
      </c>
      <c r="G24" s="8" t="s">
        <v>292</v>
      </c>
      <c r="H24" s="8" t="s">
        <v>284</v>
      </c>
      <c r="I24" s="8" t="s">
        <v>242</v>
      </c>
      <c r="J24" s="8" t="s">
        <v>4527</v>
      </c>
      <c r="K24" s="8" t="s">
        <v>4532</v>
      </c>
      <c r="L24" s="8" t="s">
        <v>4533</v>
      </c>
      <c r="M24" s="8"/>
      <c r="N24" s="8"/>
      <c r="O24" s="8"/>
      <c r="P24" s="399" t="s">
        <v>4534</v>
      </c>
      <c r="Q24" s="399" t="s">
        <v>4535</v>
      </c>
      <c r="R24" s="399" t="s">
        <v>238</v>
      </c>
      <c r="S24" s="400">
        <v>38671</v>
      </c>
      <c r="T24" s="401" t="s">
        <v>4536</v>
      </c>
      <c r="U24" s="400">
        <v>38701</v>
      </c>
      <c r="V24" s="401" t="s">
        <v>242</v>
      </c>
      <c r="W24" s="401" t="s">
        <v>4537</v>
      </c>
      <c r="X24" s="401" t="s">
        <v>4538</v>
      </c>
      <c r="Y24" s="402" t="s">
        <v>4539</v>
      </c>
      <c r="Z24" s="402" t="s">
        <v>4540</v>
      </c>
    </row>
    <row r="25" spans="1:26" x14ac:dyDescent="0.25">
      <c r="A25" s="8"/>
      <c r="B25" s="8" t="s">
        <v>4527</v>
      </c>
      <c r="C25" s="8" t="s">
        <v>238</v>
      </c>
      <c r="D25" s="8" t="s">
        <v>293</v>
      </c>
      <c r="E25" s="8" t="s">
        <v>4589</v>
      </c>
      <c r="F25" s="8" t="s">
        <v>4587</v>
      </c>
      <c r="G25" s="8" t="s">
        <v>4590</v>
      </c>
      <c r="H25" s="8" t="s">
        <v>756</v>
      </c>
      <c r="I25" s="8" t="s">
        <v>242</v>
      </c>
      <c r="J25" s="8" t="s">
        <v>4527</v>
      </c>
      <c r="K25" s="8" t="s">
        <v>4532</v>
      </c>
      <c r="L25" s="8" t="s">
        <v>4533</v>
      </c>
      <c r="M25" s="8"/>
      <c r="N25" s="8"/>
      <c r="O25" s="8"/>
      <c r="P25" s="399" t="s">
        <v>4534</v>
      </c>
      <c r="Q25" s="399" t="s">
        <v>4535</v>
      </c>
      <c r="R25" s="399" t="s">
        <v>238</v>
      </c>
      <c r="S25" s="400">
        <v>38694</v>
      </c>
      <c r="T25" s="401" t="s">
        <v>4536</v>
      </c>
      <c r="U25" s="400">
        <v>38754</v>
      </c>
      <c r="V25" s="401" t="s">
        <v>242</v>
      </c>
      <c r="W25" s="401" t="s">
        <v>4537</v>
      </c>
      <c r="X25" s="401" t="s">
        <v>4538</v>
      </c>
      <c r="Y25" s="402" t="s">
        <v>4539</v>
      </c>
      <c r="Z25" s="402" t="s">
        <v>4540</v>
      </c>
    </row>
    <row r="26" spans="1:26" x14ac:dyDescent="0.25">
      <c r="A26" s="8"/>
      <c r="B26" s="8" t="s">
        <v>4527</v>
      </c>
      <c r="C26" s="8" t="s">
        <v>238</v>
      </c>
      <c r="D26" s="8" t="s">
        <v>295</v>
      </c>
      <c r="E26" s="8" t="s">
        <v>4580</v>
      </c>
      <c r="F26" s="8" t="s">
        <v>4591</v>
      </c>
      <c r="G26" s="8" t="s">
        <v>4530</v>
      </c>
      <c r="H26" s="8" t="s">
        <v>3192</v>
      </c>
      <c r="I26" s="8" t="s">
        <v>242</v>
      </c>
      <c r="J26" s="8" t="s">
        <v>4527</v>
      </c>
      <c r="K26" s="8" t="s">
        <v>4532</v>
      </c>
      <c r="L26" s="8" t="s">
        <v>4533</v>
      </c>
      <c r="M26" s="8"/>
      <c r="N26" s="8"/>
      <c r="O26" s="8"/>
      <c r="P26" s="399" t="s">
        <v>4534</v>
      </c>
      <c r="Q26" s="399" t="s">
        <v>4535</v>
      </c>
      <c r="R26" s="399" t="s">
        <v>238</v>
      </c>
      <c r="S26" s="400">
        <v>38709</v>
      </c>
      <c r="T26" s="401" t="s">
        <v>4536</v>
      </c>
      <c r="U26" s="400">
        <v>38733</v>
      </c>
      <c r="V26" s="401" t="s">
        <v>242</v>
      </c>
      <c r="W26" s="401" t="s">
        <v>4537</v>
      </c>
      <c r="X26" s="401" t="s">
        <v>4538</v>
      </c>
      <c r="Y26" s="402" t="s">
        <v>4539</v>
      </c>
      <c r="Z26" s="402" t="s">
        <v>4540</v>
      </c>
    </row>
    <row r="27" spans="1:26" x14ac:dyDescent="0.25">
      <c r="A27" s="8"/>
      <c r="B27" s="8" t="s">
        <v>4527</v>
      </c>
      <c r="C27" s="8" t="s">
        <v>238</v>
      </c>
      <c r="D27" s="8" t="s">
        <v>297</v>
      </c>
      <c r="E27" s="8" t="s">
        <v>4592</v>
      </c>
      <c r="F27" s="8" t="s">
        <v>4593</v>
      </c>
      <c r="G27" s="8" t="s">
        <v>298</v>
      </c>
      <c r="H27" s="8" t="s">
        <v>3567</v>
      </c>
      <c r="I27" s="8" t="s">
        <v>242</v>
      </c>
      <c r="J27" s="8" t="s">
        <v>4527</v>
      </c>
      <c r="K27" s="8" t="s">
        <v>4532</v>
      </c>
      <c r="L27" s="8" t="s">
        <v>4533</v>
      </c>
      <c r="M27" s="8"/>
      <c r="N27" s="8"/>
      <c r="O27" s="8"/>
      <c r="P27" s="399" t="s">
        <v>4534</v>
      </c>
      <c r="Q27" s="399" t="s">
        <v>4535</v>
      </c>
      <c r="R27" s="399" t="s">
        <v>238</v>
      </c>
      <c r="S27" s="400">
        <v>38726</v>
      </c>
      <c r="T27" s="401" t="s">
        <v>4536</v>
      </c>
      <c r="U27" s="400">
        <v>38742</v>
      </c>
      <c r="V27" s="401" t="s">
        <v>242</v>
      </c>
      <c r="W27" s="401" t="s">
        <v>4537</v>
      </c>
      <c r="X27" s="401" t="s">
        <v>4538</v>
      </c>
      <c r="Y27" s="402" t="s">
        <v>4539</v>
      </c>
      <c r="Z27" s="402" t="s">
        <v>4540</v>
      </c>
    </row>
    <row r="28" spans="1:26" x14ac:dyDescent="0.25">
      <c r="A28" s="8"/>
      <c r="B28" s="8" t="s">
        <v>4527</v>
      </c>
      <c r="C28" s="8" t="s">
        <v>238</v>
      </c>
      <c r="D28" s="8" t="s">
        <v>300</v>
      </c>
      <c r="E28" s="8" t="s">
        <v>4591</v>
      </c>
      <c r="F28" s="8" t="s">
        <v>4594</v>
      </c>
      <c r="G28" s="8" t="s">
        <v>4595</v>
      </c>
      <c r="H28" s="8" t="s">
        <v>3241</v>
      </c>
      <c r="I28" s="8" t="s">
        <v>242</v>
      </c>
      <c r="J28" s="8" t="s">
        <v>4527</v>
      </c>
      <c r="K28" s="8" t="s">
        <v>4532</v>
      </c>
      <c r="L28" s="8" t="s">
        <v>4533</v>
      </c>
      <c r="M28" s="8"/>
      <c r="N28" s="8"/>
      <c r="O28" s="8"/>
      <c r="P28" s="399" t="s">
        <v>4534</v>
      </c>
      <c r="Q28" s="399" t="s">
        <v>4535</v>
      </c>
      <c r="R28" s="399" t="s">
        <v>238</v>
      </c>
      <c r="S28" s="400">
        <v>38733</v>
      </c>
      <c r="T28" s="401" t="s">
        <v>4536</v>
      </c>
      <c r="U28" s="400">
        <v>38747</v>
      </c>
      <c r="V28" s="401" t="s">
        <v>242</v>
      </c>
      <c r="W28" s="401" t="s">
        <v>4537</v>
      </c>
      <c r="X28" s="401" t="s">
        <v>4538</v>
      </c>
      <c r="Y28" s="402" t="s">
        <v>4539</v>
      </c>
      <c r="Z28" s="402" t="s">
        <v>4540</v>
      </c>
    </row>
    <row r="29" spans="1:26" x14ac:dyDescent="0.25">
      <c r="A29" s="8"/>
      <c r="B29" s="8" t="s">
        <v>4527</v>
      </c>
      <c r="C29" s="8" t="s">
        <v>238</v>
      </c>
      <c r="D29" s="8" t="s">
        <v>303</v>
      </c>
      <c r="E29" s="8" t="s">
        <v>4596</v>
      </c>
      <c r="F29" s="8" t="s">
        <v>4597</v>
      </c>
      <c r="G29" s="8" t="s">
        <v>304</v>
      </c>
      <c r="H29" s="8" t="s">
        <v>3567</v>
      </c>
      <c r="I29" s="8" t="s">
        <v>242</v>
      </c>
      <c r="J29" s="8" t="s">
        <v>4527</v>
      </c>
      <c r="K29" s="8" t="s">
        <v>4532</v>
      </c>
      <c r="L29" s="8" t="s">
        <v>4533</v>
      </c>
      <c r="M29" s="8"/>
      <c r="N29" s="8"/>
      <c r="O29" s="8"/>
      <c r="P29" s="399" t="s">
        <v>4534</v>
      </c>
      <c r="Q29" s="399" t="s">
        <v>4535</v>
      </c>
      <c r="R29" s="399" t="s">
        <v>238</v>
      </c>
      <c r="S29" s="400">
        <v>38761</v>
      </c>
      <c r="T29" s="401" t="s">
        <v>4536</v>
      </c>
      <c r="U29" s="400">
        <v>38792</v>
      </c>
      <c r="V29" s="401" t="s">
        <v>242</v>
      </c>
      <c r="W29" s="401" t="s">
        <v>4537</v>
      </c>
      <c r="X29" s="401" t="s">
        <v>4538</v>
      </c>
      <c r="Y29" s="402" t="s">
        <v>4539</v>
      </c>
      <c r="Z29" s="402" t="s">
        <v>4540</v>
      </c>
    </row>
    <row r="30" spans="1:26" x14ac:dyDescent="0.25">
      <c r="A30" s="8" t="s">
        <v>4044</v>
      </c>
      <c r="B30" s="8" t="s">
        <v>4527</v>
      </c>
      <c r="C30" s="8" t="s">
        <v>1274</v>
      </c>
      <c r="D30" s="8" t="s">
        <v>4272</v>
      </c>
      <c r="E30" s="8" t="s">
        <v>4527</v>
      </c>
      <c r="F30" s="8" t="s">
        <v>4598</v>
      </c>
      <c r="G30" s="8" t="s">
        <v>4042</v>
      </c>
      <c r="H30" s="8" t="s">
        <v>1110</v>
      </c>
      <c r="I30" s="8" t="s">
        <v>4599</v>
      </c>
      <c r="J30" s="8" t="s">
        <v>4600</v>
      </c>
      <c r="K30" s="8" t="s">
        <v>4601</v>
      </c>
      <c r="L30" s="8" t="s">
        <v>4602</v>
      </c>
      <c r="M30" s="8" t="s">
        <v>4603</v>
      </c>
      <c r="N30" s="8" t="s">
        <v>4604</v>
      </c>
      <c r="O30" s="8" t="s">
        <v>4603</v>
      </c>
      <c r="P30" s="399" t="s">
        <v>4605</v>
      </c>
      <c r="Q30" s="399" t="s">
        <v>4535</v>
      </c>
      <c r="R30" s="399" t="s">
        <v>4606</v>
      </c>
      <c r="S30" s="401" t="s">
        <v>4527</v>
      </c>
      <c r="T30" s="401" t="s">
        <v>4536</v>
      </c>
      <c r="U30" s="400">
        <v>46178</v>
      </c>
      <c r="V30" s="401" t="s">
        <v>242</v>
      </c>
      <c r="W30" s="401" t="s">
        <v>4607</v>
      </c>
      <c r="X30" s="401" t="s">
        <v>4608</v>
      </c>
      <c r="Y30" s="402" t="s">
        <v>4609</v>
      </c>
      <c r="Z30" s="402" t="s">
        <v>4540</v>
      </c>
    </row>
    <row r="31" spans="1:26" x14ac:dyDescent="0.25">
      <c r="A31" s="8" t="s">
        <v>4037</v>
      </c>
      <c r="B31" s="8" t="s">
        <v>4527</v>
      </c>
      <c r="C31" s="8" t="s">
        <v>3379</v>
      </c>
      <c r="D31" s="8" t="s">
        <v>4610</v>
      </c>
      <c r="E31" s="8" t="s">
        <v>4527</v>
      </c>
      <c r="F31" s="8" t="s">
        <v>4611</v>
      </c>
      <c r="G31" s="8" t="s">
        <v>482</v>
      </c>
      <c r="H31" s="8" t="s">
        <v>4612</v>
      </c>
      <c r="I31" s="8" t="s">
        <v>308</v>
      </c>
      <c r="J31" s="8" t="s">
        <v>4613</v>
      </c>
      <c r="K31" s="8" t="s">
        <v>4601</v>
      </c>
      <c r="L31" s="8" t="s">
        <v>4602</v>
      </c>
      <c r="M31" s="8" t="s">
        <v>4614</v>
      </c>
      <c r="N31" s="8" t="s">
        <v>4604</v>
      </c>
      <c r="O31" s="8" t="s">
        <v>4614</v>
      </c>
      <c r="P31" s="399" t="s">
        <v>4605</v>
      </c>
      <c r="Q31" s="399" t="s">
        <v>4535</v>
      </c>
      <c r="R31" s="399" t="s">
        <v>4606</v>
      </c>
      <c r="S31" s="401" t="s">
        <v>4527</v>
      </c>
      <c r="T31" s="401" t="s">
        <v>4536</v>
      </c>
      <c r="U31" s="400">
        <v>46170</v>
      </c>
      <c r="V31" s="401" t="s">
        <v>242</v>
      </c>
      <c r="W31" s="401" t="s">
        <v>4537</v>
      </c>
      <c r="X31" s="401" t="s">
        <v>4538</v>
      </c>
      <c r="Y31" s="402" t="s">
        <v>4539</v>
      </c>
      <c r="Z31" s="402" t="s">
        <v>4540</v>
      </c>
    </row>
    <row r="32" spans="1:26" x14ac:dyDescent="0.25">
      <c r="A32" s="8" t="s">
        <v>4035</v>
      </c>
      <c r="B32" s="8" t="s">
        <v>4527</v>
      </c>
      <c r="C32" s="8" t="s">
        <v>3379</v>
      </c>
      <c r="D32" s="8" t="s">
        <v>4615</v>
      </c>
      <c r="E32" s="8" t="s">
        <v>4527</v>
      </c>
      <c r="F32" s="8" t="s">
        <v>4611</v>
      </c>
      <c r="G32" s="8" t="s">
        <v>482</v>
      </c>
      <c r="H32" s="8" t="s">
        <v>4616</v>
      </c>
      <c r="I32" s="8" t="s">
        <v>308</v>
      </c>
      <c r="J32" s="8" t="s">
        <v>4617</v>
      </c>
      <c r="K32" s="8" t="s">
        <v>4601</v>
      </c>
      <c r="L32" s="8" t="s">
        <v>4602</v>
      </c>
      <c r="M32" s="8" t="s">
        <v>4618</v>
      </c>
      <c r="N32" s="8" t="s">
        <v>4604</v>
      </c>
      <c r="O32" s="8" t="s">
        <v>4618</v>
      </c>
      <c r="P32" s="399" t="s">
        <v>4605</v>
      </c>
      <c r="Q32" s="399" t="s">
        <v>4535</v>
      </c>
      <c r="R32" s="399" t="s">
        <v>4606</v>
      </c>
      <c r="S32" s="401" t="s">
        <v>4527</v>
      </c>
      <c r="T32" s="401" t="s">
        <v>4536</v>
      </c>
      <c r="U32" s="400">
        <v>46170</v>
      </c>
      <c r="V32" s="401" t="s">
        <v>242</v>
      </c>
      <c r="W32" s="401" t="s">
        <v>4537</v>
      </c>
      <c r="X32" s="401" t="s">
        <v>4538</v>
      </c>
      <c r="Y32" s="402" t="s">
        <v>4539</v>
      </c>
      <c r="Z32" s="402" t="s">
        <v>4540</v>
      </c>
    </row>
    <row r="33" spans="1:26" x14ac:dyDescent="0.25">
      <c r="A33" s="8" t="s">
        <v>4033</v>
      </c>
      <c r="B33" s="8" t="s">
        <v>4527</v>
      </c>
      <c r="C33" s="8" t="s">
        <v>309</v>
      </c>
      <c r="D33" s="8" t="s">
        <v>12</v>
      </c>
      <c r="E33" s="8" t="s">
        <v>4527</v>
      </c>
      <c r="F33" s="8" t="s">
        <v>4611</v>
      </c>
      <c r="G33" s="8" t="s">
        <v>4619</v>
      </c>
      <c r="H33" s="8" t="s">
        <v>733</v>
      </c>
      <c r="I33" s="8" t="s">
        <v>4620</v>
      </c>
      <c r="J33" s="8" t="s">
        <v>4621</v>
      </c>
      <c r="K33" s="8" t="s">
        <v>4601</v>
      </c>
      <c r="L33" s="8" t="s">
        <v>4602</v>
      </c>
      <c r="M33" s="8" t="s">
        <v>4622</v>
      </c>
      <c r="N33" s="8" t="s">
        <v>4604</v>
      </c>
      <c r="O33" s="8" t="s">
        <v>4622</v>
      </c>
      <c r="P33" s="399" t="s">
        <v>4534</v>
      </c>
      <c r="Q33" s="399" t="s">
        <v>4535</v>
      </c>
      <c r="R33" s="399" t="s">
        <v>238</v>
      </c>
      <c r="S33" s="401" t="s">
        <v>4527</v>
      </c>
      <c r="T33" s="401" t="s">
        <v>4536</v>
      </c>
      <c r="U33" s="400">
        <v>46170</v>
      </c>
      <c r="V33" s="401" t="s">
        <v>242</v>
      </c>
      <c r="W33" s="401" t="s">
        <v>4623</v>
      </c>
      <c r="X33" s="401" t="s">
        <v>4608</v>
      </c>
      <c r="Y33" s="402" t="s">
        <v>4609</v>
      </c>
      <c r="Z33" s="402" t="s">
        <v>4540</v>
      </c>
    </row>
    <row r="34" spans="1:26" x14ac:dyDescent="0.25">
      <c r="A34" s="8" t="s">
        <v>4039</v>
      </c>
      <c r="B34" s="8" t="s">
        <v>4527</v>
      </c>
      <c r="C34" s="8" t="s">
        <v>1107</v>
      </c>
      <c r="D34" s="8" t="s">
        <v>4624</v>
      </c>
      <c r="E34" s="8" t="s">
        <v>4527</v>
      </c>
      <c r="F34" s="8" t="s">
        <v>4611</v>
      </c>
      <c r="G34" s="8" t="s">
        <v>4625</v>
      </c>
      <c r="H34" s="8" t="s">
        <v>1110</v>
      </c>
      <c r="I34" s="8" t="s">
        <v>4620</v>
      </c>
      <c r="J34" s="8" t="s">
        <v>4626</v>
      </c>
      <c r="K34" s="8" t="s">
        <v>4601</v>
      </c>
      <c r="L34" s="8" t="s">
        <v>4602</v>
      </c>
      <c r="M34" s="8" t="s">
        <v>4627</v>
      </c>
      <c r="N34" s="8" t="s">
        <v>4604</v>
      </c>
      <c r="O34" s="8" t="s">
        <v>4627</v>
      </c>
      <c r="P34" s="399" t="s">
        <v>4605</v>
      </c>
      <c r="Q34" s="399" t="s">
        <v>4535</v>
      </c>
      <c r="R34" s="399" t="s">
        <v>4606</v>
      </c>
      <c r="S34" s="401" t="s">
        <v>4527</v>
      </c>
      <c r="T34" s="401" t="s">
        <v>4536</v>
      </c>
      <c r="U34" s="400">
        <v>46170</v>
      </c>
      <c r="V34" s="401" t="s">
        <v>242</v>
      </c>
      <c r="W34" s="401" t="s">
        <v>4623</v>
      </c>
      <c r="X34" s="401" t="s">
        <v>4608</v>
      </c>
      <c r="Y34" s="402" t="s">
        <v>4609</v>
      </c>
      <c r="Z34" s="402" t="s">
        <v>4540</v>
      </c>
    </row>
    <row r="35" spans="1:26" x14ac:dyDescent="0.25">
      <c r="A35" s="8" t="s">
        <v>4023</v>
      </c>
      <c r="B35" s="8" t="s">
        <v>4527</v>
      </c>
      <c r="C35" s="8" t="s">
        <v>1274</v>
      </c>
      <c r="D35" s="8" t="s">
        <v>4385</v>
      </c>
      <c r="E35" s="8" t="s">
        <v>4527</v>
      </c>
      <c r="F35" s="8" t="s">
        <v>4628</v>
      </c>
      <c r="G35" s="8" t="s">
        <v>4020</v>
      </c>
      <c r="H35" s="8" t="s">
        <v>1110</v>
      </c>
      <c r="I35" s="8" t="s">
        <v>4629</v>
      </c>
      <c r="J35" s="8" t="s">
        <v>4630</v>
      </c>
      <c r="K35" s="8" t="s">
        <v>4601</v>
      </c>
      <c r="L35" s="8" t="s">
        <v>4602</v>
      </c>
      <c r="M35" s="8" t="s">
        <v>4631</v>
      </c>
      <c r="N35" s="8" t="s">
        <v>4604</v>
      </c>
      <c r="O35" s="8" t="s">
        <v>4631</v>
      </c>
      <c r="P35" s="399" t="s">
        <v>4605</v>
      </c>
      <c r="Q35" s="399" t="s">
        <v>4535</v>
      </c>
      <c r="R35" s="399" t="s">
        <v>4606</v>
      </c>
      <c r="S35" s="401" t="s">
        <v>4527</v>
      </c>
      <c r="T35" s="401" t="s">
        <v>4536</v>
      </c>
      <c r="U35" s="400">
        <v>46160</v>
      </c>
      <c r="V35" s="401" t="s">
        <v>242</v>
      </c>
      <c r="W35" s="401" t="s">
        <v>4632</v>
      </c>
      <c r="X35" s="401" t="s">
        <v>4608</v>
      </c>
      <c r="Y35" s="402" t="s">
        <v>4609</v>
      </c>
      <c r="Z35" s="402" t="s">
        <v>4540</v>
      </c>
    </row>
    <row r="36" spans="1:26" x14ac:dyDescent="0.25">
      <c r="A36" s="8" t="s">
        <v>4012</v>
      </c>
      <c r="B36" s="8" t="s">
        <v>4527</v>
      </c>
      <c r="C36" s="8" t="s">
        <v>4633</v>
      </c>
      <c r="D36" s="8" t="s">
        <v>4634</v>
      </c>
      <c r="E36" s="8" t="s">
        <v>4527</v>
      </c>
      <c r="F36" s="8" t="s">
        <v>4635</v>
      </c>
      <c r="G36" s="8" t="s">
        <v>4636</v>
      </c>
      <c r="H36" s="8" t="s">
        <v>4637</v>
      </c>
      <c r="I36" s="8" t="s">
        <v>4638</v>
      </c>
      <c r="J36" s="8" t="s">
        <v>4639</v>
      </c>
      <c r="K36" s="8" t="s">
        <v>4601</v>
      </c>
      <c r="L36" s="8" t="s">
        <v>4602</v>
      </c>
      <c r="M36" s="8" t="s">
        <v>4640</v>
      </c>
      <c r="N36" s="8" t="s">
        <v>4641</v>
      </c>
      <c r="O36" s="8"/>
      <c r="P36" s="399" t="s">
        <v>4642</v>
      </c>
      <c r="Q36" s="399" t="s">
        <v>4535</v>
      </c>
      <c r="R36" s="399" t="s">
        <v>114</v>
      </c>
      <c r="S36" s="401" t="s">
        <v>4527</v>
      </c>
      <c r="T36" s="401" t="s">
        <v>4536</v>
      </c>
      <c r="U36" s="400">
        <v>46146</v>
      </c>
      <c r="V36" s="401" t="s">
        <v>242</v>
      </c>
      <c r="W36" s="401" t="s">
        <v>4643</v>
      </c>
      <c r="X36" s="401" t="s">
        <v>4608</v>
      </c>
      <c r="Y36" s="402" t="s">
        <v>4609</v>
      </c>
      <c r="Z36" s="402" t="s">
        <v>4540</v>
      </c>
    </row>
    <row r="37" spans="1:26" x14ac:dyDescent="0.25">
      <c r="A37" s="8" t="s">
        <v>4008</v>
      </c>
      <c r="B37" s="8" t="s">
        <v>4527</v>
      </c>
      <c r="C37" s="8" t="s">
        <v>3379</v>
      </c>
      <c r="D37" s="8" t="s">
        <v>4644</v>
      </c>
      <c r="E37" s="8" t="s">
        <v>4527</v>
      </c>
      <c r="F37" s="8" t="s">
        <v>4645</v>
      </c>
      <c r="G37" s="8" t="s">
        <v>482</v>
      </c>
      <c r="H37" s="8" t="s">
        <v>4646</v>
      </c>
      <c r="I37" s="8" t="s">
        <v>308</v>
      </c>
      <c r="J37" s="8" t="s">
        <v>4647</v>
      </c>
      <c r="K37" s="8" t="s">
        <v>4601</v>
      </c>
      <c r="L37" s="8" t="s">
        <v>4602</v>
      </c>
      <c r="M37" s="8" t="s">
        <v>4648</v>
      </c>
      <c r="N37" s="8" t="s">
        <v>4604</v>
      </c>
      <c r="O37" s="8" t="s">
        <v>4648</v>
      </c>
      <c r="P37" s="399" t="s">
        <v>4605</v>
      </c>
      <c r="Q37" s="399" t="s">
        <v>4535</v>
      </c>
      <c r="R37" s="399" t="s">
        <v>4606</v>
      </c>
      <c r="S37" s="401" t="s">
        <v>4527</v>
      </c>
      <c r="T37" s="401" t="s">
        <v>4536</v>
      </c>
      <c r="U37" s="400">
        <v>46143</v>
      </c>
      <c r="V37" s="401" t="s">
        <v>242</v>
      </c>
      <c r="W37" s="401" t="s">
        <v>4537</v>
      </c>
      <c r="X37" s="401" t="s">
        <v>4538</v>
      </c>
      <c r="Y37" s="402" t="s">
        <v>4539</v>
      </c>
      <c r="Z37" s="402" t="s">
        <v>4540</v>
      </c>
    </row>
    <row r="38" spans="1:26" x14ac:dyDescent="0.25">
      <c r="A38" s="8" t="s">
        <v>4006</v>
      </c>
      <c r="B38" s="8" t="s">
        <v>4527</v>
      </c>
      <c r="C38" s="8" t="s">
        <v>309</v>
      </c>
      <c r="D38" s="8" t="s">
        <v>20</v>
      </c>
      <c r="E38" s="8" t="s">
        <v>4527</v>
      </c>
      <c r="F38" s="8" t="s">
        <v>4645</v>
      </c>
      <c r="G38" s="8" t="s">
        <v>737</v>
      </c>
      <c r="H38" s="8" t="s">
        <v>733</v>
      </c>
      <c r="I38" s="8" t="s">
        <v>4649</v>
      </c>
      <c r="J38" s="8" t="s">
        <v>4650</v>
      </c>
      <c r="K38" s="8" t="s">
        <v>4601</v>
      </c>
      <c r="L38" s="8" t="s">
        <v>4602</v>
      </c>
      <c r="M38" s="8" t="s">
        <v>4651</v>
      </c>
      <c r="N38" s="8" t="s">
        <v>4652</v>
      </c>
      <c r="O38" s="8" t="s">
        <v>4651</v>
      </c>
      <c r="P38" s="399" t="s">
        <v>4534</v>
      </c>
      <c r="Q38" s="399" t="s">
        <v>4535</v>
      </c>
      <c r="R38" s="399" t="s">
        <v>238</v>
      </c>
      <c r="S38" s="401" t="s">
        <v>4527</v>
      </c>
      <c r="T38" s="401" t="s">
        <v>4536</v>
      </c>
      <c r="U38" s="400">
        <v>46143</v>
      </c>
      <c r="V38" s="401" t="s">
        <v>242</v>
      </c>
      <c r="W38" s="401" t="s">
        <v>4653</v>
      </c>
      <c r="X38" s="401" t="s">
        <v>4608</v>
      </c>
      <c r="Y38" s="402" t="s">
        <v>4609</v>
      </c>
      <c r="Z38" s="402" t="s">
        <v>4540</v>
      </c>
    </row>
    <row r="39" spans="1:26" x14ac:dyDescent="0.25">
      <c r="A39" s="8" t="s">
        <v>3995</v>
      </c>
      <c r="B39" s="8" t="s">
        <v>4527</v>
      </c>
      <c r="C39" s="8" t="s">
        <v>309</v>
      </c>
      <c r="D39" s="8" t="s">
        <v>24</v>
      </c>
      <c r="E39" s="8" t="s">
        <v>4527</v>
      </c>
      <c r="F39" s="8" t="s">
        <v>4645</v>
      </c>
      <c r="G39" s="8" t="s">
        <v>23</v>
      </c>
      <c r="H39" s="8" t="s">
        <v>733</v>
      </c>
      <c r="I39" s="8" t="s">
        <v>4654</v>
      </c>
      <c r="J39" s="8" t="s">
        <v>4655</v>
      </c>
      <c r="K39" s="8" t="s">
        <v>4601</v>
      </c>
      <c r="L39" s="8" t="s">
        <v>4602</v>
      </c>
      <c r="M39" s="8" t="s">
        <v>4656</v>
      </c>
      <c r="N39" s="8" t="s">
        <v>4652</v>
      </c>
      <c r="O39" s="8" t="s">
        <v>4656</v>
      </c>
      <c r="P39" s="399" t="s">
        <v>4534</v>
      </c>
      <c r="Q39" s="399" t="s">
        <v>4535</v>
      </c>
      <c r="R39" s="399" t="s">
        <v>238</v>
      </c>
      <c r="S39" s="401" t="s">
        <v>4527</v>
      </c>
      <c r="T39" s="401" t="s">
        <v>4536</v>
      </c>
      <c r="U39" s="400">
        <v>46143</v>
      </c>
      <c r="V39" s="401" t="s">
        <v>242</v>
      </c>
      <c r="W39" s="401" t="s">
        <v>4657</v>
      </c>
      <c r="X39" s="401" t="s">
        <v>4608</v>
      </c>
      <c r="Y39" s="402" t="s">
        <v>4609</v>
      </c>
      <c r="Z39" s="402" t="s">
        <v>4540</v>
      </c>
    </row>
    <row r="40" spans="1:26" x14ac:dyDescent="0.25">
      <c r="A40" s="8" t="s">
        <v>4010</v>
      </c>
      <c r="B40" s="8" t="s">
        <v>4527</v>
      </c>
      <c r="C40" s="8" t="s">
        <v>1107</v>
      </c>
      <c r="D40" s="8" t="s">
        <v>4658</v>
      </c>
      <c r="E40" s="8" t="s">
        <v>4527</v>
      </c>
      <c r="F40" s="8" t="s">
        <v>4645</v>
      </c>
      <c r="G40" s="8" t="s">
        <v>4659</v>
      </c>
      <c r="H40" s="8" t="s">
        <v>1110</v>
      </c>
      <c r="I40" s="8" t="s">
        <v>4660</v>
      </c>
      <c r="J40" s="8" t="s">
        <v>4661</v>
      </c>
      <c r="K40" s="8" t="s">
        <v>4601</v>
      </c>
      <c r="L40" s="8" t="s">
        <v>4602</v>
      </c>
      <c r="M40" s="8" t="s">
        <v>4662</v>
      </c>
      <c r="N40" s="8" t="s">
        <v>4604</v>
      </c>
      <c r="O40" s="8" t="s">
        <v>4662</v>
      </c>
      <c r="P40" s="399" t="s">
        <v>4605</v>
      </c>
      <c r="Q40" s="399" t="s">
        <v>4535</v>
      </c>
      <c r="R40" s="399" t="s">
        <v>4606</v>
      </c>
      <c r="S40" s="401" t="s">
        <v>4527</v>
      </c>
      <c r="T40" s="401" t="s">
        <v>4536</v>
      </c>
      <c r="U40" s="400">
        <v>46143</v>
      </c>
      <c r="V40" s="401" t="s">
        <v>242</v>
      </c>
      <c r="W40" s="401" t="s">
        <v>4663</v>
      </c>
      <c r="X40" s="401" t="s">
        <v>4608</v>
      </c>
      <c r="Y40" s="402" t="s">
        <v>4609</v>
      </c>
      <c r="Z40" s="402" t="s">
        <v>4540</v>
      </c>
    </row>
    <row r="41" spans="1:26" x14ac:dyDescent="0.25">
      <c r="A41" s="8" t="s">
        <v>3994</v>
      </c>
      <c r="B41" s="8" t="s">
        <v>4527</v>
      </c>
      <c r="C41" s="8" t="s">
        <v>309</v>
      </c>
      <c r="D41" s="8" t="s">
        <v>27</v>
      </c>
      <c r="E41" s="8" t="s">
        <v>4527</v>
      </c>
      <c r="F41" s="8" t="s">
        <v>4664</v>
      </c>
      <c r="G41" s="8" t="s">
        <v>739</v>
      </c>
      <c r="H41" s="8" t="s">
        <v>733</v>
      </c>
      <c r="I41" s="8" t="s">
        <v>4660</v>
      </c>
      <c r="J41" s="8" t="s">
        <v>4665</v>
      </c>
      <c r="K41" s="8" t="s">
        <v>4601</v>
      </c>
      <c r="L41" s="8" t="s">
        <v>4602</v>
      </c>
      <c r="M41" s="8" t="s">
        <v>4666</v>
      </c>
      <c r="N41" s="8" t="s">
        <v>4604</v>
      </c>
      <c r="O41" s="8" t="s">
        <v>4666</v>
      </c>
      <c r="P41" s="399" t="s">
        <v>4534</v>
      </c>
      <c r="Q41" s="399" t="s">
        <v>4535</v>
      </c>
      <c r="R41" s="399" t="s">
        <v>238</v>
      </c>
      <c r="S41" s="401" t="s">
        <v>4527</v>
      </c>
      <c r="T41" s="401" t="s">
        <v>4536</v>
      </c>
      <c r="U41" s="400">
        <v>46122</v>
      </c>
      <c r="V41" s="401" t="s">
        <v>242</v>
      </c>
      <c r="W41" s="401" t="s">
        <v>4663</v>
      </c>
      <c r="X41" s="401" t="s">
        <v>4608</v>
      </c>
      <c r="Y41" s="402" t="s">
        <v>4609</v>
      </c>
      <c r="Z41" s="402" t="s">
        <v>4540</v>
      </c>
    </row>
    <row r="42" spans="1:26" x14ac:dyDescent="0.25">
      <c r="A42" s="8" t="s">
        <v>3991</v>
      </c>
      <c r="B42" s="8" t="s">
        <v>4527</v>
      </c>
      <c r="C42" s="8" t="s">
        <v>309</v>
      </c>
      <c r="D42" s="8" t="s">
        <v>17</v>
      </c>
      <c r="E42" s="8" t="s">
        <v>4527</v>
      </c>
      <c r="F42" s="8" t="s">
        <v>4664</v>
      </c>
      <c r="G42" s="8" t="s">
        <v>4667</v>
      </c>
      <c r="H42" s="8" t="s">
        <v>733</v>
      </c>
      <c r="I42" s="8" t="s">
        <v>4620</v>
      </c>
      <c r="J42" s="8" t="s">
        <v>4665</v>
      </c>
      <c r="K42" s="8" t="s">
        <v>4601</v>
      </c>
      <c r="L42" s="8" t="s">
        <v>4602</v>
      </c>
      <c r="M42" s="8" t="s">
        <v>4668</v>
      </c>
      <c r="N42" s="8" t="s">
        <v>4604</v>
      </c>
      <c r="O42" s="8" t="s">
        <v>4668</v>
      </c>
      <c r="P42" s="399" t="s">
        <v>4534</v>
      </c>
      <c r="Q42" s="399" t="s">
        <v>4535</v>
      </c>
      <c r="R42" s="399" t="s">
        <v>238</v>
      </c>
      <c r="S42" s="401" t="s">
        <v>4527</v>
      </c>
      <c r="T42" s="401" t="s">
        <v>4536</v>
      </c>
      <c r="U42" s="400">
        <v>46122</v>
      </c>
      <c r="V42" s="401" t="s">
        <v>242</v>
      </c>
      <c r="W42" s="401" t="s">
        <v>4623</v>
      </c>
      <c r="X42" s="401" t="s">
        <v>4608</v>
      </c>
      <c r="Y42" s="402" t="s">
        <v>4609</v>
      </c>
      <c r="Z42" s="402" t="s">
        <v>4540</v>
      </c>
    </row>
    <row r="43" spans="1:26" x14ac:dyDescent="0.25">
      <c r="A43" s="8" t="s">
        <v>3993</v>
      </c>
      <c r="B43" s="8" t="s">
        <v>4527</v>
      </c>
      <c r="C43" s="8" t="s">
        <v>309</v>
      </c>
      <c r="D43" s="8" t="s">
        <v>30</v>
      </c>
      <c r="E43" s="8" t="s">
        <v>4527</v>
      </c>
      <c r="F43" s="8" t="s">
        <v>4664</v>
      </c>
      <c r="G43" s="8" t="s">
        <v>745</v>
      </c>
      <c r="H43" s="8" t="s">
        <v>733</v>
      </c>
      <c r="I43" s="8" t="s">
        <v>4660</v>
      </c>
      <c r="J43" s="8" t="s">
        <v>4665</v>
      </c>
      <c r="K43" s="8" t="s">
        <v>4601</v>
      </c>
      <c r="L43" s="8" t="s">
        <v>4602</v>
      </c>
      <c r="M43" s="8" t="s">
        <v>4669</v>
      </c>
      <c r="N43" s="8" t="s">
        <v>4604</v>
      </c>
      <c r="O43" s="8" t="s">
        <v>4669</v>
      </c>
      <c r="P43" s="399" t="s">
        <v>4534</v>
      </c>
      <c r="Q43" s="399" t="s">
        <v>4535</v>
      </c>
      <c r="R43" s="399" t="s">
        <v>238</v>
      </c>
      <c r="S43" s="401" t="s">
        <v>4527</v>
      </c>
      <c r="T43" s="401" t="s">
        <v>4536</v>
      </c>
      <c r="U43" s="400">
        <v>46122</v>
      </c>
      <c r="V43" s="401" t="s">
        <v>242</v>
      </c>
      <c r="W43" s="401" t="s">
        <v>4663</v>
      </c>
      <c r="X43" s="401" t="s">
        <v>4608</v>
      </c>
      <c r="Y43" s="402" t="s">
        <v>4609</v>
      </c>
      <c r="Z43" s="402" t="s">
        <v>4540</v>
      </c>
    </row>
    <row r="44" spans="1:26" x14ac:dyDescent="0.25">
      <c r="A44" s="8" t="s">
        <v>3937</v>
      </c>
      <c r="B44" s="8" t="s">
        <v>4527</v>
      </c>
      <c r="C44" s="8" t="s">
        <v>1623</v>
      </c>
      <c r="D44" s="8" t="s">
        <v>41</v>
      </c>
      <c r="E44" s="8" t="s">
        <v>4527</v>
      </c>
      <c r="F44" s="8" t="s">
        <v>4670</v>
      </c>
      <c r="G44" s="8" t="s">
        <v>3936</v>
      </c>
      <c r="H44" s="8" t="s">
        <v>3934</v>
      </c>
      <c r="I44" s="8" t="s">
        <v>4671</v>
      </c>
      <c r="J44" s="8" t="s">
        <v>4672</v>
      </c>
      <c r="K44" s="8" t="s">
        <v>4601</v>
      </c>
      <c r="L44" s="8" t="s">
        <v>4602</v>
      </c>
      <c r="M44" s="8" t="s">
        <v>4673</v>
      </c>
      <c r="N44" s="8" t="s">
        <v>4604</v>
      </c>
      <c r="O44" s="8" t="s">
        <v>4673</v>
      </c>
      <c r="P44" s="399" t="s">
        <v>4674</v>
      </c>
      <c r="Q44" s="399" t="s">
        <v>4535</v>
      </c>
      <c r="R44" s="399" t="s">
        <v>4675</v>
      </c>
      <c r="S44" s="401" t="s">
        <v>4527</v>
      </c>
      <c r="T44" s="401" t="s">
        <v>4536</v>
      </c>
      <c r="U44" s="400">
        <v>45771</v>
      </c>
      <c r="V44" s="401" t="s">
        <v>242</v>
      </c>
      <c r="W44" s="401" t="s">
        <v>38</v>
      </c>
      <c r="X44" s="401" t="s">
        <v>4608</v>
      </c>
      <c r="Y44" s="402" t="s">
        <v>4609</v>
      </c>
      <c r="Z44" s="402" t="s">
        <v>4540</v>
      </c>
    </row>
    <row r="45" spans="1:26" x14ac:dyDescent="0.25">
      <c r="A45" s="8" t="s">
        <v>3935</v>
      </c>
      <c r="B45" s="8" t="s">
        <v>4527</v>
      </c>
      <c r="C45" s="8" t="s">
        <v>1623</v>
      </c>
      <c r="D45" s="8" t="s">
        <v>46</v>
      </c>
      <c r="E45" s="8" t="s">
        <v>4527</v>
      </c>
      <c r="F45" s="8" t="s">
        <v>4670</v>
      </c>
      <c r="G45" s="8" t="s">
        <v>3936</v>
      </c>
      <c r="H45" s="8" t="s">
        <v>3932</v>
      </c>
      <c r="I45" s="8" t="s">
        <v>4671</v>
      </c>
      <c r="J45" s="8" t="s">
        <v>4672</v>
      </c>
      <c r="K45" s="8" t="s">
        <v>4601</v>
      </c>
      <c r="L45" s="8" t="s">
        <v>4602</v>
      </c>
      <c r="M45" s="8" t="s">
        <v>4676</v>
      </c>
      <c r="N45" s="8" t="s">
        <v>4604</v>
      </c>
      <c r="O45" s="8" t="s">
        <v>4676</v>
      </c>
      <c r="P45" s="399" t="s">
        <v>4674</v>
      </c>
      <c r="Q45" s="399" t="s">
        <v>4535</v>
      </c>
      <c r="R45" s="399" t="s">
        <v>4675</v>
      </c>
      <c r="S45" s="401" t="s">
        <v>4527</v>
      </c>
      <c r="T45" s="401" t="s">
        <v>4536</v>
      </c>
      <c r="U45" s="400">
        <v>45771</v>
      </c>
      <c r="V45" s="401" t="s">
        <v>242</v>
      </c>
      <c r="W45" s="401" t="s">
        <v>38</v>
      </c>
      <c r="X45" s="401" t="s">
        <v>4608</v>
      </c>
      <c r="Y45" s="402" t="s">
        <v>4609</v>
      </c>
      <c r="Z45" s="402" t="s">
        <v>4540</v>
      </c>
    </row>
    <row r="46" spans="1:26" x14ac:dyDescent="0.25">
      <c r="A46" s="8" t="s">
        <v>3917</v>
      </c>
      <c r="B46" s="8" t="s">
        <v>4527</v>
      </c>
      <c r="C46" s="8" t="s">
        <v>114</v>
      </c>
      <c r="D46" s="8" t="s">
        <v>4456</v>
      </c>
      <c r="E46" s="8" t="s">
        <v>4527</v>
      </c>
      <c r="F46" s="8" t="s">
        <v>4677</v>
      </c>
      <c r="G46" s="8" t="s">
        <v>4678</v>
      </c>
      <c r="H46" s="8" t="s">
        <v>3915</v>
      </c>
      <c r="I46" s="8" t="s">
        <v>308</v>
      </c>
      <c r="J46" s="8" t="s">
        <v>4679</v>
      </c>
      <c r="K46" s="8" t="s">
        <v>4601</v>
      </c>
      <c r="L46" s="8" t="s">
        <v>4602</v>
      </c>
      <c r="M46" s="8" t="s">
        <v>4680</v>
      </c>
      <c r="N46" s="8" t="s">
        <v>4604</v>
      </c>
      <c r="O46" s="8" t="s">
        <v>4680</v>
      </c>
      <c r="P46" s="399" t="s">
        <v>4642</v>
      </c>
      <c r="Q46" s="399" t="s">
        <v>4535</v>
      </c>
      <c r="R46" s="399" t="s">
        <v>114</v>
      </c>
      <c r="S46" s="401" t="s">
        <v>4527</v>
      </c>
      <c r="T46" s="401" t="s">
        <v>4536</v>
      </c>
      <c r="U46" s="400">
        <v>45642</v>
      </c>
      <c r="V46" s="401" t="s">
        <v>242</v>
      </c>
      <c r="W46" s="401" t="s">
        <v>4537</v>
      </c>
      <c r="X46" s="401" t="s">
        <v>4538</v>
      </c>
      <c r="Y46" s="402" t="s">
        <v>4539</v>
      </c>
      <c r="Z46" s="402" t="s">
        <v>4540</v>
      </c>
    </row>
    <row r="47" spans="1:26" x14ac:dyDescent="0.25">
      <c r="A47" s="8" t="s">
        <v>3910</v>
      </c>
      <c r="B47" s="8" t="s">
        <v>4527</v>
      </c>
      <c r="C47" s="8" t="s">
        <v>1623</v>
      </c>
      <c r="D47" s="8" t="s">
        <v>4681</v>
      </c>
      <c r="E47" s="8" t="s">
        <v>4527</v>
      </c>
      <c r="F47" s="8" t="s">
        <v>4682</v>
      </c>
      <c r="G47" s="8" t="s">
        <v>482</v>
      </c>
      <c r="H47" s="8" t="s">
        <v>4683</v>
      </c>
      <c r="I47" s="8" t="s">
        <v>308</v>
      </c>
      <c r="J47" s="8" t="s">
        <v>4672</v>
      </c>
      <c r="K47" s="8" t="s">
        <v>4601</v>
      </c>
      <c r="L47" s="8" t="s">
        <v>4602</v>
      </c>
      <c r="M47" s="8" t="s">
        <v>4684</v>
      </c>
      <c r="N47" s="8" t="s">
        <v>4604</v>
      </c>
      <c r="O47" s="8" t="s">
        <v>4684</v>
      </c>
      <c r="P47" s="399" t="s">
        <v>4674</v>
      </c>
      <c r="Q47" s="399" t="s">
        <v>4535</v>
      </c>
      <c r="R47" s="399" t="s">
        <v>4675</v>
      </c>
      <c r="S47" s="401" t="s">
        <v>4527</v>
      </c>
      <c r="T47" s="401" t="s">
        <v>4536</v>
      </c>
      <c r="U47" s="400">
        <v>45621</v>
      </c>
      <c r="V47" s="401" t="s">
        <v>242</v>
      </c>
      <c r="W47" s="401" t="s">
        <v>4537</v>
      </c>
      <c r="X47" s="401" t="s">
        <v>4538</v>
      </c>
      <c r="Y47" s="402" t="s">
        <v>4539</v>
      </c>
      <c r="Z47" s="402" t="s">
        <v>4540</v>
      </c>
    </row>
    <row r="48" spans="1:26" x14ac:dyDescent="0.25">
      <c r="A48" s="8"/>
      <c r="B48" s="8" t="s">
        <v>4527</v>
      </c>
      <c r="C48" s="8" t="s">
        <v>3730</v>
      </c>
      <c r="D48" s="8" t="s">
        <v>51</v>
      </c>
      <c r="E48" s="8" t="s">
        <v>4527</v>
      </c>
      <c r="F48" s="8" t="s">
        <v>4685</v>
      </c>
      <c r="G48" s="8" t="s">
        <v>4686</v>
      </c>
      <c r="H48" s="8" t="s">
        <v>1110</v>
      </c>
      <c r="I48" s="8" t="s">
        <v>4671</v>
      </c>
      <c r="J48" s="8" t="s">
        <v>3887</v>
      </c>
      <c r="K48" s="8" t="s">
        <v>4601</v>
      </c>
      <c r="L48" s="8" t="s">
        <v>4602</v>
      </c>
      <c r="M48" s="8" t="s">
        <v>4687</v>
      </c>
      <c r="N48" s="8" t="s">
        <v>4604</v>
      </c>
      <c r="O48" s="8" t="s">
        <v>4687</v>
      </c>
      <c r="P48" s="399"/>
      <c r="Q48" s="399"/>
      <c r="R48" s="399"/>
      <c r="S48" s="401" t="s">
        <v>4527</v>
      </c>
      <c r="T48" s="401" t="s">
        <v>4536</v>
      </c>
      <c r="U48" s="400">
        <v>45365</v>
      </c>
      <c r="V48" s="401" t="s">
        <v>242</v>
      </c>
      <c r="W48" s="401" t="s">
        <v>38</v>
      </c>
      <c r="X48" s="401" t="s">
        <v>4608</v>
      </c>
      <c r="Y48" s="402" t="s">
        <v>4609</v>
      </c>
      <c r="Z48" s="402" t="s">
        <v>4540</v>
      </c>
    </row>
    <row r="49" spans="1:26" x14ac:dyDescent="0.25">
      <c r="A49" s="8"/>
      <c r="B49" s="8" t="s">
        <v>4527</v>
      </c>
      <c r="C49" s="8" t="s">
        <v>4050</v>
      </c>
      <c r="D49" s="8" t="s">
        <v>4115</v>
      </c>
      <c r="E49" s="8" t="s">
        <v>4527</v>
      </c>
      <c r="F49" s="8" t="s">
        <v>4688</v>
      </c>
      <c r="G49" s="8" t="s">
        <v>4689</v>
      </c>
      <c r="H49" s="8" t="s">
        <v>4116</v>
      </c>
      <c r="I49" s="8" t="s">
        <v>4117</v>
      </c>
      <c r="J49" s="8" t="s">
        <v>3887</v>
      </c>
      <c r="K49" s="8" t="s">
        <v>4601</v>
      </c>
      <c r="L49" s="8" t="s">
        <v>4602</v>
      </c>
      <c r="M49" s="8" t="s">
        <v>4690</v>
      </c>
      <c r="N49" s="8" t="s">
        <v>4604</v>
      </c>
      <c r="O49" s="8" t="s">
        <v>4690</v>
      </c>
      <c r="P49" s="399" t="s">
        <v>4691</v>
      </c>
      <c r="Q49" s="399" t="s">
        <v>4535</v>
      </c>
      <c r="R49" s="399" t="s">
        <v>4692</v>
      </c>
      <c r="S49" s="401" t="s">
        <v>4527</v>
      </c>
      <c r="T49" s="401" t="s">
        <v>4536</v>
      </c>
      <c r="U49" s="400">
        <v>45236</v>
      </c>
      <c r="V49" s="401" t="s">
        <v>242</v>
      </c>
      <c r="W49" s="401" t="s">
        <v>4693</v>
      </c>
      <c r="X49" s="401" t="s">
        <v>4608</v>
      </c>
      <c r="Y49" s="402" t="s">
        <v>4609</v>
      </c>
      <c r="Z49" s="402" t="s">
        <v>4540</v>
      </c>
    </row>
    <row r="50" spans="1:26" x14ac:dyDescent="0.25">
      <c r="A50" s="8"/>
      <c r="B50" s="8" t="s">
        <v>4527</v>
      </c>
      <c r="C50" s="8" t="s">
        <v>4062</v>
      </c>
      <c r="D50" s="8" t="s">
        <v>4105</v>
      </c>
      <c r="E50" s="8" t="s">
        <v>4527</v>
      </c>
      <c r="F50" s="8" t="s">
        <v>4694</v>
      </c>
      <c r="G50" s="8" t="s">
        <v>4057</v>
      </c>
      <c r="H50" s="8" t="s">
        <v>4695</v>
      </c>
      <c r="I50" s="8" t="s">
        <v>4106</v>
      </c>
      <c r="J50" s="8" t="s">
        <v>3887</v>
      </c>
      <c r="K50" s="8" t="s">
        <v>4601</v>
      </c>
      <c r="L50" s="8" t="s">
        <v>4602</v>
      </c>
      <c r="M50" s="8" t="s">
        <v>4696</v>
      </c>
      <c r="N50" s="8" t="s">
        <v>4604</v>
      </c>
      <c r="O50" s="8" t="s">
        <v>4696</v>
      </c>
      <c r="P50" s="399" t="s">
        <v>4534</v>
      </c>
      <c r="Q50" s="399" t="s">
        <v>4535</v>
      </c>
      <c r="R50" s="399" t="s">
        <v>238</v>
      </c>
      <c r="S50" s="401" t="s">
        <v>4527</v>
      </c>
      <c r="T50" s="401" t="s">
        <v>4536</v>
      </c>
      <c r="U50" s="400">
        <v>44914</v>
      </c>
      <c r="V50" s="401" t="s">
        <v>242</v>
      </c>
      <c r="W50" s="401" t="s">
        <v>4697</v>
      </c>
      <c r="X50" s="401" t="s">
        <v>4608</v>
      </c>
      <c r="Y50" s="402" t="s">
        <v>4609</v>
      </c>
      <c r="Z50" s="402" t="s">
        <v>4540</v>
      </c>
    </row>
    <row r="51" spans="1:26" x14ac:dyDescent="0.25">
      <c r="A51" s="8"/>
      <c r="B51" s="8" t="s">
        <v>4527</v>
      </c>
      <c r="C51" s="8" t="s">
        <v>4062</v>
      </c>
      <c r="D51" s="8" t="s">
        <v>4107</v>
      </c>
      <c r="E51" s="8" t="s">
        <v>4527</v>
      </c>
      <c r="F51" s="8" t="s">
        <v>4694</v>
      </c>
      <c r="G51" s="8" t="s">
        <v>4057</v>
      </c>
      <c r="H51" s="8" t="s">
        <v>4695</v>
      </c>
      <c r="I51" s="8" t="s">
        <v>4106</v>
      </c>
      <c r="J51" s="8" t="s">
        <v>3887</v>
      </c>
      <c r="K51" s="8" t="s">
        <v>4601</v>
      </c>
      <c r="L51" s="8" t="s">
        <v>4602</v>
      </c>
      <c r="M51" s="8" t="s">
        <v>4698</v>
      </c>
      <c r="N51" s="8" t="s">
        <v>4604</v>
      </c>
      <c r="O51" s="8" t="s">
        <v>4698</v>
      </c>
      <c r="P51" s="399" t="s">
        <v>4534</v>
      </c>
      <c r="Q51" s="399" t="s">
        <v>4535</v>
      </c>
      <c r="R51" s="399" t="s">
        <v>238</v>
      </c>
      <c r="S51" s="401" t="s">
        <v>4527</v>
      </c>
      <c r="T51" s="401" t="s">
        <v>4536</v>
      </c>
      <c r="U51" s="400">
        <v>44914</v>
      </c>
      <c r="V51" s="401" t="s">
        <v>242</v>
      </c>
      <c r="W51" s="401" t="s">
        <v>4697</v>
      </c>
      <c r="X51" s="401" t="s">
        <v>4608</v>
      </c>
      <c r="Y51" s="402" t="s">
        <v>4609</v>
      </c>
      <c r="Z51" s="402" t="s">
        <v>4540</v>
      </c>
    </row>
    <row r="52" spans="1:26" x14ac:dyDescent="0.25">
      <c r="A52" s="8"/>
      <c r="B52" s="8" t="s">
        <v>4527</v>
      </c>
      <c r="C52" s="8" t="s">
        <v>4050</v>
      </c>
      <c r="D52" s="8" t="s">
        <v>4095</v>
      </c>
      <c r="E52" s="8" t="s">
        <v>4527</v>
      </c>
      <c r="F52" s="8" t="s">
        <v>4699</v>
      </c>
      <c r="G52" s="8" t="s">
        <v>4689</v>
      </c>
      <c r="H52" s="8" t="s">
        <v>4097</v>
      </c>
      <c r="I52" s="8" t="s">
        <v>3699</v>
      </c>
      <c r="J52" s="8" t="s">
        <v>4094</v>
      </c>
      <c r="K52" s="8" t="s">
        <v>4601</v>
      </c>
      <c r="L52" s="8" t="s">
        <v>4602</v>
      </c>
      <c r="M52" s="8" t="s">
        <v>4700</v>
      </c>
      <c r="N52" s="8" t="s">
        <v>4604</v>
      </c>
      <c r="O52" s="8" t="s">
        <v>4700</v>
      </c>
      <c r="P52" s="399" t="s">
        <v>4691</v>
      </c>
      <c r="Q52" s="399" t="s">
        <v>4535</v>
      </c>
      <c r="R52" s="399" t="s">
        <v>4692</v>
      </c>
      <c r="S52" s="401" t="s">
        <v>4527</v>
      </c>
      <c r="T52" s="401" t="s">
        <v>4536</v>
      </c>
      <c r="U52" s="400">
        <v>44621</v>
      </c>
      <c r="V52" s="401" t="s">
        <v>242</v>
      </c>
      <c r="W52" s="401" t="s">
        <v>4693</v>
      </c>
      <c r="X52" s="401" t="s">
        <v>4608</v>
      </c>
      <c r="Y52" s="402" t="s">
        <v>4609</v>
      </c>
      <c r="Z52" s="402" t="s">
        <v>4540</v>
      </c>
    </row>
    <row r="53" spans="1:26" x14ac:dyDescent="0.25">
      <c r="A53" s="8"/>
      <c r="B53" s="8" t="s">
        <v>4527</v>
      </c>
      <c r="C53" s="8" t="s">
        <v>4062</v>
      </c>
      <c r="D53" s="8" t="s">
        <v>4093</v>
      </c>
      <c r="E53" s="8" t="s">
        <v>4527</v>
      </c>
      <c r="F53" s="8" t="s">
        <v>4701</v>
      </c>
      <c r="G53" s="8" t="s">
        <v>4052</v>
      </c>
      <c r="H53" s="8" t="s">
        <v>3591</v>
      </c>
      <c r="I53" s="8" t="s">
        <v>4702</v>
      </c>
      <c r="J53" s="8" t="s">
        <v>4094</v>
      </c>
      <c r="K53" s="8" t="s">
        <v>4601</v>
      </c>
      <c r="L53" s="8" t="s">
        <v>4602</v>
      </c>
      <c r="M53" s="8" t="s">
        <v>4703</v>
      </c>
      <c r="N53" s="8" t="s">
        <v>4604</v>
      </c>
      <c r="O53" s="8" t="s">
        <v>4703</v>
      </c>
      <c r="P53" s="399" t="s">
        <v>4534</v>
      </c>
      <c r="Q53" s="399" t="s">
        <v>4535</v>
      </c>
      <c r="R53" s="399" t="s">
        <v>238</v>
      </c>
      <c r="S53" s="401" t="s">
        <v>4527</v>
      </c>
      <c r="T53" s="401" t="s">
        <v>4536</v>
      </c>
      <c r="U53" s="400">
        <v>44620</v>
      </c>
      <c r="V53" s="401" t="s">
        <v>242</v>
      </c>
      <c r="W53" s="401" t="s">
        <v>4537</v>
      </c>
      <c r="X53" s="401" t="s">
        <v>4538</v>
      </c>
      <c r="Y53" s="402" t="s">
        <v>4539</v>
      </c>
      <c r="Z53" s="402" t="s">
        <v>4540</v>
      </c>
    </row>
    <row r="54" spans="1:26" x14ac:dyDescent="0.25">
      <c r="A54" s="8" t="s">
        <v>3852</v>
      </c>
      <c r="B54" s="8" t="s">
        <v>4527</v>
      </c>
      <c r="C54" s="8" t="s">
        <v>1623</v>
      </c>
      <c r="D54" s="8" t="s">
        <v>48</v>
      </c>
      <c r="E54" s="8" t="s">
        <v>4527</v>
      </c>
      <c r="F54" s="8" t="s">
        <v>4704</v>
      </c>
      <c r="G54" s="8" t="s">
        <v>3853</v>
      </c>
      <c r="H54" s="8" t="s">
        <v>4705</v>
      </c>
      <c r="I54" s="8" t="s">
        <v>4671</v>
      </c>
      <c r="J54" s="8" t="s">
        <v>4672</v>
      </c>
      <c r="K54" s="8" t="s">
        <v>4601</v>
      </c>
      <c r="L54" s="8" t="s">
        <v>4602</v>
      </c>
      <c r="M54" s="8" t="s">
        <v>4706</v>
      </c>
      <c r="N54" s="8" t="s">
        <v>4604</v>
      </c>
      <c r="O54" s="8" t="s">
        <v>4706</v>
      </c>
      <c r="P54" s="399" t="s">
        <v>4674</v>
      </c>
      <c r="Q54" s="399" t="s">
        <v>4535</v>
      </c>
      <c r="R54" s="399" t="s">
        <v>4675</v>
      </c>
      <c r="S54" s="401" t="s">
        <v>4527</v>
      </c>
      <c r="T54" s="401" t="s">
        <v>4536</v>
      </c>
      <c r="U54" s="400">
        <v>44491</v>
      </c>
      <c r="V54" s="401" t="s">
        <v>242</v>
      </c>
      <c r="W54" s="401" t="s">
        <v>38</v>
      </c>
      <c r="X54" s="401" t="s">
        <v>4608</v>
      </c>
      <c r="Y54" s="402" t="s">
        <v>4609</v>
      </c>
      <c r="Z54" s="402" t="s">
        <v>4540</v>
      </c>
    </row>
    <row r="55" spans="1:26" x14ac:dyDescent="0.25">
      <c r="A55" s="8"/>
      <c r="B55" s="8" t="s">
        <v>4527</v>
      </c>
      <c r="C55" s="8" t="s">
        <v>4062</v>
      </c>
      <c r="D55" s="8" t="s">
        <v>4092</v>
      </c>
      <c r="E55" s="8" t="s">
        <v>4527</v>
      </c>
      <c r="F55" s="8" t="s">
        <v>4707</v>
      </c>
      <c r="G55" s="8" t="s">
        <v>4052</v>
      </c>
      <c r="H55" s="8" t="s">
        <v>3853</v>
      </c>
      <c r="I55" s="8" t="s">
        <v>4671</v>
      </c>
      <c r="J55" s="8" t="s">
        <v>3887</v>
      </c>
      <c r="K55" s="8" t="s">
        <v>4601</v>
      </c>
      <c r="L55" s="8" t="s">
        <v>4602</v>
      </c>
      <c r="M55" s="8" t="s">
        <v>4708</v>
      </c>
      <c r="N55" s="8" t="s">
        <v>4604</v>
      </c>
      <c r="O55" s="8" t="s">
        <v>4708</v>
      </c>
      <c r="P55" s="399" t="s">
        <v>4534</v>
      </c>
      <c r="Q55" s="399" t="s">
        <v>4535</v>
      </c>
      <c r="R55" s="399" t="s">
        <v>238</v>
      </c>
      <c r="S55" s="401" t="s">
        <v>4527</v>
      </c>
      <c r="T55" s="401" t="s">
        <v>4536</v>
      </c>
      <c r="U55" s="400">
        <v>44455</v>
      </c>
      <c r="V55" s="401" t="s">
        <v>242</v>
      </c>
      <c r="W55" s="401" t="s">
        <v>38</v>
      </c>
      <c r="X55" s="401" t="s">
        <v>4608</v>
      </c>
      <c r="Y55" s="402" t="s">
        <v>4609</v>
      </c>
      <c r="Z55" s="402" t="s">
        <v>4540</v>
      </c>
    </row>
    <row r="56" spans="1:26" x14ac:dyDescent="0.25">
      <c r="A56" s="8" t="s">
        <v>3808</v>
      </c>
      <c r="B56" s="8" t="s">
        <v>4527</v>
      </c>
      <c r="C56" s="8" t="s">
        <v>114</v>
      </c>
      <c r="D56" s="8" t="s">
        <v>117</v>
      </c>
      <c r="E56" s="8" t="s">
        <v>4527</v>
      </c>
      <c r="F56" s="8" t="s">
        <v>4709</v>
      </c>
      <c r="G56" s="8" t="s">
        <v>4462</v>
      </c>
      <c r="H56" s="8" t="s">
        <v>4463</v>
      </c>
      <c r="I56" s="8" t="s">
        <v>3807</v>
      </c>
      <c r="J56" s="8" t="s">
        <v>4679</v>
      </c>
      <c r="K56" s="8" t="s">
        <v>4601</v>
      </c>
      <c r="L56" s="8" t="s">
        <v>4602</v>
      </c>
      <c r="M56" s="8" t="s">
        <v>4710</v>
      </c>
      <c r="N56" s="8" t="s">
        <v>4604</v>
      </c>
      <c r="O56" s="8" t="s">
        <v>4710</v>
      </c>
      <c r="P56" s="399" t="s">
        <v>4642</v>
      </c>
      <c r="Q56" s="399" t="s">
        <v>4535</v>
      </c>
      <c r="R56" s="399" t="s">
        <v>114</v>
      </c>
      <c r="S56" s="401" t="s">
        <v>4527</v>
      </c>
      <c r="T56" s="401" t="s">
        <v>4536</v>
      </c>
      <c r="U56" s="400">
        <v>44175</v>
      </c>
      <c r="V56" s="401" t="s">
        <v>242</v>
      </c>
      <c r="W56" s="401" t="s">
        <v>4537</v>
      </c>
      <c r="X56" s="401" t="s">
        <v>4538</v>
      </c>
      <c r="Y56" s="402" t="s">
        <v>4539</v>
      </c>
      <c r="Z56" s="402" t="s">
        <v>4540</v>
      </c>
    </row>
    <row r="57" spans="1:26" x14ac:dyDescent="0.25">
      <c r="A57" s="8" t="s">
        <v>3773</v>
      </c>
      <c r="B57" s="8" t="s">
        <v>4527</v>
      </c>
      <c r="C57" s="8" t="s">
        <v>1623</v>
      </c>
      <c r="D57" s="8" t="s">
        <v>78</v>
      </c>
      <c r="E57" s="8" t="s">
        <v>4527</v>
      </c>
      <c r="F57" s="8" t="s">
        <v>4711</v>
      </c>
      <c r="G57" s="8" t="s">
        <v>4712</v>
      </c>
      <c r="H57" s="8" t="s">
        <v>3772</v>
      </c>
      <c r="I57" s="8" t="s">
        <v>717</v>
      </c>
      <c r="J57" s="8" t="s">
        <v>4672</v>
      </c>
      <c r="K57" s="8" t="s">
        <v>4601</v>
      </c>
      <c r="L57" s="8" t="s">
        <v>4602</v>
      </c>
      <c r="M57" s="8" t="s">
        <v>4713</v>
      </c>
      <c r="N57" s="8" t="s">
        <v>4604</v>
      </c>
      <c r="O57" s="8" t="s">
        <v>4713</v>
      </c>
      <c r="P57" s="399" t="s">
        <v>4674</v>
      </c>
      <c r="Q57" s="399" t="s">
        <v>4535</v>
      </c>
      <c r="R57" s="399" t="s">
        <v>4675</v>
      </c>
      <c r="S57" s="401" t="s">
        <v>4527</v>
      </c>
      <c r="T57" s="401" t="s">
        <v>4536</v>
      </c>
      <c r="U57" s="400">
        <v>43711</v>
      </c>
      <c r="V57" s="401" t="s">
        <v>242</v>
      </c>
      <c r="W57" s="401" t="s">
        <v>76</v>
      </c>
      <c r="X57" s="401" t="s">
        <v>4608</v>
      </c>
      <c r="Y57" s="402" t="s">
        <v>4609</v>
      </c>
      <c r="Z57" s="402" t="s">
        <v>4540</v>
      </c>
    </row>
    <row r="58" spans="1:26" x14ac:dyDescent="0.25">
      <c r="A58" s="8"/>
      <c r="B58" s="8" t="s">
        <v>4527</v>
      </c>
      <c r="C58" s="8" t="s">
        <v>4062</v>
      </c>
      <c r="D58" s="8" t="s">
        <v>4063</v>
      </c>
      <c r="E58" s="8" t="s">
        <v>4527</v>
      </c>
      <c r="F58" s="8" t="s">
        <v>4714</v>
      </c>
      <c r="G58" s="8" t="s">
        <v>2726</v>
      </c>
      <c r="H58" s="8" t="s">
        <v>4715</v>
      </c>
      <c r="I58" s="8" t="s">
        <v>4716</v>
      </c>
      <c r="J58" s="8" t="s">
        <v>4058</v>
      </c>
      <c r="K58" s="8" t="s">
        <v>4601</v>
      </c>
      <c r="L58" s="8" t="s">
        <v>4602</v>
      </c>
      <c r="M58" s="8" t="s">
        <v>4717</v>
      </c>
      <c r="N58" s="8" t="s">
        <v>4604</v>
      </c>
      <c r="O58" s="8" t="s">
        <v>4717</v>
      </c>
      <c r="P58" s="399" t="s">
        <v>4534</v>
      </c>
      <c r="Q58" s="399" t="s">
        <v>4535</v>
      </c>
      <c r="R58" s="399" t="s">
        <v>238</v>
      </c>
      <c r="S58" s="401" t="s">
        <v>4527</v>
      </c>
      <c r="T58" s="401" t="s">
        <v>4536</v>
      </c>
      <c r="U58" s="400">
        <v>43521</v>
      </c>
      <c r="V58" s="401" t="s">
        <v>242</v>
      </c>
      <c r="W58" s="401" t="s">
        <v>1</v>
      </c>
      <c r="X58" s="401" t="s">
        <v>4608</v>
      </c>
      <c r="Y58" s="402" t="s">
        <v>4609</v>
      </c>
      <c r="Z58" s="402" t="s">
        <v>4540</v>
      </c>
    </row>
    <row r="59" spans="1:26" x14ac:dyDescent="0.25">
      <c r="A59" s="8" t="s">
        <v>3757</v>
      </c>
      <c r="B59" s="8" t="s">
        <v>4527</v>
      </c>
      <c r="C59" s="8" t="s">
        <v>82</v>
      </c>
      <c r="D59" s="8" t="s">
        <v>81</v>
      </c>
      <c r="E59" s="8" t="s">
        <v>4527</v>
      </c>
      <c r="F59" s="8" t="s">
        <v>4718</v>
      </c>
      <c r="G59" s="8" t="s">
        <v>4719</v>
      </c>
      <c r="H59" s="8" t="s">
        <v>4720</v>
      </c>
      <c r="I59" s="8" t="s">
        <v>4721</v>
      </c>
      <c r="J59" s="8" t="s">
        <v>4672</v>
      </c>
      <c r="K59" s="8" t="s">
        <v>4601</v>
      </c>
      <c r="L59" s="8" t="s">
        <v>4602</v>
      </c>
      <c r="M59" s="8" t="s">
        <v>4722</v>
      </c>
      <c r="N59" s="8" t="s">
        <v>4604</v>
      </c>
      <c r="O59" s="8" t="s">
        <v>4722</v>
      </c>
      <c r="P59" s="399" t="s">
        <v>4674</v>
      </c>
      <c r="Q59" s="399" t="s">
        <v>4535</v>
      </c>
      <c r="R59" s="399" t="s">
        <v>4675</v>
      </c>
      <c r="S59" s="401" t="s">
        <v>4527</v>
      </c>
      <c r="T59" s="401" t="s">
        <v>4536</v>
      </c>
      <c r="U59" s="400">
        <v>43382</v>
      </c>
      <c r="V59" s="401" t="s">
        <v>242</v>
      </c>
      <c r="W59" s="401" t="s">
        <v>76</v>
      </c>
      <c r="X59" s="401" t="s">
        <v>4608</v>
      </c>
      <c r="Y59" s="402" t="s">
        <v>4609</v>
      </c>
      <c r="Z59" s="402" t="s">
        <v>4540</v>
      </c>
    </row>
    <row r="60" spans="1:26" x14ac:dyDescent="0.25">
      <c r="A60" s="8" t="s">
        <v>3742</v>
      </c>
      <c r="B60" s="8" t="s">
        <v>4527</v>
      </c>
      <c r="C60" s="8" t="s">
        <v>114</v>
      </c>
      <c r="D60" s="8" t="s">
        <v>113</v>
      </c>
      <c r="E60" s="8" t="s">
        <v>4527</v>
      </c>
      <c r="F60" s="8" t="s">
        <v>4723</v>
      </c>
      <c r="G60" s="8" t="s">
        <v>3479</v>
      </c>
      <c r="H60" s="8" t="s">
        <v>3634</v>
      </c>
      <c r="I60" s="8" t="s">
        <v>3741</v>
      </c>
      <c r="J60" s="8" t="s">
        <v>4679</v>
      </c>
      <c r="K60" s="8" t="s">
        <v>4601</v>
      </c>
      <c r="L60" s="8" t="s">
        <v>4602</v>
      </c>
      <c r="M60" s="8" t="s">
        <v>4724</v>
      </c>
      <c r="N60" s="8" t="s">
        <v>4604</v>
      </c>
      <c r="O60" s="8" t="s">
        <v>4724</v>
      </c>
      <c r="P60" s="399" t="s">
        <v>4642</v>
      </c>
      <c r="Q60" s="399" t="s">
        <v>4535</v>
      </c>
      <c r="R60" s="399" t="s">
        <v>114</v>
      </c>
      <c r="S60" s="401" t="s">
        <v>4527</v>
      </c>
      <c r="T60" s="401" t="s">
        <v>4536</v>
      </c>
      <c r="U60" s="400">
        <v>43119</v>
      </c>
      <c r="V60" s="401" t="s">
        <v>242</v>
      </c>
      <c r="W60" s="401" t="s">
        <v>4537</v>
      </c>
      <c r="X60" s="401" t="s">
        <v>4538</v>
      </c>
      <c r="Y60" s="402" t="s">
        <v>4539</v>
      </c>
      <c r="Z60" s="402" t="s">
        <v>4540</v>
      </c>
    </row>
    <row r="61" spans="1:26" x14ac:dyDescent="0.25">
      <c r="A61" s="8"/>
      <c r="B61" s="8" t="s">
        <v>4527</v>
      </c>
      <c r="C61" s="8" t="s">
        <v>4054</v>
      </c>
      <c r="D61" s="8" t="s">
        <v>4055</v>
      </c>
      <c r="E61" s="8" t="s">
        <v>4527</v>
      </c>
      <c r="F61" s="8" t="s">
        <v>4725</v>
      </c>
      <c r="G61" s="8" t="s">
        <v>4695</v>
      </c>
      <c r="H61" s="8" t="s">
        <v>4057</v>
      </c>
      <c r="I61" s="8" t="s">
        <v>2818</v>
      </c>
      <c r="J61" s="8" t="s">
        <v>4058</v>
      </c>
      <c r="K61" s="8" t="s">
        <v>4601</v>
      </c>
      <c r="L61" s="8" t="s">
        <v>4602</v>
      </c>
      <c r="M61" s="8" t="s">
        <v>4726</v>
      </c>
      <c r="N61" s="8" t="s">
        <v>4604</v>
      </c>
      <c r="O61" s="8" t="s">
        <v>4726</v>
      </c>
      <c r="P61" s="399" t="s">
        <v>4691</v>
      </c>
      <c r="Q61" s="399" t="s">
        <v>4535</v>
      </c>
      <c r="R61" s="399" t="s">
        <v>4692</v>
      </c>
      <c r="S61" s="401" t="s">
        <v>4527</v>
      </c>
      <c r="T61" s="401" t="s">
        <v>4536</v>
      </c>
      <c r="U61" s="400">
        <v>43034</v>
      </c>
      <c r="V61" s="401" t="s">
        <v>242</v>
      </c>
      <c r="W61" s="401" t="s">
        <v>4697</v>
      </c>
      <c r="X61" s="401" t="s">
        <v>4608</v>
      </c>
      <c r="Y61" s="402" t="s">
        <v>4609</v>
      </c>
      <c r="Z61" s="402" t="s">
        <v>4540</v>
      </c>
    </row>
    <row r="62" spans="1:26" x14ac:dyDescent="0.25">
      <c r="A62" s="8" t="s">
        <v>3727</v>
      </c>
      <c r="B62" s="8" t="s">
        <v>4527</v>
      </c>
      <c r="C62" s="8" t="s">
        <v>1623</v>
      </c>
      <c r="D62" s="8" t="s">
        <v>85</v>
      </c>
      <c r="E62" s="8" t="s">
        <v>4527</v>
      </c>
      <c r="F62" s="8" t="s">
        <v>4727</v>
      </c>
      <c r="G62" s="8" t="s">
        <v>730</v>
      </c>
      <c r="H62" s="8" t="s">
        <v>3728</v>
      </c>
      <c r="I62" s="8" t="s">
        <v>4728</v>
      </c>
      <c r="J62" s="8" t="s">
        <v>4672</v>
      </c>
      <c r="K62" s="8" t="s">
        <v>4601</v>
      </c>
      <c r="L62" s="8" t="s">
        <v>4602</v>
      </c>
      <c r="M62" s="8" t="s">
        <v>4729</v>
      </c>
      <c r="N62" s="8" t="s">
        <v>4604</v>
      </c>
      <c r="O62" s="8" t="s">
        <v>4729</v>
      </c>
      <c r="P62" s="399" t="s">
        <v>4674</v>
      </c>
      <c r="Q62" s="399" t="s">
        <v>4535</v>
      </c>
      <c r="R62" s="399" t="s">
        <v>4675</v>
      </c>
      <c r="S62" s="401" t="s">
        <v>4527</v>
      </c>
      <c r="T62" s="401" t="s">
        <v>4536</v>
      </c>
      <c r="U62" s="400">
        <v>42858</v>
      </c>
      <c r="V62" s="401" t="s">
        <v>242</v>
      </c>
      <c r="W62" s="401" t="s">
        <v>4730</v>
      </c>
      <c r="X62" s="401" t="s">
        <v>4608</v>
      </c>
      <c r="Y62" s="402" t="s">
        <v>4609</v>
      </c>
      <c r="Z62" s="402" t="s">
        <v>4540</v>
      </c>
    </row>
    <row r="63" spans="1:26" x14ac:dyDescent="0.25">
      <c r="A63" s="8"/>
      <c r="B63" s="8" t="s">
        <v>4527</v>
      </c>
      <c r="C63" s="8" t="s">
        <v>4050</v>
      </c>
      <c r="D63" s="8" t="s">
        <v>4051</v>
      </c>
      <c r="E63" s="8" t="s">
        <v>4527</v>
      </c>
      <c r="F63" s="8" t="s">
        <v>4731</v>
      </c>
      <c r="G63" s="8" t="s">
        <v>3853</v>
      </c>
      <c r="H63" s="8" t="s">
        <v>4052</v>
      </c>
      <c r="I63" s="8" t="s">
        <v>4671</v>
      </c>
      <c r="J63" s="8" t="s">
        <v>4053</v>
      </c>
      <c r="K63" s="8" t="s">
        <v>4601</v>
      </c>
      <c r="L63" s="8" t="s">
        <v>4602</v>
      </c>
      <c r="M63" s="8" t="s">
        <v>4732</v>
      </c>
      <c r="N63" s="8" t="s">
        <v>4604</v>
      </c>
      <c r="O63" s="8" t="s">
        <v>4732</v>
      </c>
      <c r="P63" s="399" t="s">
        <v>4691</v>
      </c>
      <c r="Q63" s="399" t="s">
        <v>4535</v>
      </c>
      <c r="R63" s="399" t="s">
        <v>4692</v>
      </c>
      <c r="S63" s="401" t="s">
        <v>4527</v>
      </c>
      <c r="T63" s="401" t="s">
        <v>4536</v>
      </c>
      <c r="U63" s="400">
        <v>42761</v>
      </c>
      <c r="V63" s="401" t="s">
        <v>242</v>
      </c>
      <c r="W63" s="401" t="s">
        <v>38</v>
      </c>
      <c r="X63" s="401" t="s">
        <v>4608</v>
      </c>
      <c r="Y63" s="402" t="s">
        <v>4609</v>
      </c>
      <c r="Z63" s="402" t="s">
        <v>4540</v>
      </c>
    </row>
    <row r="64" spans="1:26" x14ac:dyDescent="0.25">
      <c r="A64" s="8"/>
      <c r="B64" s="8" t="s">
        <v>4527</v>
      </c>
      <c r="C64" s="8" t="s">
        <v>4733</v>
      </c>
      <c r="D64" s="8" t="s">
        <v>4046</v>
      </c>
      <c r="E64" s="8" t="s">
        <v>4527</v>
      </c>
      <c r="F64" s="8" t="s">
        <v>4734</v>
      </c>
      <c r="G64" s="8" t="s">
        <v>4047</v>
      </c>
      <c r="H64" s="8" t="s">
        <v>4735</v>
      </c>
      <c r="I64" s="8" t="s">
        <v>4736</v>
      </c>
      <c r="J64" s="8" t="s">
        <v>4049</v>
      </c>
      <c r="K64" s="8" t="s">
        <v>4601</v>
      </c>
      <c r="L64" s="8" t="s">
        <v>4602</v>
      </c>
      <c r="M64" s="8" t="s">
        <v>4737</v>
      </c>
      <c r="N64" s="8" t="s">
        <v>4604</v>
      </c>
      <c r="O64" s="8" t="s">
        <v>4737</v>
      </c>
      <c r="P64" s="399" t="s">
        <v>4534</v>
      </c>
      <c r="Q64" s="399" t="s">
        <v>4535</v>
      </c>
      <c r="R64" s="399" t="s">
        <v>238</v>
      </c>
      <c r="S64" s="401" t="s">
        <v>4527</v>
      </c>
      <c r="T64" s="401" t="s">
        <v>4536</v>
      </c>
      <c r="U64" s="400">
        <v>42752</v>
      </c>
      <c r="V64" s="401" t="s">
        <v>242</v>
      </c>
      <c r="W64" s="401" t="s">
        <v>4537</v>
      </c>
      <c r="X64" s="401" t="s">
        <v>4538</v>
      </c>
      <c r="Y64" s="402" t="s">
        <v>4539</v>
      </c>
      <c r="Z64" s="402" t="s">
        <v>4540</v>
      </c>
    </row>
    <row r="65" spans="1:26" x14ac:dyDescent="0.25">
      <c r="A65" s="8" t="s">
        <v>3718</v>
      </c>
      <c r="B65" s="8" t="s">
        <v>4738</v>
      </c>
      <c r="C65" s="8" t="s">
        <v>114</v>
      </c>
      <c r="D65" s="8" t="s">
        <v>120</v>
      </c>
      <c r="E65" s="8" t="s">
        <v>4739</v>
      </c>
      <c r="F65" s="8" t="s">
        <v>4734</v>
      </c>
      <c r="G65" s="8" t="s">
        <v>4740</v>
      </c>
      <c r="H65" s="8" t="s">
        <v>3721</v>
      </c>
      <c r="I65" s="8" t="s">
        <v>4741</v>
      </c>
      <c r="J65" s="8" t="s">
        <v>4742</v>
      </c>
      <c r="K65" s="8" t="s">
        <v>4601</v>
      </c>
      <c r="L65" s="8" t="s">
        <v>4602</v>
      </c>
      <c r="M65" s="8" t="s">
        <v>4743</v>
      </c>
      <c r="N65" s="8" t="s">
        <v>4744</v>
      </c>
      <c r="O65" s="8"/>
      <c r="P65" s="399" t="s">
        <v>4642</v>
      </c>
      <c r="Q65" s="399" t="s">
        <v>4535</v>
      </c>
      <c r="R65" s="399" t="s">
        <v>114</v>
      </c>
      <c r="S65" s="401" t="s">
        <v>4739</v>
      </c>
      <c r="T65" s="401" t="s">
        <v>4536</v>
      </c>
      <c r="U65" s="400">
        <v>42752</v>
      </c>
      <c r="V65" s="401" t="s">
        <v>242</v>
      </c>
      <c r="W65" s="401" t="s">
        <v>4537</v>
      </c>
      <c r="X65" s="401" t="s">
        <v>4538</v>
      </c>
      <c r="Y65" s="402" t="s">
        <v>4539</v>
      </c>
      <c r="Z65" s="402" t="s">
        <v>4540</v>
      </c>
    </row>
    <row r="66" spans="1:26" x14ac:dyDescent="0.25">
      <c r="A66" s="8"/>
      <c r="B66" s="8" t="s">
        <v>4738</v>
      </c>
      <c r="C66" s="8" t="s">
        <v>4050</v>
      </c>
      <c r="D66" s="8" t="s">
        <v>124</v>
      </c>
      <c r="E66" s="8" t="s">
        <v>4739</v>
      </c>
      <c r="F66" s="8" t="s">
        <v>4734</v>
      </c>
      <c r="G66" s="8" t="s">
        <v>3721</v>
      </c>
      <c r="H66" s="8" t="s">
        <v>3883</v>
      </c>
      <c r="I66" s="8" t="s">
        <v>4741</v>
      </c>
      <c r="J66" s="8" t="s">
        <v>4745</v>
      </c>
      <c r="K66" s="8" t="s">
        <v>4601</v>
      </c>
      <c r="L66" s="8" t="s">
        <v>4602</v>
      </c>
      <c r="M66" s="8" t="s">
        <v>4746</v>
      </c>
      <c r="N66" s="8" t="s">
        <v>4744</v>
      </c>
      <c r="O66" s="8"/>
      <c r="P66" s="399" t="s">
        <v>4691</v>
      </c>
      <c r="Q66" s="399" t="s">
        <v>4535</v>
      </c>
      <c r="R66" s="399" t="s">
        <v>4692</v>
      </c>
      <c r="S66" s="401" t="s">
        <v>4739</v>
      </c>
      <c r="T66" s="401" t="s">
        <v>4536</v>
      </c>
      <c r="U66" s="400">
        <v>42752</v>
      </c>
      <c r="V66" s="401" t="s">
        <v>242</v>
      </c>
      <c r="W66" s="401" t="s">
        <v>4537</v>
      </c>
      <c r="X66" s="401" t="s">
        <v>4538</v>
      </c>
      <c r="Y66" s="402" t="s">
        <v>4539</v>
      </c>
      <c r="Z66" s="402" t="s">
        <v>4540</v>
      </c>
    </row>
    <row r="67" spans="1:26" x14ac:dyDescent="0.25">
      <c r="A67" s="8"/>
      <c r="B67" s="8" t="s">
        <v>4738</v>
      </c>
      <c r="C67" s="8" t="s">
        <v>4733</v>
      </c>
      <c r="D67" s="8" t="s">
        <v>4747</v>
      </c>
      <c r="E67" s="8" t="s">
        <v>4739</v>
      </c>
      <c r="F67" s="8" t="s">
        <v>4734</v>
      </c>
      <c r="G67" s="8" t="s">
        <v>3883</v>
      </c>
      <c r="H67" s="8" t="s">
        <v>4735</v>
      </c>
      <c r="I67" s="8" t="s">
        <v>4741</v>
      </c>
      <c r="J67" s="8" t="s">
        <v>4049</v>
      </c>
      <c r="K67" s="8" t="s">
        <v>4601</v>
      </c>
      <c r="L67" s="8" t="s">
        <v>4602</v>
      </c>
      <c r="M67" s="8" t="s">
        <v>4748</v>
      </c>
      <c r="N67" s="8" t="s">
        <v>4744</v>
      </c>
      <c r="O67" s="8"/>
      <c r="P67" s="399" t="s">
        <v>4534</v>
      </c>
      <c r="Q67" s="399" t="s">
        <v>4535</v>
      </c>
      <c r="R67" s="399" t="s">
        <v>238</v>
      </c>
      <c r="S67" s="401" t="s">
        <v>4739</v>
      </c>
      <c r="T67" s="401" t="s">
        <v>4536</v>
      </c>
      <c r="U67" s="400">
        <v>42752</v>
      </c>
      <c r="V67" s="401" t="s">
        <v>242</v>
      </c>
      <c r="W67" s="401" t="s">
        <v>4537</v>
      </c>
      <c r="X67" s="401" t="s">
        <v>4538</v>
      </c>
      <c r="Y67" s="402" t="s">
        <v>4539</v>
      </c>
      <c r="Z67" s="402" t="s">
        <v>4540</v>
      </c>
    </row>
    <row r="68" spans="1:26" x14ac:dyDescent="0.25">
      <c r="A68" s="8">
        <v>397</v>
      </c>
      <c r="B68" s="8" t="s">
        <v>4749</v>
      </c>
      <c r="C68" s="8" t="s">
        <v>4750</v>
      </c>
      <c r="D68" s="8"/>
      <c r="E68" s="8"/>
      <c r="F68" s="403">
        <v>46184</v>
      </c>
      <c r="G68" s="8"/>
      <c r="H68" s="8"/>
      <c r="I68" s="8" t="s">
        <v>4751</v>
      </c>
      <c r="J68" s="8" t="s">
        <v>4752</v>
      </c>
      <c r="K68" s="8" t="s">
        <v>4753</v>
      </c>
      <c r="L68" s="8" t="s">
        <v>4754</v>
      </c>
      <c r="M68" s="8" t="s">
        <v>4755</v>
      </c>
      <c r="N68" s="8" t="s">
        <v>4756</v>
      </c>
      <c r="O68" s="8" t="s">
        <v>4757</v>
      </c>
      <c r="P68" s="399" t="s">
        <v>4758</v>
      </c>
      <c r="Q68" s="399" t="s">
        <v>4535</v>
      </c>
      <c r="R68" s="399" t="s">
        <v>4759</v>
      </c>
      <c r="S68" s="400">
        <v>46184</v>
      </c>
      <c r="T68" s="401" t="s">
        <v>4760</v>
      </c>
      <c r="U68" s="400">
        <v>46184</v>
      </c>
      <c r="V68" s="401" t="s">
        <v>242</v>
      </c>
      <c r="W68" s="401" t="s">
        <v>4537</v>
      </c>
      <c r="X68" s="401" t="s">
        <v>4538</v>
      </c>
      <c r="Y68" s="402" t="s">
        <v>4539</v>
      </c>
      <c r="Z68" s="402" t="s">
        <v>4761</v>
      </c>
    </row>
    <row r="69" spans="1:26" x14ac:dyDescent="0.25">
      <c r="A69" s="401">
        <v>398</v>
      </c>
      <c r="B69" s="401" t="s">
        <v>4762</v>
      </c>
      <c r="C69" s="401" t="s">
        <v>4763</v>
      </c>
      <c r="D69" s="401"/>
      <c r="E69" s="401"/>
      <c r="F69" s="400">
        <v>46184</v>
      </c>
      <c r="G69" s="401" t="s">
        <v>4764</v>
      </c>
      <c r="H69" s="401"/>
      <c r="I69" s="401" t="s">
        <v>4765</v>
      </c>
      <c r="J69" s="401" t="s">
        <v>4766</v>
      </c>
      <c r="K69" s="401" t="s">
        <v>4767</v>
      </c>
      <c r="L69" s="401" t="s">
        <v>4768</v>
      </c>
      <c r="M69" s="401" t="s">
        <v>4769</v>
      </c>
      <c r="N69" s="401" t="s">
        <v>4770</v>
      </c>
      <c r="O69" s="401" t="s">
        <v>4769</v>
      </c>
      <c r="P69" s="402" t="s">
        <v>4771</v>
      </c>
      <c r="Q69" s="402" t="s">
        <v>4535</v>
      </c>
      <c r="R69" s="402" t="s">
        <v>4762</v>
      </c>
      <c r="S69" s="400">
        <v>46184</v>
      </c>
      <c r="T69" s="401" t="s">
        <v>4760</v>
      </c>
      <c r="U69" s="400">
        <v>46184</v>
      </c>
      <c r="V69" s="401"/>
      <c r="W69" s="401"/>
      <c r="X69" s="401" t="s">
        <v>4772</v>
      </c>
      <c r="Y69" s="402" t="s">
        <v>4539</v>
      </c>
      <c r="Z69" s="402" t="s">
        <v>4540</v>
      </c>
    </row>
    <row r="70" spans="1:26" x14ac:dyDescent="0.25">
      <c r="A70" s="401">
        <v>399</v>
      </c>
      <c r="B70" s="401" t="s">
        <v>4762</v>
      </c>
      <c r="C70" s="401" t="s">
        <v>4773</v>
      </c>
      <c r="D70" s="401"/>
      <c r="E70" s="401"/>
      <c r="F70" s="400">
        <v>46184</v>
      </c>
      <c r="G70" s="401"/>
      <c r="H70" s="401"/>
      <c r="I70" s="401" t="s">
        <v>4751</v>
      </c>
      <c r="J70" s="401" t="s">
        <v>4774</v>
      </c>
      <c r="K70" s="401" t="s">
        <v>4775</v>
      </c>
      <c r="L70" s="401" t="s">
        <v>4776</v>
      </c>
      <c r="M70" s="401" t="s">
        <v>4755</v>
      </c>
      <c r="N70" s="401" t="s">
        <v>4777</v>
      </c>
      <c r="O70" s="401" t="s">
        <v>4755</v>
      </c>
      <c r="P70" s="402" t="s">
        <v>4778</v>
      </c>
      <c r="Q70" s="402" t="s">
        <v>4535</v>
      </c>
      <c r="R70" s="402" t="s">
        <v>4762</v>
      </c>
      <c r="S70" s="400">
        <v>46184</v>
      </c>
      <c r="T70" s="401" t="s">
        <v>4760</v>
      </c>
      <c r="U70" s="400">
        <v>46184</v>
      </c>
      <c r="V70" s="401" t="s">
        <v>242</v>
      </c>
      <c r="W70" s="401" t="s">
        <v>4537</v>
      </c>
      <c r="X70" s="401" t="s">
        <v>4538</v>
      </c>
      <c r="Y70" s="402" t="s">
        <v>4539</v>
      </c>
      <c r="Z70" s="402" t="s">
        <v>4761</v>
      </c>
    </row>
    <row r="71" spans="1:26" x14ac:dyDescent="0.25">
      <c r="A71" s="401">
        <v>400</v>
      </c>
      <c r="B71" s="401" t="s">
        <v>4762</v>
      </c>
      <c r="C71" s="401" t="s">
        <v>4779</v>
      </c>
      <c r="D71" s="401"/>
      <c r="E71" s="401"/>
      <c r="F71" s="400">
        <v>46184</v>
      </c>
      <c r="G71" s="401" t="s">
        <v>4780</v>
      </c>
      <c r="H71" s="401"/>
      <c r="I71" s="401" t="s">
        <v>4781</v>
      </c>
      <c r="J71" s="401" t="s">
        <v>4782</v>
      </c>
      <c r="K71" s="401" t="s">
        <v>4767</v>
      </c>
      <c r="L71" s="401" t="s">
        <v>4783</v>
      </c>
      <c r="M71" s="401" t="s">
        <v>4769</v>
      </c>
      <c r="N71" s="401" t="s">
        <v>4784</v>
      </c>
      <c r="O71" s="401" t="s">
        <v>4769</v>
      </c>
      <c r="P71" s="402" t="s">
        <v>4785</v>
      </c>
      <c r="Q71" s="402" t="s">
        <v>4786</v>
      </c>
      <c r="R71" s="402" t="s">
        <v>4762</v>
      </c>
      <c r="S71" s="400">
        <v>46184</v>
      </c>
      <c r="T71" s="401" t="s">
        <v>4760</v>
      </c>
      <c r="U71" s="400">
        <v>46184</v>
      </c>
      <c r="V71" s="401" t="s">
        <v>242</v>
      </c>
      <c r="W71" s="401"/>
      <c r="X71" s="401" t="s">
        <v>4772</v>
      </c>
      <c r="Y71" s="402" t="s">
        <v>4539</v>
      </c>
      <c r="Z71" s="402" t="s">
        <v>4540</v>
      </c>
    </row>
    <row r="72" spans="1:26" x14ac:dyDescent="0.25">
      <c r="A72" s="401">
        <v>401</v>
      </c>
      <c r="B72" s="401" t="s">
        <v>4762</v>
      </c>
      <c r="C72" s="401" t="s">
        <v>114</v>
      </c>
      <c r="D72" s="401" t="s">
        <v>4787</v>
      </c>
      <c r="E72" s="401"/>
      <c r="F72" s="400">
        <v>42752</v>
      </c>
      <c r="G72" s="401" t="s">
        <v>4788</v>
      </c>
      <c r="H72" s="401" t="s">
        <v>4789</v>
      </c>
      <c r="I72" s="401" t="s">
        <v>4790</v>
      </c>
      <c r="J72" s="401" t="s">
        <v>4791</v>
      </c>
      <c r="K72" s="401" t="s">
        <v>4792</v>
      </c>
      <c r="L72" s="401" t="s">
        <v>4793</v>
      </c>
      <c r="M72" s="401" t="s">
        <v>4743</v>
      </c>
      <c r="N72" s="401" t="s">
        <v>4794</v>
      </c>
      <c r="O72" s="401" t="s">
        <v>4743</v>
      </c>
      <c r="P72" s="402" t="s">
        <v>4795</v>
      </c>
      <c r="Q72" s="402" t="s">
        <v>4535</v>
      </c>
      <c r="R72" s="402" t="s">
        <v>114</v>
      </c>
      <c r="S72" s="400">
        <v>42752</v>
      </c>
      <c r="T72" s="401" t="s">
        <v>4760</v>
      </c>
      <c r="U72" s="400">
        <v>42752</v>
      </c>
      <c r="V72" s="401" t="s">
        <v>242</v>
      </c>
      <c r="W72" s="401" t="s">
        <v>4537</v>
      </c>
      <c r="X72" s="401" t="s">
        <v>4538</v>
      </c>
      <c r="Y72" s="402" t="s">
        <v>4539</v>
      </c>
      <c r="Z72" s="402" t="s">
        <v>4540</v>
      </c>
    </row>
    <row r="73" spans="1:26" x14ac:dyDescent="0.25">
      <c r="A73" s="401">
        <v>402</v>
      </c>
      <c r="B73" s="401" t="s">
        <v>4762</v>
      </c>
      <c r="C73" s="401" t="s">
        <v>4050</v>
      </c>
      <c r="D73" s="401" t="s">
        <v>4796</v>
      </c>
      <c r="E73" s="401"/>
      <c r="F73" s="400">
        <v>42752</v>
      </c>
      <c r="G73" s="401" t="s">
        <v>4789</v>
      </c>
      <c r="H73" s="401" t="s">
        <v>4797</v>
      </c>
      <c r="I73" s="401" t="s">
        <v>4790</v>
      </c>
      <c r="J73" s="401" t="s">
        <v>4798</v>
      </c>
      <c r="K73" s="401" t="s">
        <v>4799</v>
      </c>
      <c r="L73" s="401" t="s">
        <v>4800</v>
      </c>
      <c r="M73" s="401" t="s">
        <v>4801</v>
      </c>
      <c r="N73" s="401" t="s">
        <v>4802</v>
      </c>
      <c r="O73" s="401" t="s">
        <v>4801</v>
      </c>
      <c r="P73" s="402" t="s">
        <v>4803</v>
      </c>
      <c r="Q73" s="402" t="s">
        <v>4535</v>
      </c>
      <c r="R73" s="402" t="s">
        <v>4692</v>
      </c>
      <c r="S73" s="400">
        <v>42752</v>
      </c>
      <c r="T73" s="401" t="s">
        <v>4760</v>
      </c>
      <c r="U73" s="400">
        <v>42752</v>
      </c>
      <c r="V73" s="401" t="s">
        <v>242</v>
      </c>
      <c r="W73" s="401" t="s">
        <v>4537</v>
      </c>
      <c r="X73" s="401" t="s">
        <v>4538</v>
      </c>
      <c r="Y73" s="402" t="s">
        <v>4539</v>
      </c>
      <c r="Z73" s="402" t="s">
        <v>4540</v>
      </c>
    </row>
    <row r="74" spans="1:26" x14ac:dyDescent="0.25">
      <c r="A74" s="401">
        <v>403</v>
      </c>
      <c r="B74" s="401" t="s">
        <v>4762</v>
      </c>
      <c r="C74" s="401" t="s">
        <v>4067</v>
      </c>
      <c r="D74" s="401" t="s">
        <v>4804</v>
      </c>
      <c r="E74" s="401"/>
      <c r="F74" s="400">
        <v>45609</v>
      </c>
      <c r="G74" s="401" t="s">
        <v>4805</v>
      </c>
      <c r="H74" s="401" t="s">
        <v>4789</v>
      </c>
      <c r="I74" s="401" t="s">
        <v>4790</v>
      </c>
      <c r="J74" s="401" t="s">
        <v>4806</v>
      </c>
      <c r="K74" s="401" t="s">
        <v>4799</v>
      </c>
      <c r="L74" s="401" t="s">
        <v>4800</v>
      </c>
      <c r="M74" s="401" t="s">
        <v>4807</v>
      </c>
      <c r="N74" s="401" t="s">
        <v>4808</v>
      </c>
      <c r="O74" s="401" t="s">
        <v>4807</v>
      </c>
      <c r="P74" s="402" t="s">
        <v>4809</v>
      </c>
      <c r="Q74" s="402" t="s">
        <v>4535</v>
      </c>
      <c r="R74" s="402" t="s">
        <v>4692</v>
      </c>
      <c r="S74" s="400">
        <v>45609</v>
      </c>
      <c r="T74" s="401" t="s">
        <v>4760</v>
      </c>
      <c r="U74" s="400">
        <v>45609</v>
      </c>
      <c r="V74" s="401" t="s">
        <v>242</v>
      </c>
      <c r="W74" s="401" t="s">
        <v>4537</v>
      </c>
      <c r="X74" s="401" t="s">
        <v>4538</v>
      </c>
      <c r="Y74" s="402" t="s">
        <v>4539</v>
      </c>
      <c r="Z74" s="402" t="s">
        <v>4540</v>
      </c>
    </row>
    <row r="75" spans="1:26" x14ac:dyDescent="0.25">
      <c r="A75" s="401">
        <v>404</v>
      </c>
      <c r="B75" s="401" t="s">
        <v>4762</v>
      </c>
      <c r="C75" s="401" t="s">
        <v>4733</v>
      </c>
      <c r="D75" s="401" t="s">
        <v>4810</v>
      </c>
      <c r="E75" s="401"/>
      <c r="F75" s="400">
        <v>42752</v>
      </c>
      <c r="G75" s="401" t="s">
        <v>4811</v>
      </c>
      <c r="H75" s="401" t="s">
        <v>4812</v>
      </c>
      <c r="I75" s="401" t="s">
        <v>4813</v>
      </c>
      <c r="J75" s="401" t="s">
        <v>4814</v>
      </c>
      <c r="K75" s="401" t="s">
        <v>4792</v>
      </c>
      <c r="L75" s="401" t="s">
        <v>4815</v>
      </c>
      <c r="M75" s="401" t="s">
        <v>4737</v>
      </c>
      <c r="N75" s="401" t="s">
        <v>4816</v>
      </c>
      <c r="O75" s="401" t="s">
        <v>4737</v>
      </c>
      <c r="P75" s="402" t="s">
        <v>4817</v>
      </c>
      <c r="Q75" s="402" t="s">
        <v>4535</v>
      </c>
      <c r="R75" s="402" t="s">
        <v>4692</v>
      </c>
      <c r="S75" s="400">
        <v>42752</v>
      </c>
      <c r="T75" s="401" t="s">
        <v>4760</v>
      </c>
      <c r="U75" s="400">
        <v>42752</v>
      </c>
      <c r="V75" s="401" t="s">
        <v>242</v>
      </c>
      <c r="W75" s="401" t="s">
        <v>4537</v>
      </c>
      <c r="X75" s="401" t="s">
        <v>4538</v>
      </c>
      <c r="Y75" s="402" t="s">
        <v>4539</v>
      </c>
      <c r="Z75" s="402" t="s">
        <v>4540</v>
      </c>
    </row>
    <row r="76" spans="1:26" x14ac:dyDescent="0.25">
      <c r="A76" s="401">
        <v>405</v>
      </c>
      <c r="B76" s="401" t="s">
        <v>4762</v>
      </c>
      <c r="C76" s="401" t="s">
        <v>4818</v>
      </c>
      <c r="D76" s="401"/>
      <c r="E76" s="401"/>
      <c r="F76" s="400">
        <v>46184</v>
      </c>
      <c r="G76" s="401" t="s">
        <v>4780</v>
      </c>
      <c r="H76" s="401"/>
      <c r="I76" s="401" t="s">
        <v>4819</v>
      </c>
      <c r="J76" s="401" t="s">
        <v>4820</v>
      </c>
      <c r="K76" s="401" t="s">
        <v>4799</v>
      </c>
      <c r="L76" s="401" t="s">
        <v>4821</v>
      </c>
      <c r="M76" s="401" t="s">
        <v>4822</v>
      </c>
      <c r="N76" s="401" t="s">
        <v>4823</v>
      </c>
      <c r="O76" s="401" t="s">
        <v>4822</v>
      </c>
      <c r="P76" s="402" t="s">
        <v>4824</v>
      </c>
      <c r="Q76" s="402" t="s">
        <v>4535</v>
      </c>
      <c r="R76" s="402" t="s">
        <v>4759</v>
      </c>
      <c r="S76" s="400">
        <v>46184</v>
      </c>
      <c r="T76" s="401" t="s">
        <v>4760</v>
      </c>
      <c r="U76" s="400">
        <v>46184</v>
      </c>
      <c r="V76" s="401"/>
      <c r="W76" s="401"/>
      <c r="X76" s="401" t="s">
        <v>4772</v>
      </c>
      <c r="Y76" s="402" t="s">
        <v>4539</v>
      </c>
      <c r="Z76" s="402" t="s">
        <v>4540</v>
      </c>
    </row>
    <row r="77" spans="1:26" x14ac:dyDescent="0.25">
      <c r="A77" s="401">
        <v>406</v>
      </c>
      <c r="B77" s="401" t="s">
        <v>4825</v>
      </c>
      <c r="C77" s="401" t="s">
        <v>4050</v>
      </c>
      <c r="D77" s="401" t="s">
        <v>4826</v>
      </c>
      <c r="E77" s="401"/>
      <c r="F77" s="400">
        <v>42593</v>
      </c>
      <c r="G77" s="401" t="s">
        <v>4827</v>
      </c>
      <c r="H77" s="401" t="s">
        <v>4828</v>
      </c>
      <c r="I77" s="401" t="s">
        <v>4829</v>
      </c>
      <c r="J77" s="401" t="s">
        <v>4830</v>
      </c>
      <c r="K77" s="401" t="s">
        <v>4831</v>
      </c>
      <c r="L77" s="401" t="s">
        <v>4832</v>
      </c>
      <c r="M77" s="401" t="s">
        <v>4833</v>
      </c>
      <c r="N77" s="401" t="s">
        <v>4834</v>
      </c>
      <c r="O77" s="401" t="s">
        <v>4835</v>
      </c>
      <c r="P77" s="401" t="s">
        <v>4836</v>
      </c>
      <c r="Q77" s="401" t="s">
        <v>4535</v>
      </c>
      <c r="R77" s="401" t="s">
        <v>4692</v>
      </c>
      <c r="S77" s="400">
        <v>42593</v>
      </c>
      <c r="T77" s="401" t="s">
        <v>4837</v>
      </c>
      <c r="U77" s="400">
        <v>42593</v>
      </c>
      <c r="V77" s="401" t="s">
        <v>242</v>
      </c>
      <c r="W77" s="401" t="s">
        <v>4838</v>
      </c>
      <c r="X77" s="401" t="s">
        <v>4839</v>
      </c>
      <c r="Y77" s="402" t="s">
        <v>4609</v>
      </c>
      <c r="Z77" s="402" t="s">
        <v>4840</v>
      </c>
    </row>
    <row r="78" spans="1:26" x14ac:dyDescent="0.25">
      <c r="A78" s="401">
        <v>407</v>
      </c>
      <c r="B78" s="401" t="s">
        <v>4825</v>
      </c>
      <c r="C78" s="401" t="s">
        <v>114</v>
      </c>
      <c r="D78" s="401" t="s">
        <v>4841</v>
      </c>
      <c r="E78" s="401"/>
      <c r="F78" s="400">
        <v>42593</v>
      </c>
      <c r="G78" s="401" t="s">
        <v>4842</v>
      </c>
      <c r="H78" s="401" t="s">
        <v>4827</v>
      </c>
      <c r="I78" s="401" t="s">
        <v>4843</v>
      </c>
      <c r="J78" s="401" t="s">
        <v>4844</v>
      </c>
      <c r="K78" s="401" t="s">
        <v>4831</v>
      </c>
      <c r="L78" s="401" t="s">
        <v>4832</v>
      </c>
      <c r="M78" s="401" t="s">
        <v>4845</v>
      </c>
      <c r="N78" s="401" t="s">
        <v>4834</v>
      </c>
      <c r="O78" s="401" t="s">
        <v>4835</v>
      </c>
      <c r="P78" s="401" t="s">
        <v>4846</v>
      </c>
      <c r="Q78" s="401" t="s">
        <v>4535</v>
      </c>
      <c r="R78" s="401" t="s">
        <v>114</v>
      </c>
      <c r="S78" s="400">
        <v>42593</v>
      </c>
      <c r="T78" s="401" t="s">
        <v>4837</v>
      </c>
      <c r="U78" s="400">
        <v>42593</v>
      </c>
      <c r="V78" s="401"/>
      <c r="W78" s="401" t="s">
        <v>4847</v>
      </c>
      <c r="X78" s="401" t="s">
        <v>4848</v>
      </c>
      <c r="Y78" s="402" t="s">
        <v>4609</v>
      </c>
      <c r="Z78" s="402" t="s">
        <v>4849</v>
      </c>
    </row>
    <row r="79" spans="1:26" x14ac:dyDescent="0.25">
      <c r="A79" s="401">
        <v>408</v>
      </c>
      <c r="B79" s="401" t="s">
        <v>4825</v>
      </c>
      <c r="C79" s="401" t="s">
        <v>82</v>
      </c>
      <c r="D79" s="401" t="s">
        <v>4850</v>
      </c>
      <c r="E79" s="401"/>
      <c r="F79" s="400">
        <v>42593</v>
      </c>
      <c r="G79" s="401" t="s">
        <v>4842</v>
      </c>
      <c r="H79" s="401" t="s">
        <v>4851</v>
      </c>
      <c r="I79" s="401" t="s">
        <v>4852</v>
      </c>
      <c r="J79" s="401" t="s">
        <v>4853</v>
      </c>
      <c r="K79" s="401" t="s">
        <v>4831</v>
      </c>
      <c r="L79" s="401" t="s">
        <v>4854</v>
      </c>
      <c r="M79" s="401" t="s">
        <v>4855</v>
      </c>
      <c r="N79" s="401" t="s">
        <v>4856</v>
      </c>
      <c r="O79" s="401" t="s">
        <v>4835</v>
      </c>
      <c r="P79" s="401" t="s">
        <v>4857</v>
      </c>
      <c r="Q79" s="401" t="s">
        <v>4535</v>
      </c>
      <c r="R79" s="401" t="s">
        <v>4675</v>
      </c>
      <c r="S79" s="400">
        <v>42593</v>
      </c>
      <c r="T79" s="401" t="s">
        <v>4837</v>
      </c>
      <c r="U79" s="400">
        <v>42593</v>
      </c>
      <c r="V79" s="401" t="s">
        <v>242</v>
      </c>
      <c r="W79" s="401" t="s">
        <v>4858</v>
      </c>
      <c r="X79" s="401" t="s">
        <v>4859</v>
      </c>
      <c r="Y79" s="402" t="s">
        <v>4609</v>
      </c>
      <c r="Z79" s="402" t="s">
        <v>4860</v>
      </c>
    </row>
    <row r="80" spans="1:26" x14ac:dyDescent="0.25">
      <c r="A80" s="401">
        <v>409</v>
      </c>
      <c r="B80" s="401" t="s">
        <v>4825</v>
      </c>
      <c r="C80" s="401" t="s">
        <v>4861</v>
      </c>
      <c r="D80" s="401" t="s">
        <v>4862</v>
      </c>
      <c r="E80" s="401"/>
      <c r="F80" s="400">
        <v>42872</v>
      </c>
      <c r="G80" s="401" t="s">
        <v>4863</v>
      </c>
      <c r="H80" s="401" t="s">
        <v>4864</v>
      </c>
      <c r="I80" s="401" t="s">
        <v>4865</v>
      </c>
      <c r="J80" s="401" t="s">
        <v>4866</v>
      </c>
      <c r="K80" s="401" t="s">
        <v>4831</v>
      </c>
      <c r="L80" s="401" t="s">
        <v>4832</v>
      </c>
      <c r="M80" s="401" t="s">
        <v>4867</v>
      </c>
      <c r="N80" s="401" t="s">
        <v>4834</v>
      </c>
      <c r="O80" s="401" t="s">
        <v>4868</v>
      </c>
      <c r="P80" s="401" t="s">
        <v>4869</v>
      </c>
      <c r="Q80" s="401" t="s">
        <v>4535</v>
      </c>
      <c r="R80" s="401" t="s">
        <v>4692</v>
      </c>
      <c r="S80" s="400">
        <v>42872</v>
      </c>
      <c r="T80" s="401" t="s">
        <v>4837</v>
      </c>
      <c r="U80" s="400">
        <v>42872</v>
      </c>
      <c r="V80" s="401" t="s">
        <v>242</v>
      </c>
      <c r="W80" s="401" t="s">
        <v>4838</v>
      </c>
      <c r="X80" s="401" t="s">
        <v>4870</v>
      </c>
      <c r="Y80" s="402" t="s">
        <v>4609</v>
      </c>
      <c r="Z80" s="402" t="s">
        <v>4849</v>
      </c>
    </row>
    <row r="81" spans="1:26" x14ac:dyDescent="0.25">
      <c r="A81" s="401">
        <v>410</v>
      </c>
      <c r="B81" s="401" t="s">
        <v>4825</v>
      </c>
      <c r="C81" s="401" t="s">
        <v>4871</v>
      </c>
      <c r="D81" s="401" t="s">
        <v>4872</v>
      </c>
      <c r="E81" s="401"/>
      <c r="F81" s="400">
        <v>42991</v>
      </c>
      <c r="G81" s="401" t="s">
        <v>4828</v>
      </c>
      <c r="H81" s="401" t="s">
        <v>4873</v>
      </c>
      <c r="I81" s="401" t="s">
        <v>4874</v>
      </c>
      <c r="J81" s="401" t="s">
        <v>4875</v>
      </c>
      <c r="K81" s="401" t="s">
        <v>4831</v>
      </c>
      <c r="L81" s="401" t="s">
        <v>4832</v>
      </c>
      <c r="M81" s="401" t="s">
        <v>4876</v>
      </c>
      <c r="N81" s="401" t="s">
        <v>4834</v>
      </c>
      <c r="O81" s="401" t="s">
        <v>4868</v>
      </c>
      <c r="P81" s="401" t="s">
        <v>4877</v>
      </c>
      <c r="Q81" s="401" t="s">
        <v>4535</v>
      </c>
      <c r="R81" s="401" t="s">
        <v>4692</v>
      </c>
      <c r="S81" s="400">
        <v>42991</v>
      </c>
      <c r="T81" s="401" t="s">
        <v>4837</v>
      </c>
      <c r="U81" s="400">
        <v>42991</v>
      </c>
      <c r="V81" s="401"/>
      <c r="W81" s="401" t="s">
        <v>4847</v>
      </c>
      <c r="X81" s="401" t="s">
        <v>4878</v>
      </c>
      <c r="Y81" s="402" t="s">
        <v>4609</v>
      </c>
      <c r="Z81" s="402" t="s">
        <v>4849</v>
      </c>
    </row>
    <row r="82" spans="1:26" x14ac:dyDescent="0.25">
      <c r="A82" s="401">
        <v>411</v>
      </c>
      <c r="B82" s="401" t="s">
        <v>4825</v>
      </c>
      <c r="C82" s="401" t="s">
        <v>4871</v>
      </c>
      <c r="D82" s="401" t="s">
        <v>4879</v>
      </c>
      <c r="E82" s="401"/>
      <c r="F82" s="400">
        <v>44060</v>
      </c>
      <c r="G82" s="401" t="s">
        <v>4880</v>
      </c>
      <c r="H82" s="401" t="s">
        <v>4881</v>
      </c>
      <c r="I82" s="401" t="s">
        <v>4882</v>
      </c>
      <c r="J82" s="401" t="s">
        <v>4883</v>
      </c>
      <c r="K82" s="401" t="s">
        <v>4831</v>
      </c>
      <c r="L82" s="401" t="s">
        <v>4832</v>
      </c>
      <c r="M82" s="401" t="s">
        <v>4884</v>
      </c>
      <c r="N82" s="401" t="s">
        <v>4834</v>
      </c>
      <c r="O82" s="401" t="s">
        <v>4868</v>
      </c>
      <c r="P82" s="401" t="s">
        <v>4885</v>
      </c>
      <c r="Q82" s="401" t="s">
        <v>4535</v>
      </c>
      <c r="R82" s="401" t="s">
        <v>4692</v>
      </c>
      <c r="S82" s="400">
        <v>44060</v>
      </c>
      <c r="T82" s="401" t="s">
        <v>4837</v>
      </c>
      <c r="U82" s="400">
        <v>44060</v>
      </c>
      <c r="V82" s="401"/>
      <c r="W82" s="401" t="s">
        <v>4847</v>
      </c>
      <c r="X82" s="401" t="s">
        <v>4878</v>
      </c>
      <c r="Y82" s="402" t="s">
        <v>4609</v>
      </c>
      <c r="Z82" s="402" t="s">
        <v>4849</v>
      </c>
    </row>
    <row r="83" spans="1:26" x14ac:dyDescent="0.25">
      <c r="A83" s="401">
        <v>412</v>
      </c>
      <c r="B83" s="401" t="s">
        <v>4825</v>
      </c>
      <c r="C83" s="401" t="s">
        <v>4050</v>
      </c>
      <c r="D83" s="401" t="s">
        <v>4886</v>
      </c>
      <c r="E83" s="401"/>
      <c r="F83" s="400">
        <v>40932</v>
      </c>
      <c r="G83" s="401" t="s">
        <v>4887</v>
      </c>
      <c r="H83" s="401" t="s">
        <v>4888</v>
      </c>
      <c r="I83" s="401" t="s">
        <v>4889</v>
      </c>
      <c r="J83" s="401" t="s">
        <v>4890</v>
      </c>
      <c r="K83" s="401" t="s">
        <v>4831</v>
      </c>
      <c r="L83" s="401" t="s">
        <v>4832</v>
      </c>
      <c r="M83" s="401" t="s">
        <v>4891</v>
      </c>
      <c r="N83" s="401" t="s">
        <v>4834</v>
      </c>
      <c r="O83" s="401" t="s">
        <v>4868</v>
      </c>
      <c r="P83" s="401" t="s">
        <v>4892</v>
      </c>
      <c r="Q83" s="401" t="s">
        <v>4535</v>
      </c>
      <c r="R83" s="401" t="s">
        <v>4692</v>
      </c>
      <c r="S83" s="400">
        <v>40932</v>
      </c>
      <c r="T83" s="401" t="s">
        <v>4837</v>
      </c>
      <c r="U83" s="400">
        <v>40932</v>
      </c>
      <c r="V83" s="401"/>
      <c r="W83" s="401" t="s">
        <v>4847</v>
      </c>
      <c r="X83" s="401" t="s">
        <v>4878</v>
      </c>
      <c r="Y83" s="402" t="s">
        <v>4609</v>
      </c>
      <c r="Z83" s="402" t="s">
        <v>4849</v>
      </c>
    </row>
    <row r="84" spans="1:26" x14ac:dyDescent="0.25">
      <c r="A84" s="401">
        <v>413</v>
      </c>
      <c r="B84" s="401" t="s">
        <v>4825</v>
      </c>
      <c r="C84" s="401" t="s">
        <v>4861</v>
      </c>
      <c r="D84" s="401" t="s">
        <v>4893</v>
      </c>
      <c r="E84" s="401"/>
      <c r="F84" s="400">
        <v>41136</v>
      </c>
      <c r="G84" s="401" t="s">
        <v>4894</v>
      </c>
      <c r="H84" s="401" t="s">
        <v>4828</v>
      </c>
      <c r="I84" s="401" t="s">
        <v>4895</v>
      </c>
      <c r="J84" s="401" t="s">
        <v>4896</v>
      </c>
      <c r="K84" s="401" t="s">
        <v>4831</v>
      </c>
      <c r="L84" s="401" t="s">
        <v>4832</v>
      </c>
      <c r="M84" s="401" t="s">
        <v>4897</v>
      </c>
      <c r="N84" s="401" t="s">
        <v>4834</v>
      </c>
      <c r="O84" s="401" t="s">
        <v>4898</v>
      </c>
      <c r="P84" s="401" t="s">
        <v>4899</v>
      </c>
      <c r="Q84" s="401" t="s">
        <v>4786</v>
      </c>
      <c r="R84" s="401" t="s">
        <v>4692</v>
      </c>
      <c r="S84" s="400">
        <v>41136</v>
      </c>
      <c r="T84" s="401" t="s">
        <v>4837</v>
      </c>
      <c r="U84" s="400">
        <v>41136</v>
      </c>
      <c r="V84" s="401"/>
      <c r="W84" s="401" t="s">
        <v>4847</v>
      </c>
      <c r="X84" s="401" t="s">
        <v>4878</v>
      </c>
      <c r="Y84" s="402" t="s">
        <v>4609</v>
      </c>
      <c r="Z84" s="402" t="s">
        <v>4849</v>
      </c>
    </row>
    <row r="85" spans="1:26" x14ac:dyDescent="0.25">
      <c r="A85" s="401">
        <v>414</v>
      </c>
      <c r="B85" s="401" t="s">
        <v>4825</v>
      </c>
      <c r="C85" s="401" t="s">
        <v>4900</v>
      </c>
      <c r="D85" s="401" t="s">
        <v>4901</v>
      </c>
      <c r="E85" s="401"/>
      <c r="F85" s="400">
        <v>41002</v>
      </c>
      <c r="G85" s="401" t="s">
        <v>4828</v>
      </c>
      <c r="H85" s="401" t="s">
        <v>4902</v>
      </c>
      <c r="I85" s="401" t="s">
        <v>4903</v>
      </c>
      <c r="J85" s="401" t="s">
        <v>4904</v>
      </c>
      <c r="K85" s="401" t="s">
        <v>4831</v>
      </c>
      <c r="L85" s="401" t="s">
        <v>4832</v>
      </c>
      <c r="M85" s="401" t="s">
        <v>4905</v>
      </c>
      <c r="N85" s="401" t="s">
        <v>4834</v>
      </c>
      <c r="O85" s="401" t="s">
        <v>4906</v>
      </c>
      <c r="P85" s="401" t="s">
        <v>4907</v>
      </c>
      <c r="Q85" s="401" t="s">
        <v>4535</v>
      </c>
      <c r="R85" s="401" t="s">
        <v>4692</v>
      </c>
      <c r="S85" s="400">
        <v>41002</v>
      </c>
      <c r="T85" s="401" t="s">
        <v>4837</v>
      </c>
      <c r="U85" s="400">
        <v>41002</v>
      </c>
      <c r="V85" s="401"/>
      <c r="W85" s="401" t="s">
        <v>4847</v>
      </c>
      <c r="X85" s="401" t="s">
        <v>4878</v>
      </c>
      <c r="Y85" s="402" t="s">
        <v>4609</v>
      </c>
      <c r="Z85" s="402" t="s">
        <v>4849</v>
      </c>
    </row>
    <row r="86" spans="1:26" x14ac:dyDescent="0.25">
      <c r="A86" s="401">
        <v>415</v>
      </c>
      <c r="B86" s="401" t="s">
        <v>4825</v>
      </c>
      <c r="C86" s="401" t="s">
        <v>4871</v>
      </c>
      <c r="D86" s="401" t="s">
        <v>4908</v>
      </c>
      <c r="E86" s="401"/>
      <c r="F86" s="400">
        <v>44272</v>
      </c>
      <c r="G86" s="401" t="s">
        <v>4909</v>
      </c>
      <c r="H86" s="401" t="s">
        <v>4910</v>
      </c>
      <c r="I86" s="401" t="s">
        <v>4911</v>
      </c>
      <c r="J86" s="401" t="s">
        <v>4912</v>
      </c>
      <c r="K86" s="401" t="s">
        <v>4831</v>
      </c>
      <c r="L86" s="401" t="s">
        <v>4832</v>
      </c>
      <c r="M86" s="401" t="s">
        <v>4913</v>
      </c>
      <c r="N86" s="401" t="s">
        <v>4834</v>
      </c>
      <c r="O86" s="401" t="s">
        <v>4898</v>
      </c>
      <c r="P86" s="401" t="s">
        <v>4914</v>
      </c>
      <c r="Q86" s="401" t="s">
        <v>4535</v>
      </c>
      <c r="R86" s="401" t="s">
        <v>4692</v>
      </c>
      <c r="S86" s="400">
        <v>44272</v>
      </c>
      <c r="T86" s="401" t="s">
        <v>4837</v>
      </c>
      <c r="U86" s="400">
        <v>44272</v>
      </c>
      <c r="V86" s="401"/>
      <c r="W86" s="401" t="s">
        <v>4847</v>
      </c>
      <c r="X86" s="401" t="s">
        <v>4878</v>
      </c>
      <c r="Y86" s="402" t="s">
        <v>4609</v>
      </c>
      <c r="Z86" s="402" t="s">
        <v>4849</v>
      </c>
    </row>
    <row r="87" spans="1:26" x14ac:dyDescent="0.25">
      <c r="A87" s="401">
        <v>416</v>
      </c>
      <c r="B87" s="401" t="s">
        <v>4825</v>
      </c>
      <c r="C87" s="401" t="s">
        <v>4050</v>
      </c>
      <c r="D87" s="401" t="s">
        <v>4915</v>
      </c>
      <c r="E87" s="401"/>
      <c r="F87" s="400">
        <v>44060</v>
      </c>
      <c r="G87" s="401" t="s">
        <v>4916</v>
      </c>
      <c r="H87" s="401" t="s">
        <v>4917</v>
      </c>
      <c r="I87" s="401" t="s">
        <v>4918</v>
      </c>
      <c r="J87" s="401" t="s">
        <v>4919</v>
      </c>
      <c r="K87" s="401" t="s">
        <v>4831</v>
      </c>
      <c r="L87" s="401" t="s">
        <v>4832</v>
      </c>
      <c r="M87" s="401" t="s">
        <v>4920</v>
      </c>
      <c r="N87" s="401" t="s">
        <v>4834</v>
      </c>
      <c r="O87" s="401" t="s">
        <v>4898</v>
      </c>
      <c r="P87" s="401" t="s">
        <v>4921</v>
      </c>
      <c r="Q87" s="401" t="s">
        <v>4786</v>
      </c>
      <c r="R87" s="401" t="s">
        <v>4692</v>
      </c>
      <c r="S87" s="400">
        <v>44060</v>
      </c>
      <c r="T87" s="401" t="s">
        <v>4837</v>
      </c>
      <c r="U87" s="400">
        <v>44060</v>
      </c>
      <c r="V87" s="401"/>
      <c r="W87" s="401" t="s">
        <v>4847</v>
      </c>
      <c r="X87" s="401" t="s">
        <v>4878</v>
      </c>
      <c r="Y87" s="402" t="s">
        <v>4609</v>
      </c>
      <c r="Z87" s="402" t="s">
        <v>4849</v>
      </c>
    </row>
    <row r="88" spans="1:26" x14ac:dyDescent="0.25">
      <c r="A88" s="401">
        <v>417</v>
      </c>
      <c r="B88" s="401" t="s">
        <v>4825</v>
      </c>
      <c r="C88" s="401" t="s">
        <v>4050</v>
      </c>
      <c r="D88" s="401" t="s">
        <v>4922</v>
      </c>
      <c r="E88" s="401"/>
      <c r="F88" s="400">
        <v>44462</v>
      </c>
      <c r="G88" s="401" t="s">
        <v>4916</v>
      </c>
      <c r="H88" s="401" t="s">
        <v>4923</v>
      </c>
      <c r="I88" s="401" t="s">
        <v>4924</v>
      </c>
      <c r="J88" s="401" t="s">
        <v>4925</v>
      </c>
      <c r="K88" s="401" t="s">
        <v>4831</v>
      </c>
      <c r="L88" s="401" t="s">
        <v>4832</v>
      </c>
      <c r="M88" s="401" t="s">
        <v>4926</v>
      </c>
      <c r="N88" s="401" t="s">
        <v>4834</v>
      </c>
      <c r="O88" s="401" t="s">
        <v>4868</v>
      </c>
      <c r="P88" s="401" t="s">
        <v>4921</v>
      </c>
      <c r="Q88" s="401" t="s">
        <v>4786</v>
      </c>
      <c r="R88" s="401" t="s">
        <v>4692</v>
      </c>
      <c r="S88" s="400">
        <v>44462</v>
      </c>
      <c r="T88" s="401" t="s">
        <v>4837</v>
      </c>
      <c r="U88" s="400">
        <v>44462</v>
      </c>
      <c r="V88" s="401"/>
      <c r="W88" s="401" t="s">
        <v>4847</v>
      </c>
      <c r="X88" s="401" t="s">
        <v>4878</v>
      </c>
      <c r="Y88" s="402" t="s">
        <v>4609</v>
      </c>
      <c r="Z88" s="402" t="s">
        <v>4849</v>
      </c>
    </row>
    <row r="89" spans="1:26" x14ac:dyDescent="0.25">
      <c r="A89" s="401">
        <v>418</v>
      </c>
      <c r="B89" s="401" t="s">
        <v>4825</v>
      </c>
      <c r="C89" s="401" t="s">
        <v>4927</v>
      </c>
      <c r="D89" s="401" t="s">
        <v>4928</v>
      </c>
      <c r="E89" s="401"/>
      <c r="F89" s="400">
        <v>44404</v>
      </c>
      <c r="G89" s="401" t="s">
        <v>4929</v>
      </c>
      <c r="H89" s="401" t="s">
        <v>4930</v>
      </c>
      <c r="I89" s="401" t="s">
        <v>4931</v>
      </c>
      <c r="J89" s="401" t="s">
        <v>4932</v>
      </c>
      <c r="K89" s="401" t="s">
        <v>4831</v>
      </c>
      <c r="L89" s="401" t="s">
        <v>4832</v>
      </c>
      <c r="M89" s="401" t="s">
        <v>4933</v>
      </c>
      <c r="N89" s="401" t="s">
        <v>4834</v>
      </c>
      <c r="O89" s="401" t="s">
        <v>4934</v>
      </c>
      <c r="P89" s="401" t="s">
        <v>4935</v>
      </c>
      <c r="Q89" s="401" t="s">
        <v>4535</v>
      </c>
      <c r="R89" s="401" t="s">
        <v>4692</v>
      </c>
      <c r="S89" s="400">
        <v>44404</v>
      </c>
      <c r="T89" s="401" t="s">
        <v>4837</v>
      </c>
      <c r="U89" s="400">
        <v>44404</v>
      </c>
      <c r="V89" s="401"/>
      <c r="W89" s="401" t="s">
        <v>4847</v>
      </c>
      <c r="X89" s="401" t="s">
        <v>4936</v>
      </c>
      <c r="Y89" s="402" t="s">
        <v>4609</v>
      </c>
      <c r="Z89" s="402" t="s">
        <v>4849</v>
      </c>
    </row>
    <row r="90" spans="1:26" x14ac:dyDescent="0.25">
      <c r="A90" s="401">
        <v>419</v>
      </c>
      <c r="B90" s="401" t="s">
        <v>4825</v>
      </c>
      <c r="C90" s="401" t="s">
        <v>4861</v>
      </c>
      <c r="D90" s="401" t="s">
        <v>4937</v>
      </c>
      <c r="E90" s="401"/>
      <c r="F90" s="400">
        <v>43350</v>
      </c>
      <c r="G90" s="401" t="s">
        <v>4880</v>
      </c>
      <c r="H90" s="401" t="s">
        <v>4881</v>
      </c>
      <c r="I90" s="401" t="s">
        <v>4938</v>
      </c>
      <c r="J90" s="401" t="s">
        <v>4939</v>
      </c>
      <c r="K90" s="401" t="s">
        <v>4831</v>
      </c>
      <c r="L90" s="401" t="s">
        <v>4832</v>
      </c>
      <c r="M90" s="401" t="s">
        <v>4940</v>
      </c>
      <c r="N90" s="401" t="s">
        <v>4834</v>
      </c>
      <c r="O90" s="401" t="s">
        <v>4934</v>
      </c>
      <c r="P90" s="401" t="s">
        <v>4941</v>
      </c>
      <c r="Q90" s="401" t="s">
        <v>4786</v>
      </c>
      <c r="R90" s="401" t="s">
        <v>4692</v>
      </c>
      <c r="S90" s="400">
        <v>43350</v>
      </c>
      <c r="T90" s="401" t="s">
        <v>4837</v>
      </c>
      <c r="U90" s="400">
        <v>43350</v>
      </c>
      <c r="V90" s="401"/>
      <c r="W90" s="401" t="s">
        <v>4847</v>
      </c>
      <c r="X90" s="401" t="s">
        <v>4936</v>
      </c>
      <c r="Y90" s="402" t="s">
        <v>4609</v>
      </c>
      <c r="Z90" s="402" t="s">
        <v>4849</v>
      </c>
    </row>
    <row r="91" spans="1:26" x14ac:dyDescent="0.25">
      <c r="A91" s="401">
        <v>420</v>
      </c>
      <c r="B91" s="401" t="s">
        <v>4825</v>
      </c>
      <c r="C91" s="401" t="s">
        <v>4942</v>
      </c>
      <c r="D91" s="401" t="s">
        <v>4943</v>
      </c>
      <c r="E91" s="401"/>
      <c r="F91" s="400">
        <v>42671</v>
      </c>
      <c r="G91" s="401" t="s">
        <v>4880</v>
      </c>
      <c r="H91" s="401" t="s">
        <v>4827</v>
      </c>
      <c r="I91" s="401" t="s">
        <v>4944</v>
      </c>
      <c r="J91" s="401" t="s">
        <v>4945</v>
      </c>
      <c r="K91" s="401" t="s">
        <v>4831</v>
      </c>
      <c r="L91" s="401" t="s">
        <v>4832</v>
      </c>
      <c r="M91" s="401" t="s">
        <v>4946</v>
      </c>
      <c r="N91" s="401" t="s">
        <v>4834</v>
      </c>
      <c r="O91" s="401" t="s">
        <v>4934</v>
      </c>
      <c r="P91" s="401" t="s">
        <v>4947</v>
      </c>
      <c r="Q91" s="401" t="s">
        <v>4786</v>
      </c>
      <c r="R91" s="401" t="s">
        <v>4692</v>
      </c>
      <c r="S91" s="400">
        <v>42671</v>
      </c>
      <c r="T91" s="401" t="s">
        <v>4837</v>
      </c>
      <c r="U91" s="400">
        <v>42671</v>
      </c>
      <c r="V91" s="401"/>
      <c r="W91" s="401" t="s">
        <v>4948</v>
      </c>
      <c r="X91" s="401" t="s">
        <v>4949</v>
      </c>
      <c r="Y91" s="402" t="s">
        <v>4609</v>
      </c>
      <c r="Z91" s="402" t="s">
        <v>4849</v>
      </c>
    </row>
    <row r="92" spans="1:26" x14ac:dyDescent="0.25">
      <c r="A92" s="401">
        <v>421</v>
      </c>
      <c r="B92" s="401" t="s">
        <v>4825</v>
      </c>
      <c r="C92" s="401" t="s">
        <v>3284</v>
      </c>
      <c r="D92" s="401" t="s">
        <v>4950</v>
      </c>
      <c r="E92" s="401"/>
      <c r="F92" s="400">
        <v>41190</v>
      </c>
      <c r="G92" s="401" t="s">
        <v>4880</v>
      </c>
      <c r="H92" s="401" t="s">
        <v>4951</v>
      </c>
      <c r="I92" s="401" t="s">
        <v>4944</v>
      </c>
      <c r="J92" s="401" t="s">
        <v>4952</v>
      </c>
      <c r="K92" s="401" t="s">
        <v>4831</v>
      </c>
      <c r="L92" s="401" t="s">
        <v>4832</v>
      </c>
      <c r="M92" s="401" t="s">
        <v>4953</v>
      </c>
      <c r="N92" s="401" t="s">
        <v>4834</v>
      </c>
      <c r="O92" s="401" t="s">
        <v>4934</v>
      </c>
      <c r="P92" s="401" t="s">
        <v>4954</v>
      </c>
      <c r="Q92" s="401" t="s">
        <v>4786</v>
      </c>
      <c r="R92" s="401" t="s">
        <v>4955</v>
      </c>
      <c r="S92" s="400">
        <v>41190</v>
      </c>
      <c r="T92" s="401" t="s">
        <v>4837</v>
      </c>
      <c r="U92" s="400">
        <v>41190</v>
      </c>
      <c r="V92" s="401"/>
      <c r="W92" s="401" t="s">
        <v>4948</v>
      </c>
      <c r="X92" s="401" t="s">
        <v>4949</v>
      </c>
      <c r="Y92" s="402" t="s">
        <v>4609</v>
      </c>
      <c r="Z92" s="402" t="s">
        <v>4849</v>
      </c>
    </row>
    <row r="93" spans="1:26" x14ac:dyDescent="0.25">
      <c r="A93" s="401">
        <v>422</v>
      </c>
      <c r="B93" s="401" t="s">
        <v>4825</v>
      </c>
      <c r="C93" s="401" t="s">
        <v>4050</v>
      </c>
      <c r="D93" s="401" t="s">
        <v>4956</v>
      </c>
      <c r="E93" s="401"/>
      <c r="F93" s="400">
        <v>36888</v>
      </c>
      <c r="G93" s="401" t="s">
        <v>4957</v>
      </c>
      <c r="H93" s="401" t="s">
        <v>4958</v>
      </c>
      <c r="I93" s="401" t="s">
        <v>4944</v>
      </c>
      <c r="J93" s="401" t="s">
        <v>4959</v>
      </c>
      <c r="K93" s="401" t="s">
        <v>4831</v>
      </c>
      <c r="L93" s="401" t="s">
        <v>4832</v>
      </c>
      <c r="M93" s="401" t="s">
        <v>4960</v>
      </c>
      <c r="N93" s="401" t="s">
        <v>4834</v>
      </c>
      <c r="O93" s="401" t="s">
        <v>4934</v>
      </c>
      <c r="P93" s="401" t="s">
        <v>4961</v>
      </c>
      <c r="Q93" s="401" t="s">
        <v>4786</v>
      </c>
      <c r="R93" s="401" t="s">
        <v>4692</v>
      </c>
      <c r="S93" s="400">
        <v>36888</v>
      </c>
      <c r="T93" s="401" t="s">
        <v>4837</v>
      </c>
      <c r="U93" s="400">
        <v>36888</v>
      </c>
      <c r="V93" s="401"/>
      <c r="W93" s="401" t="s">
        <v>4948</v>
      </c>
      <c r="X93" s="401" t="s">
        <v>4949</v>
      </c>
      <c r="Y93" s="402" t="s">
        <v>4609</v>
      </c>
      <c r="Z93" s="402" t="s">
        <v>4849</v>
      </c>
    </row>
    <row r="94" spans="1:26" x14ac:dyDescent="0.25">
      <c r="A94" s="401">
        <v>423</v>
      </c>
      <c r="B94" s="401" t="s">
        <v>4825</v>
      </c>
      <c r="C94" s="401" t="s">
        <v>4067</v>
      </c>
      <c r="D94" s="401" t="s">
        <v>4962</v>
      </c>
      <c r="E94" s="401"/>
      <c r="F94" s="400">
        <v>42530</v>
      </c>
      <c r="G94" s="401" t="s">
        <v>4827</v>
      </c>
      <c r="H94" s="401" t="s">
        <v>4828</v>
      </c>
      <c r="I94" s="401" t="s">
        <v>4944</v>
      </c>
      <c r="J94" s="401" t="s">
        <v>4963</v>
      </c>
      <c r="K94" s="401" t="s">
        <v>4831</v>
      </c>
      <c r="L94" s="401" t="s">
        <v>4832</v>
      </c>
      <c r="M94" s="401" t="s">
        <v>4964</v>
      </c>
      <c r="N94" s="401" t="s">
        <v>4834</v>
      </c>
      <c r="O94" s="401" t="s">
        <v>4934</v>
      </c>
      <c r="P94" s="401" t="s">
        <v>4965</v>
      </c>
      <c r="Q94" s="401" t="s">
        <v>4535</v>
      </c>
      <c r="R94" s="401" t="s">
        <v>4692</v>
      </c>
      <c r="S94" s="400">
        <v>42530</v>
      </c>
      <c r="T94" s="401" t="s">
        <v>4837</v>
      </c>
      <c r="U94" s="400">
        <v>42530</v>
      </c>
      <c r="V94" s="401"/>
      <c r="W94" s="401" t="s">
        <v>4948</v>
      </c>
      <c r="X94" s="401" t="s">
        <v>4949</v>
      </c>
      <c r="Y94" s="402" t="s">
        <v>4609</v>
      </c>
      <c r="Z94" s="402" t="s">
        <v>4849</v>
      </c>
    </row>
    <row r="95" spans="1:26" x14ac:dyDescent="0.25">
      <c r="A95" s="401">
        <v>424</v>
      </c>
      <c r="B95" s="401" t="s">
        <v>4825</v>
      </c>
      <c r="C95" s="401" t="s">
        <v>114</v>
      </c>
      <c r="D95" s="401" t="s">
        <v>4966</v>
      </c>
      <c r="E95" s="401"/>
      <c r="F95" s="400">
        <v>42723</v>
      </c>
      <c r="G95" s="401" t="s">
        <v>4967</v>
      </c>
      <c r="H95" s="401" t="s">
        <v>4968</v>
      </c>
      <c r="I95" s="401" t="s">
        <v>4969</v>
      </c>
      <c r="J95" s="401" t="s">
        <v>4970</v>
      </c>
      <c r="K95" s="401" t="s">
        <v>4831</v>
      </c>
      <c r="L95" s="401" t="s">
        <v>4832</v>
      </c>
      <c r="M95" s="401" t="s">
        <v>4971</v>
      </c>
      <c r="N95" s="401" t="s">
        <v>4834</v>
      </c>
      <c r="O95" s="401" t="s">
        <v>4934</v>
      </c>
      <c r="P95" s="401" t="s">
        <v>4972</v>
      </c>
      <c r="Q95" s="401" t="s">
        <v>4786</v>
      </c>
      <c r="R95" s="401" t="s">
        <v>114</v>
      </c>
      <c r="S95" s="400">
        <v>42723</v>
      </c>
      <c r="T95" s="401" t="s">
        <v>4837</v>
      </c>
      <c r="U95" s="400">
        <v>42723</v>
      </c>
      <c r="V95" s="401"/>
      <c r="W95" s="401" t="s">
        <v>4847</v>
      </c>
      <c r="X95" s="401" t="s">
        <v>4973</v>
      </c>
      <c r="Y95" s="402" t="s">
        <v>4609</v>
      </c>
      <c r="Z95" s="402" t="s">
        <v>4849</v>
      </c>
    </row>
    <row r="96" spans="1:26" x14ac:dyDescent="0.25">
      <c r="A96" s="401">
        <v>425</v>
      </c>
      <c r="B96" s="401" t="s">
        <v>4825</v>
      </c>
      <c r="C96" s="401" t="s">
        <v>4733</v>
      </c>
      <c r="D96" s="401" t="s">
        <v>4974</v>
      </c>
      <c r="E96" s="401"/>
      <c r="F96" s="400">
        <v>42723</v>
      </c>
      <c r="G96" s="401" t="s">
        <v>4880</v>
      </c>
      <c r="H96" s="401" t="s">
        <v>4967</v>
      </c>
      <c r="I96" s="401" t="s">
        <v>4969</v>
      </c>
      <c r="J96" s="401" t="s">
        <v>4975</v>
      </c>
      <c r="K96" s="401" t="s">
        <v>4831</v>
      </c>
      <c r="L96" s="401" t="s">
        <v>4832</v>
      </c>
      <c r="M96" s="401" t="s">
        <v>4976</v>
      </c>
      <c r="N96" s="401" t="s">
        <v>4834</v>
      </c>
      <c r="O96" s="401" t="s">
        <v>4934</v>
      </c>
      <c r="P96" s="401" t="s">
        <v>4977</v>
      </c>
      <c r="Q96" s="401" t="s">
        <v>4786</v>
      </c>
      <c r="R96" s="401" t="s">
        <v>4692</v>
      </c>
      <c r="S96" s="400">
        <v>42723</v>
      </c>
      <c r="T96" s="401" t="s">
        <v>4837</v>
      </c>
      <c r="U96" s="400">
        <v>42723</v>
      </c>
      <c r="V96" s="401"/>
      <c r="W96" s="401" t="s">
        <v>4847</v>
      </c>
      <c r="X96" s="401" t="s">
        <v>4973</v>
      </c>
      <c r="Y96" s="402" t="s">
        <v>4609</v>
      </c>
      <c r="Z96" s="402" t="s">
        <v>4849</v>
      </c>
    </row>
    <row r="97" spans="1:26" x14ac:dyDescent="0.25">
      <c r="A97" s="401">
        <v>426</v>
      </c>
      <c r="B97" s="401" t="s">
        <v>4825</v>
      </c>
      <c r="C97" s="401" t="s">
        <v>4978</v>
      </c>
      <c r="D97" s="401" t="s">
        <v>4979</v>
      </c>
      <c r="E97" s="401"/>
      <c r="F97" s="400">
        <v>41592</v>
      </c>
      <c r="G97" s="401" t="s">
        <v>4980</v>
      </c>
      <c r="H97" s="401" t="s">
        <v>4981</v>
      </c>
      <c r="I97" s="401" t="s">
        <v>4982</v>
      </c>
      <c r="J97" s="401" t="s">
        <v>4983</v>
      </c>
      <c r="K97" s="401" t="s">
        <v>4831</v>
      </c>
      <c r="L97" s="401" t="s">
        <v>4832</v>
      </c>
      <c r="M97" s="401" t="s">
        <v>4984</v>
      </c>
      <c r="N97" s="401" t="s">
        <v>4834</v>
      </c>
      <c r="O97" s="401" t="s">
        <v>4934</v>
      </c>
      <c r="P97" s="401" t="s">
        <v>4985</v>
      </c>
      <c r="Q97" s="401" t="s">
        <v>4786</v>
      </c>
      <c r="R97" s="401" t="s">
        <v>4986</v>
      </c>
      <c r="S97" s="400">
        <v>41592</v>
      </c>
      <c r="T97" s="401" t="s">
        <v>4837</v>
      </c>
      <c r="U97" s="400">
        <v>41592</v>
      </c>
      <c r="V97" s="401"/>
      <c r="W97" s="401" t="s">
        <v>4847</v>
      </c>
      <c r="X97" s="401" t="s">
        <v>4973</v>
      </c>
      <c r="Y97" s="402" t="s">
        <v>4609</v>
      </c>
      <c r="Z97" s="402" t="s">
        <v>4849</v>
      </c>
    </row>
    <row r="98" spans="1:26" x14ac:dyDescent="0.25">
      <c r="A98" s="401">
        <v>427</v>
      </c>
      <c r="B98" s="401" t="s">
        <v>4825</v>
      </c>
      <c r="C98" s="401" t="s">
        <v>4987</v>
      </c>
      <c r="D98" s="401" t="s">
        <v>4988</v>
      </c>
      <c r="E98" s="401"/>
      <c r="F98" s="400">
        <v>43462</v>
      </c>
      <c r="G98" s="401" t="s">
        <v>4989</v>
      </c>
      <c r="H98" s="401" t="s">
        <v>4990</v>
      </c>
      <c r="I98" s="401" t="s">
        <v>4991</v>
      </c>
      <c r="J98" s="401" t="s">
        <v>4992</v>
      </c>
      <c r="K98" s="401" t="s">
        <v>4831</v>
      </c>
      <c r="L98" s="401" t="s">
        <v>4832</v>
      </c>
      <c r="M98" s="401" t="s">
        <v>4993</v>
      </c>
      <c r="N98" s="401" t="s">
        <v>4834</v>
      </c>
      <c r="O98" s="401" t="s">
        <v>4934</v>
      </c>
      <c r="P98" s="401" t="s">
        <v>4994</v>
      </c>
      <c r="Q98" s="401" t="s">
        <v>4535</v>
      </c>
      <c r="R98" s="401" t="s">
        <v>4692</v>
      </c>
      <c r="S98" s="400">
        <v>43462</v>
      </c>
      <c r="T98" s="401" t="s">
        <v>4837</v>
      </c>
      <c r="U98" s="400">
        <v>43462</v>
      </c>
      <c r="V98" s="401"/>
      <c r="W98" s="401" t="s">
        <v>4847</v>
      </c>
      <c r="X98" s="401" t="s">
        <v>4973</v>
      </c>
      <c r="Y98" s="402" t="s">
        <v>4609</v>
      </c>
      <c r="Z98" s="402" t="s">
        <v>4849</v>
      </c>
    </row>
    <row r="99" spans="1:26" x14ac:dyDescent="0.25">
      <c r="A99" s="401">
        <v>428</v>
      </c>
      <c r="B99" s="401" t="s">
        <v>4825</v>
      </c>
      <c r="C99" s="401" t="s">
        <v>4995</v>
      </c>
      <c r="D99" s="401" t="s">
        <v>4996</v>
      </c>
      <c r="E99" s="401"/>
      <c r="F99" s="400">
        <v>41232</v>
      </c>
      <c r="G99" s="401" t="s">
        <v>4997</v>
      </c>
      <c r="H99" s="401" t="s">
        <v>4998</v>
      </c>
      <c r="I99" s="401" t="s">
        <v>4999</v>
      </c>
      <c r="J99" s="401" t="s">
        <v>5000</v>
      </c>
      <c r="K99" s="401" t="s">
        <v>4831</v>
      </c>
      <c r="L99" s="401" t="s">
        <v>4832</v>
      </c>
      <c r="M99" s="401" t="s">
        <v>5001</v>
      </c>
      <c r="N99" s="401" t="s">
        <v>4834</v>
      </c>
      <c r="O99" s="401" t="s">
        <v>4934</v>
      </c>
      <c r="P99" s="401" t="s">
        <v>5002</v>
      </c>
      <c r="Q99" s="401" t="s">
        <v>4786</v>
      </c>
      <c r="R99" s="401" t="s">
        <v>4986</v>
      </c>
      <c r="S99" s="400">
        <v>41232</v>
      </c>
      <c r="T99" s="401" t="s">
        <v>4837</v>
      </c>
      <c r="U99" s="400">
        <v>41232</v>
      </c>
      <c r="V99" s="401"/>
      <c r="W99" s="401" t="s">
        <v>4847</v>
      </c>
      <c r="X99" s="401" t="s">
        <v>4973</v>
      </c>
      <c r="Y99" s="402" t="s">
        <v>4609</v>
      </c>
      <c r="Z99" s="402" t="s">
        <v>4849</v>
      </c>
    </row>
    <row r="100" spans="1:26" x14ac:dyDescent="0.25">
      <c r="A100" s="401">
        <v>429</v>
      </c>
      <c r="B100" s="401" t="s">
        <v>4825</v>
      </c>
      <c r="C100" s="401" t="s">
        <v>3284</v>
      </c>
      <c r="D100" s="401" t="s">
        <v>5003</v>
      </c>
      <c r="E100" s="401"/>
      <c r="F100" s="400">
        <v>41387</v>
      </c>
      <c r="G100" s="401" t="s">
        <v>5004</v>
      </c>
      <c r="H100" s="401" t="s">
        <v>5005</v>
      </c>
      <c r="I100" s="401" t="s">
        <v>5006</v>
      </c>
      <c r="J100" s="401" t="s">
        <v>5007</v>
      </c>
      <c r="K100" s="401" t="s">
        <v>4831</v>
      </c>
      <c r="L100" s="401" t="s">
        <v>4832</v>
      </c>
      <c r="M100" s="401" t="s">
        <v>5008</v>
      </c>
      <c r="N100" s="401" t="s">
        <v>4834</v>
      </c>
      <c r="O100" s="401" t="s">
        <v>4934</v>
      </c>
      <c r="P100" s="401" t="s">
        <v>5009</v>
      </c>
      <c r="Q100" s="401" t="s">
        <v>4786</v>
      </c>
      <c r="R100" s="401" t="s">
        <v>4955</v>
      </c>
      <c r="S100" s="400">
        <v>41387</v>
      </c>
      <c r="T100" s="401" t="s">
        <v>4837</v>
      </c>
      <c r="U100" s="400">
        <v>41387</v>
      </c>
      <c r="V100" s="401"/>
      <c r="W100" s="401" t="s">
        <v>4847</v>
      </c>
      <c r="X100" s="401" t="s">
        <v>4973</v>
      </c>
      <c r="Y100" s="402" t="s">
        <v>4609</v>
      </c>
      <c r="Z100" s="402" t="s">
        <v>4849</v>
      </c>
    </row>
    <row r="101" spans="1:26" x14ac:dyDescent="0.25">
      <c r="A101" s="401">
        <v>430</v>
      </c>
      <c r="B101" s="401" t="s">
        <v>4825</v>
      </c>
      <c r="C101" s="401" t="s">
        <v>4733</v>
      </c>
      <c r="D101" s="401" t="s">
        <v>5010</v>
      </c>
      <c r="E101" s="401"/>
      <c r="F101" s="400">
        <v>42886</v>
      </c>
      <c r="G101" s="401" t="s">
        <v>5011</v>
      </c>
      <c r="H101" s="401" t="s">
        <v>4842</v>
      </c>
      <c r="I101" s="401" t="s">
        <v>5012</v>
      </c>
      <c r="J101" s="401" t="s">
        <v>5013</v>
      </c>
      <c r="K101" s="401" t="s">
        <v>4831</v>
      </c>
      <c r="L101" s="401" t="s">
        <v>4832</v>
      </c>
      <c r="M101" s="401" t="s">
        <v>5014</v>
      </c>
      <c r="N101" s="401" t="s">
        <v>4834</v>
      </c>
      <c r="O101" s="401" t="s">
        <v>4934</v>
      </c>
      <c r="P101" s="401" t="s">
        <v>5015</v>
      </c>
      <c r="Q101" s="401" t="s">
        <v>4786</v>
      </c>
      <c r="R101" s="401" t="s">
        <v>4692</v>
      </c>
      <c r="S101" s="400">
        <v>42886</v>
      </c>
      <c r="T101" s="401" t="s">
        <v>4837</v>
      </c>
      <c r="U101" s="400">
        <v>42886</v>
      </c>
      <c r="V101" s="401"/>
      <c r="W101" s="401" t="s">
        <v>4948</v>
      </c>
      <c r="X101" s="401" t="s">
        <v>4949</v>
      </c>
      <c r="Y101" s="402" t="s">
        <v>4609</v>
      </c>
      <c r="Z101" s="402" t="s">
        <v>4849</v>
      </c>
    </row>
    <row r="102" spans="1:26" x14ac:dyDescent="0.25">
      <c r="A102" s="401">
        <v>431</v>
      </c>
      <c r="B102" s="401" t="s">
        <v>5016</v>
      </c>
      <c r="C102" s="401" t="s">
        <v>5017</v>
      </c>
      <c r="D102" s="401" t="s">
        <v>5018</v>
      </c>
      <c r="E102" s="401" t="s">
        <v>4527</v>
      </c>
      <c r="F102" s="400">
        <v>36600</v>
      </c>
      <c r="G102" s="401" t="s">
        <v>5019</v>
      </c>
      <c r="H102" s="401" t="s">
        <v>5020</v>
      </c>
      <c r="I102" s="401" t="s">
        <v>5021</v>
      </c>
      <c r="J102" s="401" t="s">
        <v>5022</v>
      </c>
      <c r="K102" s="401" t="s">
        <v>5023</v>
      </c>
      <c r="L102" s="401" t="s">
        <v>5024</v>
      </c>
      <c r="M102" s="401" t="s">
        <v>5025</v>
      </c>
      <c r="N102" s="401" t="s">
        <v>5026</v>
      </c>
      <c r="O102" s="401" t="s">
        <v>5025</v>
      </c>
      <c r="P102" s="401" t="s">
        <v>5027</v>
      </c>
      <c r="Q102" s="401" t="s">
        <v>4535</v>
      </c>
      <c r="R102" s="401" t="s">
        <v>114</v>
      </c>
      <c r="S102" s="400">
        <v>36600</v>
      </c>
      <c r="T102" s="401" t="s">
        <v>5028</v>
      </c>
      <c r="U102" s="400">
        <v>36600</v>
      </c>
      <c r="V102" s="401" t="s">
        <v>242</v>
      </c>
      <c r="W102" s="401" t="s">
        <v>5029</v>
      </c>
      <c r="X102" s="401" t="s">
        <v>5030</v>
      </c>
      <c r="Y102" s="402" t="s">
        <v>5031</v>
      </c>
      <c r="Z102" s="402" t="s">
        <v>5032</v>
      </c>
    </row>
    <row r="103" spans="1:26" x14ac:dyDescent="0.25">
      <c r="A103" s="401">
        <v>432</v>
      </c>
      <c r="B103" s="401" t="s">
        <v>5016</v>
      </c>
      <c r="C103" s="401" t="s">
        <v>5033</v>
      </c>
      <c r="D103" s="401" t="s">
        <v>5034</v>
      </c>
      <c r="E103" s="401" t="s">
        <v>4527</v>
      </c>
      <c r="F103" s="400">
        <v>36612</v>
      </c>
      <c r="G103" s="401" t="s">
        <v>5035</v>
      </c>
      <c r="H103" s="401" t="s">
        <v>5019</v>
      </c>
      <c r="I103" s="401" t="s">
        <v>5036</v>
      </c>
      <c r="J103" s="401" t="s">
        <v>5037</v>
      </c>
      <c r="K103" s="401" t="s">
        <v>5023</v>
      </c>
      <c r="L103" s="401" t="s">
        <v>5024</v>
      </c>
      <c r="M103" s="401" t="s">
        <v>5038</v>
      </c>
      <c r="N103" s="401" t="s">
        <v>5026</v>
      </c>
      <c r="O103" s="401" t="s">
        <v>5038</v>
      </c>
      <c r="P103" s="401" t="s">
        <v>5027</v>
      </c>
      <c r="Q103" s="401" t="s">
        <v>4535</v>
      </c>
      <c r="R103" s="401" t="s">
        <v>238</v>
      </c>
      <c r="S103" s="400">
        <v>36612</v>
      </c>
      <c r="T103" s="401" t="s">
        <v>5028</v>
      </c>
      <c r="U103" s="400">
        <v>36612</v>
      </c>
      <c r="V103" s="401" t="s">
        <v>242</v>
      </c>
      <c r="W103" s="401" t="s">
        <v>5039</v>
      </c>
      <c r="X103" s="401" t="s">
        <v>5030</v>
      </c>
      <c r="Y103" s="402" t="s">
        <v>5031</v>
      </c>
      <c r="Z103" s="402" t="s">
        <v>5032</v>
      </c>
    </row>
    <row r="104" spans="1:26" x14ac:dyDescent="0.25">
      <c r="A104" s="401">
        <v>436</v>
      </c>
      <c r="B104" s="401" t="s">
        <v>5016</v>
      </c>
      <c r="C104" s="401" t="s">
        <v>5033</v>
      </c>
      <c r="D104" s="401" t="s">
        <v>5040</v>
      </c>
      <c r="E104" s="401" t="s">
        <v>4527</v>
      </c>
      <c r="F104" s="400">
        <v>36613</v>
      </c>
      <c r="G104" s="401" t="s">
        <v>5041</v>
      </c>
      <c r="H104" s="401" t="s">
        <v>5042</v>
      </c>
      <c r="I104" s="401" t="s">
        <v>5043</v>
      </c>
      <c r="J104" s="401" t="s">
        <v>5044</v>
      </c>
      <c r="K104" s="401" t="s">
        <v>5023</v>
      </c>
      <c r="L104" s="401" t="s">
        <v>5024</v>
      </c>
      <c r="M104" s="401" t="s">
        <v>5045</v>
      </c>
      <c r="N104" s="401" t="s">
        <v>5026</v>
      </c>
      <c r="O104" s="401" t="s">
        <v>5045</v>
      </c>
      <c r="P104" s="401" t="s">
        <v>5027</v>
      </c>
      <c r="Q104" s="401" t="s">
        <v>4535</v>
      </c>
      <c r="R104" s="401" t="s">
        <v>238</v>
      </c>
      <c r="S104" s="400">
        <v>36613</v>
      </c>
      <c r="T104" s="401" t="s">
        <v>5028</v>
      </c>
      <c r="U104" s="400">
        <v>36613</v>
      </c>
      <c r="V104" s="401" t="s">
        <v>242</v>
      </c>
      <c r="W104" s="401" t="s">
        <v>76</v>
      </c>
      <c r="X104" s="401" t="s">
        <v>5030</v>
      </c>
      <c r="Y104" s="402" t="s">
        <v>5031</v>
      </c>
      <c r="Z104" s="402" t="s">
        <v>5032</v>
      </c>
    </row>
    <row r="105" spans="1:26" x14ac:dyDescent="0.25">
      <c r="A105" s="401">
        <v>440</v>
      </c>
      <c r="B105" s="401" t="s">
        <v>5016</v>
      </c>
      <c r="C105" s="401" t="s">
        <v>5033</v>
      </c>
      <c r="D105" s="401" t="s">
        <v>5046</v>
      </c>
      <c r="E105" s="401" t="s">
        <v>4527</v>
      </c>
      <c r="F105" s="400">
        <v>36613</v>
      </c>
      <c r="G105" s="401" t="s">
        <v>5047</v>
      </c>
      <c r="H105" s="401" t="s">
        <v>5042</v>
      </c>
      <c r="I105" s="401" t="s">
        <v>5043</v>
      </c>
      <c r="J105" s="401" t="s">
        <v>5048</v>
      </c>
      <c r="K105" s="401" t="s">
        <v>5023</v>
      </c>
      <c r="L105" s="401" t="s">
        <v>5024</v>
      </c>
      <c r="M105" s="401" t="s">
        <v>5049</v>
      </c>
      <c r="N105" s="401" t="s">
        <v>5026</v>
      </c>
      <c r="O105" s="401" t="s">
        <v>5049</v>
      </c>
      <c r="P105" s="401" t="s">
        <v>5027</v>
      </c>
      <c r="Q105" s="401" t="s">
        <v>4535</v>
      </c>
      <c r="R105" s="401" t="s">
        <v>238</v>
      </c>
      <c r="S105" s="400">
        <v>36613</v>
      </c>
      <c r="T105" s="401" t="s">
        <v>5028</v>
      </c>
      <c r="U105" s="400">
        <v>36613</v>
      </c>
      <c r="V105" s="401" t="s">
        <v>242</v>
      </c>
      <c r="W105" s="401" t="s">
        <v>76</v>
      </c>
      <c r="X105" s="401" t="s">
        <v>5030</v>
      </c>
      <c r="Y105" s="402" t="s">
        <v>5031</v>
      </c>
      <c r="Z105" s="402" t="s">
        <v>5032</v>
      </c>
    </row>
    <row r="106" spans="1:26" x14ac:dyDescent="0.25">
      <c r="A106" s="401">
        <v>444</v>
      </c>
      <c r="B106" s="401" t="s">
        <v>5016</v>
      </c>
      <c r="C106" s="401" t="s">
        <v>5017</v>
      </c>
      <c r="D106" s="401" t="s">
        <v>5050</v>
      </c>
      <c r="E106" s="401"/>
      <c r="F106" s="400">
        <v>39336</v>
      </c>
      <c r="G106" s="401" t="s">
        <v>5051</v>
      </c>
      <c r="H106" s="401" t="s">
        <v>5052</v>
      </c>
      <c r="I106" s="401" t="s">
        <v>5043</v>
      </c>
      <c r="J106" s="401" t="s">
        <v>5053</v>
      </c>
      <c r="K106" s="401" t="s">
        <v>5023</v>
      </c>
      <c r="L106" s="401" t="s">
        <v>5024</v>
      </c>
      <c r="M106" s="401" t="s">
        <v>5054</v>
      </c>
      <c r="N106" s="401" t="s">
        <v>5026</v>
      </c>
      <c r="O106" s="401" t="s">
        <v>5054</v>
      </c>
      <c r="P106" s="401" t="s">
        <v>5027</v>
      </c>
      <c r="Q106" s="401" t="s">
        <v>4535</v>
      </c>
      <c r="R106" s="401" t="s">
        <v>114</v>
      </c>
      <c r="S106" s="400">
        <v>39336</v>
      </c>
      <c r="T106" s="401" t="s">
        <v>5028</v>
      </c>
      <c r="U106" s="400">
        <v>39336</v>
      </c>
      <c r="V106" s="401" t="s">
        <v>242</v>
      </c>
      <c r="W106" s="401" t="s">
        <v>76</v>
      </c>
      <c r="X106" s="401" t="s">
        <v>5030</v>
      </c>
      <c r="Y106" s="402" t="s">
        <v>5031</v>
      </c>
      <c r="Z106" s="402" t="s">
        <v>5032</v>
      </c>
    </row>
    <row r="107" spans="1:26" x14ac:dyDescent="0.25">
      <c r="A107" s="401">
        <v>448</v>
      </c>
      <c r="B107" s="401" t="s">
        <v>5016</v>
      </c>
      <c r="C107" s="401" t="s">
        <v>5033</v>
      </c>
      <c r="D107" s="401" t="s">
        <v>5055</v>
      </c>
      <c r="E107" s="401"/>
      <c r="F107" s="400">
        <v>36564</v>
      </c>
      <c r="G107" s="401" t="s">
        <v>5056</v>
      </c>
      <c r="H107" s="401" t="s">
        <v>5057</v>
      </c>
      <c r="I107" s="401" t="s">
        <v>5058</v>
      </c>
      <c r="J107" s="401" t="s">
        <v>5059</v>
      </c>
      <c r="K107" s="401" t="s">
        <v>5023</v>
      </c>
      <c r="L107" s="401" t="s">
        <v>5060</v>
      </c>
      <c r="M107" s="401" t="s">
        <v>5061</v>
      </c>
      <c r="N107" s="401" t="s">
        <v>5026</v>
      </c>
      <c r="O107" s="401" t="s">
        <v>5061</v>
      </c>
      <c r="P107" s="401" t="s">
        <v>5027</v>
      </c>
      <c r="Q107" s="401" t="s">
        <v>4535</v>
      </c>
      <c r="R107" s="401" t="s">
        <v>238</v>
      </c>
      <c r="S107" s="400">
        <v>36564</v>
      </c>
      <c r="T107" s="401" t="s">
        <v>5028</v>
      </c>
      <c r="U107" s="400">
        <v>36564</v>
      </c>
      <c r="V107" s="401" t="s">
        <v>242</v>
      </c>
      <c r="W107" s="401" t="s">
        <v>5062</v>
      </c>
      <c r="X107" s="401" t="s">
        <v>5030</v>
      </c>
      <c r="Y107" s="402" t="s">
        <v>5031</v>
      </c>
      <c r="Z107" s="402" t="s">
        <v>5032</v>
      </c>
    </row>
    <row r="108" spans="1:26" x14ac:dyDescent="0.25">
      <c r="A108" s="401">
        <v>451</v>
      </c>
      <c r="B108" s="401" t="s">
        <v>5016</v>
      </c>
      <c r="C108" s="401" t="s">
        <v>5033</v>
      </c>
      <c r="D108" s="401" t="s">
        <v>5063</v>
      </c>
      <c r="E108" s="401"/>
      <c r="F108" s="400">
        <v>36564</v>
      </c>
      <c r="G108" s="401" t="s">
        <v>5064</v>
      </c>
      <c r="H108" s="401" t="s">
        <v>5057</v>
      </c>
      <c r="I108" s="401" t="s">
        <v>5065</v>
      </c>
      <c r="J108" s="401" t="s">
        <v>5066</v>
      </c>
      <c r="K108" s="401" t="s">
        <v>5023</v>
      </c>
      <c r="L108" s="401" t="s">
        <v>5060</v>
      </c>
      <c r="M108" s="401" t="s">
        <v>5067</v>
      </c>
      <c r="N108" s="401" t="s">
        <v>5026</v>
      </c>
      <c r="O108" s="401" t="s">
        <v>5067</v>
      </c>
      <c r="P108" s="401" t="s">
        <v>5027</v>
      </c>
      <c r="Q108" s="401" t="s">
        <v>4786</v>
      </c>
      <c r="R108" s="401" t="s">
        <v>238</v>
      </c>
      <c r="S108" s="400">
        <v>36564</v>
      </c>
      <c r="T108" s="401" t="s">
        <v>5028</v>
      </c>
      <c r="U108" s="400">
        <v>36564</v>
      </c>
      <c r="V108" s="401" t="s">
        <v>242</v>
      </c>
      <c r="W108" s="401" t="s">
        <v>38</v>
      </c>
      <c r="X108" s="401" t="s">
        <v>5068</v>
      </c>
      <c r="Y108" s="402" t="s">
        <v>5031</v>
      </c>
      <c r="Z108" s="402" t="s">
        <v>5032</v>
      </c>
    </row>
    <row r="109" spans="1:26" x14ac:dyDescent="0.25">
      <c r="A109" s="401">
        <v>453</v>
      </c>
      <c r="B109" s="401" t="s">
        <v>5016</v>
      </c>
      <c r="C109" s="401" t="s">
        <v>5033</v>
      </c>
      <c r="D109" s="401" t="s">
        <v>5069</v>
      </c>
      <c r="E109" s="401"/>
      <c r="F109" s="400">
        <v>36564</v>
      </c>
      <c r="G109" s="401" t="s">
        <v>5070</v>
      </c>
      <c r="H109" s="401" t="s">
        <v>5057</v>
      </c>
      <c r="I109" s="401" t="s">
        <v>5058</v>
      </c>
      <c r="J109" s="401" t="s">
        <v>5071</v>
      </c>
      <c r="K109" s="401" t="s">
        <v>5023</v>
      </c>
      <c r="L109" s="401" t="s">
        <v>5060</v>
      </c>
      <c r="M109" s="401" t="s">
        <v>5072</v>
      </c>
      <c r="N109" s="401" t="s">
        <v>5026</v>
      </c>
      <c r="O109" s="401" t="s">
        <v>5072</v>
      </c>
      <c r="P109" s="401" t="s">
        <v>5027</v>
      </c>
      <c r="Q109" s="401" t="s">
        <v>4535</v>
      </c>
      <c r="R109" s="401" t="s">
        <v>238</v>
      </c>
      <c r="S109" s="400">
        <v>36564</v>
      </c>
      <c r="T109" s="401" t="s">
        <v>5028</v>
      </c>
      <c r="U109" s="400">
        <v>36564</v>
      </c>
      <c r="V109" s="401" t="s">
        <v>242</v>
      </c>
      <c r="W109" s="401" t="s">
        <v>5062</v>
      </c>
      <c r="X109" s="401" t="s">
        <v>5030</v>
      </c>
      <c r="Y109" s="402" t="s">
        <v>5031</v>
      </c>
      <c r="Z109" s="402" t="s">
        <v>5032</v>
      </c>
    </row>
    <row r="110" spans="1:26" x14ac:dyDescent="0.25">
      <c r="A110" s="401">
        <v>456</v>
      </c>
      <c r="B110" s="401" t="s">
        <v>5016</v>
      </c>
      <c r="C110" s="401" t="s">
        <v>5033</v>
      </c>
      <c r="D110" s="401" t="s">
        <v>5073</v>
      </c>
      <c r="E110" s="401"/>
      <c r="F110" s="400">
        <v>36565</v>
      </c>
      <c r="G110" s="401" t="s">
        <v>5074</v>
      </c>
      <c r="H110" s="401" t="s">
        <v>5019</v>
      </c>
      <c r="I110" s="401" t="s">
        <v>5075</v>
      </c>
      <c r="J110" s="401" t="s">
        <v>5076</v>
      </c>
      <c r="K110" s="401" t="s">
        <v>5023</v>
      </c>
      <c r="L110" s="401" t="s">
        <v>5060</v>
      </c>
      <c r="M110" s="401" t="s">
        <v>5077</v>
      </c>
      <c r="N110" s="401" t="s">
        <v>5026</v>
      </c>
      <c r="O110" s="401" t="s">
        <v>5077</v>
      </c>
      <c r="P110" s="401" t="s">
        <v>5027</v>
      </c>
      <c r="Q110" s="401" t="s">
        <v>4535</v>
      </c>
      <c r="R110" s="401" t="s">
        <v>238</v>
      </c>
      <c r="S110" s="400">
        <v>36565</v>
      </c>
      <c r="T110" s="401" t="s">
        <v>5028</v>
      </c>
      <c r="U110" s="400">
        <v>36565</v>
      </c>
      <c r="V110" s="401" t="s">
        <v>242</v>
      </c>
      <c r="W110" s="401" t="s">
        <v>5078</v>
      </c>
      <c r="X110" s="401" t="s">
        <v>5030</v>
      </c>
      <c r="Y110" s="402" t="s">
        <v>5031</v>
      </c>
      <c r="Z110" s="402" t="s">
        <v>5032</v>
      </c>
    </row>
    <row r="111" spans="1:26" x14ac:dyDescent="0.25">
      <c r="A111" s="401">
        <v>457</v>
      </c>
      <c r="B111" s="401" t="s">
        <v>5016</v>
      </c>
      <c r="C111" s="401" t="s">
        <v>5033</v>
      </c>
      <c r="D111" s="401" t="s">
        <v>5079</v>
      </c>
      <c r="E111" s="401"/>
      <c r="F111" s="400">
        <v>36565</v>
      </c>
      <c r="G111" s="401" t="s">
        <v>5080</v>
      </c>
      <c r="H111" s="401" t="s">
        <v>5019</v>
      </c>
      <c r="I111" s="401" t="s">
        <v>5075</v>
      </c>
      <c r="J111" s="401" t="s">
        <v>5081</v>
      </c>
      <c r="K111" s="401" t="s">
        <v>5023</v>
      </c>
      <c r="L111" s="401" t="s">
        <v>5060</v>
      </c>
      <c r="M111" s="401" t="s">
        <v>5082</v>
      </c>
      <c r="N111" s="401" t="s">
        <v>5026</v>
      </c>
      <c r="O111" s="401" t="s">
        <v>5082</v>
      </c>
      <c r="P111" s="401" t="s">
        <v>5027</v>
      </c>
      <c r="Q111" s="401" t="s">
        <v>4535</v>
      </c>
      <c r="R111" s="401" t="s">
        <v>238</v>
      </c>
      <c r="S111" s="400">
        <v>36565</v>
      </c>
      <c r="T111" s="401" t="s">
        <v>5028</v>
      </c>
      <c r="U111" s="400">
        <v>36565</v>
      </c>
      <c r="V111" s="401" t="s">
        <v>242</v>
      </c>
      <c r="W111" s="401" t="s">
        <v>5078</v>
      </c>
      <c r="X111" s="401" t="s">
        <v>5030</v>
      </c>
      <c r="Y111" s="402" t="s">
        <v>5031</v>
      </c>
      <c r="Z111" s="402" t="s">
        <v>5032</v>
      </c>
    </row>
    <row r="112" spans="1:26" x14ac:dyDescent="0.25">
      <c r="A112" s="401">
        <v>458</v>
      </c>
      <c r="B112" s="401" t="s">
        <v>5016</v>
      </c>
      <c r="C112" s="401" t="s">
        <v>5033</v>
      </c>
      <c r="D112" s="401" t="s">
        <v>5083</v>
      </c>
      <c r="E112" s="401"/>
      <c r="F112" s="400">
        <v>36565</v>
      </c>
      <c r="G112" s="401" t="s">
        <v>5084</v>
      </c>
      <c r="H112" s="401" t="s">
        <v>5019</v>
      </c>
      <c r="I112" s="401" t="s">
        <v>5085</v>
      </c>
      <c r="J112" s="401" t="s">
        <v>5086</v>
      </c>
      <c r="K112" s="401" t="s">
        <v>5023</v>
      </c>
      <c r="L112" s="401" t="s">
        <v>5060</v>
      </c>
      <c r="M112" s="401" t="s">
        <v>5087</v>
      </c>
      <c r="N112" s="401" t="s">
        <v>5026</v>
      </c>
      <c r="O112" s="401" t="s">
        <v>5087</v>
      </c>
      <c r="P112" s="401" t="s">
        <v>5027</v>
      </c>
      <c r="Q112" s="401" t="s">
        <v>4535</v>
      </c>
      <c r="R112" s="401" t="s">
        <v>238</v>
      </c>
      <c r="S112" s="400">
        <v>36565</v>
      </c>
      <c r="T112" s="401" t="s">
        <v>5028</v>
      </c>
      <c r="U112" s="400">
        <v>36565</v>
      </c>
      <c r="V112" s="401" t="s">
        <v>242</v>
      </c>
      <c r="W112" s="401" t="s">
        <v>5088</v>
      </c>
      <c r="X112" s="401" t="s">
        <v>5030</v>
      </c>
      <c r="Y112" s="402" t="s">
        <v>5031</v>
      </c>
      <c r="Z112" s="402" t="s">
        <v>5032</v>
      </c>
    </row>
    <row r="113" spans="1:26" x14ac:dyDescent="0.25">
      <c r="A113" s="401">
        <v>460</v>
      </c>
      <c r="B113" s="401" t="s">
        <v>5016</v>
      </c>
      <c r="C113" s="401" t="s">
        <v>5033</v>
      </c>
      <c r="D113" s="401" t="s">
        <v>5089</v>
      </c>
      <c r="E113" s="401"/>
      <c r="F113" s="400">
        <v>36565</v>
      </c>
      <c r="G113" s="401" t="s">
        <v>5090</v>
      </c>
      <c r="H113" s="401" t="s">
        <v>5019</v>
      </c>
      <c r="I113" s="401" t="s">
        <v>5075</v>
      </c>
      <c r="J113" s="401" t="s">
        <v>5091</v>
      </c>
      <c r="K113" s="401" t="s">
        <v>5023</v>
      </c>
      <c r="L113" s="401" t="s">
        <v>5092</v>
      </c>
      <c r="M113" s="401" t="s">
        <v>5093</v>
      </c>
      <c r="N113" s="401" t="s">
        <v>5026</v>
      </c>
      <c r="O113" s="401" t="s">
        <v>5093</v>
      </c>
      <c r="P113" s="401" t="s">
        <v>5027</v>
      </c>
      <c r="Q113" s="401" t="s">
        <v>4535</v>
      </c>
      <c r="R113" s="401" t="s">
        <v>238</v>
      </c>
      <c r="S113" s="400">
        <v>36565</v>
      </c>
      <c r="T113" s="401" t="s">
        <v>5028</v>
      </c>
      <c r="U113" s="400">
        <v>36565</v>
      </c>
      <c r="V113" s="401" t="s">
        <v>242</v>
      </c>
      <c r="W113" s="401" t="s">
        <v>5078</v>
      </c>
      <c r="X113" s="401" t="s">
        <v>5030</v>
      </c>
      <c r="Y113" s="402" t="s">
        <v>5031</v>
      </c>
      <c r="Z113" s="402" t="s">
        <v>5032</v>
      </c>
    </row>
    <row r="114" spans="1:26" x14ac:dyDescent="0.25">
      <c r="A114" s="401">
        <v>462</v>
      </c>
      <c r="B114" s="401" t="s">
        <v>5016</v>
      </c>
      <c r="C114" s="401" t="s">
        <v>5033</v>
      </c>
      <c r="D114" s="401" t="s">
        <v>5094</v>
      </c>
      <c r="E114" s="401"/>
      <c r="F114" s="400">
        <v>36565</v>
      </c>
      <c r="G114" s="401" t="s">
        <v>5095</v>
      </c>
      <c r="H114" s="401" t="s">
        <v>5057</v>
      </c>
      <c r="I114" s="401" t="s">
        <v>5096</v>
      </c>
      <c r="J114" s="401" t="s">
        <v>5097</v>
      </c>
      <c r="K114" s="401" t="s">
        <v>5023</v>
      </c>
      <c r="L114" s="401" t="s">
        <v>5092</v>
      </c>
      <c r="M114" s="401" t="s">
        <v>5098</v>
      </c>
      <c r="N114" s="401" t="s">
        <v>5026</v>
      </c>
      <c r="O114" s="401" t="s">
        <v>5098</v>
      </c>
      <c r="P114" s="401" t="s">
        <v>5027</v>
      </c>
      <c r="Q114" s="401" t="s">
        <v>4535</v>
      </c>
      <c r="R114" s="401" t="s">
        <v>238</v>
      </c>
      <c r="S114" s="400">
        <v>36565</v>
      </c>
      <c r="T114" s="401" t="s">
        <v>5028</v>
      </c>
      <c r="U114" s="400">
        <v>36565</v>
      </c>
      <c r="V114" s="401" t="s">
        <v>242</v>
      </c>
      <c r="W114" s="401" t="s">
        <v>5099</v>
      </c>
      <c r="X114" s="401" t="s">
        <v>5030</v>
      </c>
      <c r="Y114" s="402" t="s">
        <v>5031</v>
      </c>
      <c r="Z114" s="402" t="s">
        <v>5032</v>
      </c>
    </row>
    <row r="115" spans="1:26" x14ac:dyDescent="0.25">
      <c r="A115" s="401">
        <v>465</v>
      </c>
      <c r="B115" s="401" t="s">
        <v>5016</v>
      </c>
      <c r="C115" s="401" t="s">
        <v>5033</v>
      </c>
      <c r="D115" s="401" t="s">
        <v>5100</v>
      </c>
      <c r="E115" s="401"/>
      <c r="F115" s="400">
        <v>36565</v>
      </c>
      <c r="G115" s="401" t="s">
        <v>5101</v>
      </c>
      <c r="H115" s="401" t="s">
        <v>5057</v>
      </c>
      <c r="I115" s="401" t="s">
        <v>5096</v>
      </c>
      <c r="J115" s="401" t="s">
        <v>5102</v>
      </c>
      <c r="K115" s="401" t="s">
        <v>5023</v>
      </c>
      <c r="L115" s="401" t="s">
        <v>5092</v>
      </c>
      <c r="M115" s="401" t="s">
        <v>5103</v>
      </c>
      <c r="N115" s="401" t="s">
        <v>5026</v>
      </c>
      <c r="O115" s="401" t="s">
        <v>5103</v>
      </c>
      <c r="P115" s="401" t="s">
        <v>5027</v>
      </c>
      <c r="Q115" s="401" t="s">
        <v>4535</v>
      </c>
      <c r="R115" s="401" t="s">
        <v>238</v>
      </c>
      <c r="S115" s="400">
        <v>36565</v>
      </c>
      <c r="T115" s="401" t="s">
        <v>5028</v>
      </c>
      <c r="U115" s="400">
        <v>36565</v>
      </c>
      <c r="V115" s="401" t="s">
        <v>242</v>
      </c>
      <c r="W115" s="401" t="s">
        <v>5099</v>
      </c>
      <c r="X115" s="401" t="s">
        <v>5030</v>
      </c>
      <c r="Y115" s="402" t="s">
        <v>5031</v>
      </c>
      <c r="Z115" s="402" t="s">
        <v>5032</v>
      </c>
    </row>
    <row r="116" spans="1:26" x14ac:dyDescent="0.25">
      <c r="A116" s="401">
        <v>468</v>
      </c>
      <c r="B116" s="401" t="s">
        <v>5016</v>
      </c>
      <c r="C116" s="401" t="s">
        <v>5033</v>
      </c>
      <c r="D116" s="401" t="s">
        <v>5104</v>
      </c>
      <c r="E116" s="401"/>
      <c r="F116" s="400">
        <v>36565</v>
      </c>
      <c r="G116" s="401" t="s">
        <v>5105</v>
      </c>
      <c r="H116" s="401" t="s">
        <v>5057</v>
      </c>
      <c r="I116" s="401" t="s">
        <v>5096</v>
      </c>
      <c r="J116" s="401" t="s">
        <v>5106</v>
      </c>
      <c r="K116" s="401" t="s">
        <v>5023</v>
      </c>
      <c r="L116" s="401" t="s">
        <v>5092</v>
      </c>
      <c r="M116" s="401" t="s">
        <v>5107</v>
      </c>
      <c r="N116" s="401" t="s">
        <v>5026</v>
      </c>
      <c r="O116" s="401" t="s">
        <v>5107</v>
      </c>
      <c r="P116" s="401" t="s">
        <v>5027</v>
      </c>
      <c r="Q116" s="401" t="s">
        <v>4535</v>
      </c>
      <c r="R116" s="401" t="s">
        <v>238</v>
      </c>
      <c r="S116" s="400">
        <v>36565</v>
      </c>
      <c r="T116" s="401" t="s">
        <v>5028</v>
      </c>
      <c r="U116" s="400">
        <v>36565</v>
      </c>
      <c r="V116" s="401" t="s">
        <v>242</v>
      </c>
      <c r="W116" s="401" t="s">
        <v>5099</v>
      </c>
      <c r="X116" s="401" t="s">
        <v>5030</v>
      </c>
      <c r="Y116" s="402" t="s">
        <v>5031</v>
      </c>
      <c r="Z116" s="402" t="s">
        <v>5032</v>
      </c>
    </row>
    <row r="117" spans="1:26" x14ac:dyDescent="0.25">
      <c r="A117" s="401">
        <v>471</v>
      </c>
      <c r="B117" s="401" t="s">
        <v>5016</v>
      </c>
      <c r="C117" s="401" t="s">
        <v>5033</v>
      </c>
      <c r="D117" s="401" t="s">
        <v>5108</v>
      </c>
      <c r="E117" s="401"/>
      <c r="F117" s="400">
        <v>36566</v>
      </c>
      <c r="G117" s="401" t="s">
        <v>5109</v>
      </c>
      <c r="H117" s="401" t="s">
        <v>5042</v>
      </c>
      <c r="I117" s="401" t="s">
        <v>5021</v>
      </c>
      <c r="J117" s="401" t="s">
        <v>5110</v>
      </c>
      <c r="K117" s="401" t="s">
        <v>5023</v>
      </c>
      <c r="L117" s="401" t="s">
        <v>5092</v>
      </c>
      <c r="M117" s="401" t="s">
        <v>5111</v>
      </c>
      <c r="N117" s="401" t="s">
        <v>5026</v>
      </c>
      <c r="O117" s="401" t="s">
        <v>5111</v>
      </c>
      <c r="P117" s="401" t="s">
        <v>5027</v>
      </c>
      <c r="Q117" s="401" t="s">
        <v>4535</v>
      </c>
      <c r="R117" s="401" t="s">
        <v>238</v>
      </c>
      <c r="S117" s="400">
        <v>36566</v>
      </c>
      <c r="T117" s="401" t="s">
        <v>5028</v>
      </c>
      <c r="U117" s="400">
        <v>36566</v>
      </c>
      <c r="V117" s="401" t="s">
        <v>242</v>
      </c>
      <c r="W117" s="401" t="s">
        <v>5029</v>
      </c>
      <c r="X117" s="401" t="s">
        <v>5030</v>
      </c>
      <c r="Y117" s="402" t="s">
        <v>5031</v>
      </c>
      <c r="Z117" s="402" t="s">
        <v>5032</v>
      </c>
    </row>
    <row r="118" spans="1:26" x14ac:dyDescent="0.25">
      <c r="A118" s="401">
        <v>472</v>
      </c>
      <c r="B118" s="401" t="s">
        <v>5016</v>
      </c>
      <c r="C118" s="401" t="s">
        <v>5033</v>
      </c>
      <c r="D118" s="401" t="s">
        <v>5112</v>
      </c>
      <c r="E118" s="401"/>
      <c r="F118" s="400">
        <v>36572</v>
      </c>
      <c r="G118" s="401" t="s">
        <v>5113</v>
      </c>
      <c r="H118" s="401" t="s">
        <v>5057</v>
      </c>
      <c r="I118" s="401" t="s">
        <v>5043</v>
      </c>
      <c r="J118" s="401" t="s">
        <v>5114</v>
      </c>
      <c r="K118" s="401" t="s">
        <v>5023</v>
      </c>
      <c r="L118" s="401" t="s">
        <v>5092</v>
      </c>
      <c r="M118" s="401" t="s">
        <v>5115</v>
      </c>
      <c r="N118" s="401" t="s">
        <v>5026</v>
      </c>
      <c r="O118" s="401" t="s">
        <v>5115</v>
      </c>
      <c r="P118" s="401" t="s">
        <v>5027</v>
      </c>
      <c r="Q118" s="401" t="s">
        <v>4535</v>
      </c>
      <c r="R118" s="401" t="s">
        <v>238</v>
      </c>
      <c r="S118" s="400">
        <v>36572</v>
      </c>
      <c r="T118" s="401" t="s">
        <v>5028</v>
      </c>
      <c r="U118" s="400">
        <v>36572</v>
      </c>
      <c r="V118" s="401" t="s">
        <v>242</v>
      </c>
      <c r="W118" s="401" t="s">
        <v>76</v>
      </c>
      <c r="X118" s="401" t="s">
        <v>5030</v>
      </c>
      <c r="Y118" s="402" t="s">
        <v>5031</v>
      </c>
      <c r="Z118" s="402" t="s">
        <v>5032</v>
      </c>
    </row>
    <row r="119" spans="1:26" x14ac:dyDescent="0.25">
      <c r="A119" s="401">
        <v>475</v>
      </c>
      <c r="B119" s="401" t="s">
        <v>5016</v>
      </c>
      <c r="C119" s="401" t="s">
        <v>5116</v>
      </c>
      <c r="D119" s="401" t="s">
        <v>5117</v>
      </c>
      <c r="E119" s="401"/>
      <c r="F119" s="400">
        <v>42593</v>
      </c>
      <c r="G119" s="401" t="s">
        <v>4842</v>
      </c>
      <c r="H119" s="401" t="s">
        <v>4851</v>
      </c>
      <c r="I119" s="401" t="s">
        <v>5118</v>
      </c>
      <c r="J119" s="401" t="s">
        <v>5119</v>
      </c>
      <c r="K119" s="401" t="s">
        <v>5023</v>
      </c>
      <c r="L119" s="401" t="s">
        <v>5120</v>
      </c>
      <c r="M119" s="401" t="s">
        <v>4855</v>
      </c>
      <c r="N119" s="401" t="s">
        <v>5026</v>
      </c>
      <c r="O119" s="401" t="s">
        <v>4855</v>
      </c>
      <c r="P119" s="401" t="s">
        <v>5027</v>
      </c>
      <c r="Q119" s="401" t="s">
        <v>4535</v>
      </c>
      <c r="R119" s="401" t="s">
        <v>4675</v>
      </c>
      <c r="S119" s="400">
        <v>42593</v>
      </c>
      <c r="T119" s="401" t="s">
        <v>5028</v>
      </c>
      <c r="U119" s="400">
        <v>42593</v>
      </c>
      <c r="V119" s="401" t="s">
        <v>242</v>
      </c>
      <c r="W119" s="401" t="s">
        <v>1</v>
      </c>
      <c r="X119" s="401" t="s">
        <v>5030</v>
      </c>
      <c r="Y119" s="402" t="s">
        <v>5031</v>
      </c>
      <c r="Z119" s="402" t="s">
        <v>5032</v>
      </c>
    </row>
    <row r="120" spans="1:26" x14ac:dyDescent="0.25">
      <c r="A120" s="401">
        <v>477</v>
      </c>
      <c r="B120" s="401" t="s">
        <v>5016</v>
      </c>
      <c r="C120" s="401" t="s">
        <v>5017</v>
      </c>
      <c r="D120" s="401" t="s">
        <v>5121</v>
      </c>
      <c r="E120" s="401"/>
      <c r="F120" s="400">
        <v>42593</v>
      </c>
      <c r="G120" s="401" t="s">
        <v>4842</v>
      </c>
      <c r="H120" s="401" t="s">
        <v>4827</v>
      </c>
      <c r="I120" s="401" t="s">
        <v>5021</v>
      </c>
      <c r="J120" s="401" t="s">
        <v>5122</v>
      </c>
      <c r="K120" s="401" t="s">
        <v>5023</v>
      </c>
      <c r="L120" s="401" t="s">
        <v>5120</v>
      </c>
      <c r="M120" s="401" t="s">
        <v>4845</v>
      </c>
      <c r="N120" s="401" t="s">
        <v>5026</v>
      </c>
      <c r="O120" s="401" t="s">
        <v>4845</v>
      </c>
      <c r="P120" s="401" t="s">
        <v>5027</v>
      </c>
      <c r="Q120" s="401" t="s">
        <v>4535</v>
      </c>
      <c r="R120" s="401" t="s">
        <v>114</v>
      </c>
      <c r="S120" s="400">
        <v>42593</v>
      </c>
      <c r="T120" s="401" t="s">
        <v>5028</v>
      </c>
      <c r="U120" s="400">
        <v>42593</v>
      </c>
      <c r="V120" s="401" t="s">
        <v>242</v>
      </c>
      <c r="W120" s="401" t="s">
        <v>5029</v>
      </c>
      <c r="X120" s="401" t="s">
        <v>5030</v>
      </c>
      <c r="Y120" s="402" t="s">
        <v>5031</v>
      </c>
      <c r="Z120" s="402" t="s">
        <v>5032</v>
      </c>
    </row>
    <row r="121" spans="1:26" x14ac:dyDescent="0.25">
      <c r="A121" s="401">
        <v>478</v>
      </c>
      <c r="B121" s="401" t="s">
        <v>5016</v>
      </c>
      <c r="C121" s="401" t="s">
        <v>5123</v>
      </c>
      <c r="D121" s="401" t="s">
        <v>5124</v>
      </c>
      <c r="E121" s="401"/>
      <c r="F121" s="400">
        <v>42593</v>
      </c>
      <c r="G121" s="401" t="s">
        <v>4827</v>
      </c>
      <c r="H121" s="401" t="s">
        <v>4828</v>
      </c>
      <c r="I121" s="401" t="s">
        <v>5021</v>
      </c>
      <c r="J121" s="401" t="s">
        <v>5125</v>
      </c>
      <c r="K121" s="401" t="s">
        <v>5023</v>
      </c>
      <c r="L121" s="401" t="s">
        <v>5120</v>
      </c>
      <c r="M121" s="401" t="s">
        <v>4833</v>
      </c>
      <c r="N121" s="401" t="s">
        <v>5026</v>
      </c>
      <c r="O121" s="401" t="s">
        <v>4833</v>
      </c>
      <c r="P121" s="401" t="s">
        <v>5027</v>
      </c>
      <c r="Q121" s="401" t="s">
        <v>4535</v>
      </c>
      <c r="R121" s="401" t="s">
        <v>4692</v>
      </c>
      <c r="S121" s="400">
        <v>42593</v>
      </c>
      <c r="T121" s="401" t="s">
        <v>5028</v>
      </c>
      <c r="U121" s="400">
        <v>42593</v>
      </c>
      <c r="V121" s="401" t="s">
        <v>242</v>
      </c>
      <c r="W121" s="401" t="s">
        <v>5029</v>
      </c>
      <c r="X121" s="401" t="s">
        <v>5030</v>
      </c>
      <c r="Y121" s="402" t="s">
        <v>5031</v>
      </c>
      <c r="Z121" s="402" t="s">
        <v>5032</v>
      </c>
    </row>
    <row r="122" spans="1:26" x14ac:dyDescent="0.25">
      <c r="A122" s="401">
        <v>479</v>
      </c>
      <c r="B122" s="401" t="s">
        <v>5016</v>
      </c>
      <c r="C122" s="401" t="s">
        <v>5126</v>
      </c>
      <c r="D122" s="401" t="s">
        <v>5127</v>
      </c>
      <c r="E122" s="401"/>
      <c r="F122" s="400">
        <v>42641</v>
      </c>
      <c r="G122" s="401" t="s">
        <v>5128</v>
      </c>
      <c r="H122" s="401" t="s">
        <v>5129</v>
      </c>
      <c r="I122" s="401" t="s">
        <v>5043</v>
      </c>
      <c r="J122" s="401" t="s">
        <v>5130</v>
      </c>
      <c r="K122" s="401" t="s">
        <v>5023</v>
      </c>
      <c r="L122" s="401" t="s">
        <v>5120</v>
      </c>
      <c r="M122" s="401" t="s">
        <v>4946</v>
      </c>
      <c r="N122" s="401" t="s">
        <v>5026</v>
      </c>
      <c r="O122" s="401" t="s">
        <v>4946</v>
      </c>
      <c r="P122" s="401" t="s">
        <v>5027</v>
      </c>
      <c r="Q122" s="401" t="s">
        <v>4535</v>
      </c>
      <c r="R122" s="401" t="s">
        <v>4692</v>
      </c>
      <c r="S122" s="400">
        <v>42641</v>
      </c>
      <c r="T122" s="401" t="s">
        <v>5028</v>
      </c>
      <c r="U122" s="400">
        <v>42641</v>
      </c>
      <c r="V122" s="401" t="s">
        <v>242</v>
      </c>
      <c r="W122" s="401" t="s">
        <v>76</v>
      </c>
      <c r="X122" s="401" t="s">
        <v>5030</v>
      </c>
      <c r="Y122" s="402" t="s">
        <v>5031</v>
      </c>
      <c r="Z122" s="402" t="s">
        <v>5032</v>
      </c>
    </row>
    <row r="123" spans="1:26" x14ac:dyDescent="0.25">
      <c r="A123" s="401">
        <v>482</v>
      </c>
      <c r="B123" s="401" t="s">
        <v>5016</v>
      </c>
      <c r="C123" s="401" t="s">
        <v>5017</v>
      </c>
      <c r="D123" s="401" t="s">
        <v>5131</v>
      </c>
      <c r="E123" s="401"/>
      <c r="F123" s="400">
        <v>42719</v>
      </c>
      <c r="G123" s="401" t="s">
        <v>5132</v>
      </c>
      <c r="H123" s="401" t="s">
        <v>5133</v>
      </c>
      <c r="I123" s="401" t="s">
        <v>5021</v>
      </c>
      <c r="J123" s="401" t="s">
        <v>5134</v>
      </c>
      <c r="K123" s="401" t="s">
        <v>5023</v>
      </c>
      <c r="L123" s="401" t="s">
        <v>5120</v>
      </c>
      <c r="M123" s="401" t="s">
        <v>5135</v>
      </c>
      <c r="N123" s="401" t="s">
        <v>5026</v>
      </c>
      <c r="O123" s="401" t="s">
        <v>5135</v>
      </c>
      <c r="P123" s="401" t="s">
        <v>5027</v>
      </c>
      <c r="Q123" s="401" t="s">
        <v>4535</v>
      </c>
      <c r="R123" s="401" t="s">
        <v>114</v>
      </c>
      <c r="S123" s="400">
        <v>42719</v>
      </c>
      <c r="T123" s="401" t="s">
        <v>5028</v>
      </c>
      <c r="U123" s="400">
        <v>42719</v>
      </c>
      <c r="V123" s="401" t="s">
        <v>242</v>
      </c>
      <c r="W123" s="401" t="s">
        <v>5029</v>
      </c>
      <c r="X123" s="401" t="s">
        <v>5030</v>
      </c>
      <c r="Y123" s="402" t="s">
        <v>5031</v>
      </c>
      <c r="Z123" s="402" t="s">
        <v>5032</v>
      </c>
    </row>
    <row r="124" spans="1:26" x14ac:dyDescent="0.25">
      <c r="A124" s="401">
        <v>483</v>
      </c>
      <c r="B124" s="401" t="s">
        <v>5016</v>
      </c>
      <c r="C124" s="401" t="s">
        <v>5136</v>
      </c>
      <c r="D124" s="401" t="s">
        <v>5137</v>
      </c>
      <c r="E124" s="401"/>
      <c r="F124" s="400">
        <v>42752</v>
      </c>
      <c r="G124" s="401" t="s">
        <v>4811</v>
      </c>
      <c r="H124" s="401" t="s">
        <v>5138</v>
      </c>
      <c r="I124" s="401" t="s">
        <v>5139</v>
      </c>
      <c r="J124" s="401" t="s">
        <v>5140</v>
      </c>
      <c r="K124" s="401" t="s">
        <v>5023</v>
      </c>
      <c r="L124" s="401" t="s">
        <v>5120</v>
      </c>
      <c r="M124" s="401" t="s">
        <v>5141</v>
      </c>
      <c r="N124" s="401" t="s">
        <v>5026</v>
      </c>
      <c r="O124" s="401" t="s">
        <v>5141</v>
      </c>
      <c r="P124" s="401" t="s">
        <v>5027</v>
      </c>
      <c r="Q124" s="401" t="s">
        <v>4535</v>
      </c>
      <c r="R124" s="401" t="s">
        <v>4692</v>
      </c>
      <c r="S124" s="400">
        <v>42752</v>
      </c>
      <c r="T124" s="401" t="s">
        <v>5028</v>
      </c>
      <c r="U124" s="400">
        <v>42752</v>
      </c>
      <c r="V124" s="401" t="s">
        <v>242</v>
      </c>
      <c r="W124" s="401" t="s">
        <v>5142</v>
      </c>
      <c r="X124" s="401" t="s">
        <v>5030</v>
      </c>
      <c r="Y124" s="402" t="s">
        <v>5031</v>
      </c>
      <c r="Z124" s="402" t="s">
        <v>5032</v>
      </c>
    </row>
    <row r="125" spans="1:26" x14ac:dyDescent="0.25">
      <c r="A125" s="401">
        <v>484</v>
      </c>
      <c r="B125" s="401" t="s">
        <v>5016</v>
      </c>
      <c r="C125" s="401" t="s">
        <v>5136</v>
      </c>
      <c r="D125" s="401" t="s">
        <v>5143</v>
      </c>
      <c r="E125" s="401"/>
      <c r="F125" s="400">
        <v>42752</v>
      </c>
      <c r="G125" s="401" t="s">
        <v>4797</v>
      </c>
      <c r="H125" s="401" t="s">
        <v>5138</v>
      </c>
      <c r="I125" s="401" t="s">
        <v>5139</v>
      </c>
      <c r="J125" s="401" t="s">
        <v>5144</v>
      </c>
      <c r="K125" s="401" t="s">
        <v>5023</v>
      </c>
      <c r="L125" s="401" t="s">
        <v>5120</v>
      </c>
      <c r="M125" s="401" t="s">
        <v>4748</v>
      </c>
      <c r="N125" s="401" t="s">
        <v>5026</v>
      </c>
      <c r="O125" s="401" t="s">
        <v>4748</v>
      </c>
      <c r="P125" s="401" t="s">
        <v>5027</v>
      </c>
      <c r="Q125" s="401" t="s">
        <v>4535</v>
      </c>
      <c r="R125" s="401" t="s">
        <v>4692</v>
      </c>
      <c r="S125" s="400">
        <v>42752</v>
      </c>
      <c r="T125" s="401" t="s">
        <v>5028</v>
      </c>
      <c r="U125" s="400">
        <v>42752</v>
      </c>
      <c r="V125" s="401" t="s">
        <v>242</v>
      </c>
      <c r="W125" s="401" t="s">
        <v>5142</v>
      </c>
      <c r="X125" s="401" t="s">
        <v>5030</v>
      </c>
      <c r="Y125" s="402" t="s">
        <v>5031</v>
      </c>
      <c r="Z125" s="402" t="s">
        <v>5032</v>
      </c>
    </row>
    <row r="126" spans="1:26" x14ac:dyDescent="0.25">
      <c r="A126" s="401">
        <v>485</v>
      </c>
      <c r="B126" s="401" t="s">
        <v>5016</v>
      </c>
      <c r="C126" s="401" t="s">
        <v>5017</v>
      </c>
      <c r="D126" s="401" t="s">
        <v>5145</v>
      </c>
      <c r="E126" s="401"/>
      <c r="F126" s="400">
        <v>42752</v>
      </c>
      <c r="G126" s="401" t="s">
        <v>5146</v>
      </c>
      <c r="H126" s="401" t="s">
        <v>4789</v>
      </c>
      <c r="I126" s="401" t="s">
        <v>5139</v>
      </c>
      <c r="J126" s="401" t="s">
        <v>5147</v>
      </c>
      <c r="K126" s="401" t="s">
        <v>5023</v>
      </c>
      <c r="L126" s="401" t="s">
        <v>5120</v>
      </c>
      <c r="M126" s="401" t="s">
        <v>4743</v>
      </c>
      <c r="N126" s="401" t="s">
        <v>5026</v>
      </c>
      <c r="O126" s="401" t="s">
        <v>4743</v>
      </c>
      <c r="P126" s="401" t="s">
        <v>5027</v>
      </c>
      <c r="Q126" s="401" t="s">
        <v>4535</v>
      </c>
      <c r="R126" s="401" t="s">
        <v>114</v>
      </c>
      <c r="S126" s="400">
        <v>42752</v>
      </c>
      <c r="T126" s="401" t="s">
        <v>5028</v>
      </c>
      <c r="U126" s="400">
        <v>42752</v>
      </c>
      <c r="V126" s="401" t="s">
        <v>242</v>
      </c>
      <c r="W126" s="401" t="s">
        <v>5142</v>
      </c>
      <c r="X126" s="401" t="s">
        <v>5030</v>
      </c>
      <c r="Y126" s="402" t="s">
        <v>5031</v>
      </c>
      <c r="Z126" s="402" t="s">
        <v>5032</v>
      </c>
    </row>
    <row r="127" spans="1:26" x14ac:dyDescent="0.25">
      <c r="A127" s="401">
        <v>486</v>
      </c>
      <c r="B127" s="401" t="s">
        <v>5016</v>
      </c>
      <c r="C127" s="401" t="s">
        <v>5123</v>
      </c>
      <c r="D127" s="401" t="s">
        <v>5148</v>
      </c>
      <c r="E127" s="401"/>
      <c r="F127" s="400">
        <v>42752</v>
      </c>
      <c r="G127" s="401" t="s">
        <v>4789</v>
      </c>
      <c r="H127" s="401" t="s">
        <v>4797</v>
      </c>
      <c r="I127" s="401" t="s">
        <v>5139</v>
      </c>
      <c r="J127" s="401" t="s">
        <v>5149</v>
      </c>
      <c r="K127" s="401" t="s">
        <v>5023</v>
      </c>
      <c r="L127" s="401" t="s">
        <v>5120</v>
      </c>
      <c r="M127" s="401" t="s">
        <v>4746</v>
      </c>
      <c r="N127" s="401" t="s">
        <v>5026</v>
      </c>
      <c r="O127" s="401" t="s">
        <v>4746</v>
      </c>
      <c r="P127" s="401" t="s">
        <v>5027</v>
      </c>
      <c r="Q127" s="401" t="s">
        <v>4535</v>
      </c>
      <c r="R127" s="401" t="s">
        <v>4692</v>
      </c>
      <c r="S127" s="400">
        <v>42752</v>
      </c>
      <c r="T127" s="401" t="s">
        <v>5028</v>
      </c>
      <c r="U127" s="400">
        <v>42752</v>
      </c>
      <c r="V127" s="401" t="s">
        <v>242</v>
      </c>
      <c r="W127" s="401" t="s">
        <v>5142</v>
      </c>
      <c r="X127" s="401" t="s">
        <v>5030</v>
      </c>
      <c r="Y127" s="402" t="s">
        <v>5031</v>
      </c>
      <c r="Z127" s="402" t="s">
        <v>5032</v>
      </c>
    </row>
    <row r="128" spans="1:26" x14ac:dyDescent="0.25">
      <c r="A128" s="401">
        <v>487</v>
      </c>
      <c r="B128" s="401" t="s">
        <v>5016</v>
      </c>
      <c r="C128" s="401" t="s">
        <v>5150</v>
      </c>
      <c r="D128" s="401" t="s">
        <v>5151</v>
      </c>
      <c r="E128" s="401"/>
      <c r="F128" s="400">
        <v>42930</v>
      </c>
      <c r="G128" s="401" t="s">
        <v>5152</v>
      </c>
      <c r="H128" s="401" t="s">
        <v>5153</v>
      </c>
      <c r="I128" s="401" t="s">
        <v>5021</v>
      </c>
      <c r="J128" s="401" t="s">
        <v>5154</v>
      </c>
      <c r="K128" s="401" t="s">
        <v>5023</v>
      </c>
      <c r="L128" s="401" t="s">
        <v>5155</v>
      </c>
      <c r="M128" s="401" t="s">
        <v>5156</v>
      </c>
      <c r="N128" s="401" t="s">
        <v>5026</v>
      </c>
      <c r="O128" s="401" t="s">
        <v>5156</v>
      </c>
      <c r="P128" s="401" t="s">
        <v>5027</v>
      </c>
      <c r="Q128" s="401" t="s">
        <v>4786</v>
      </c>
      <c r="R128" s="401" t="s">
        <v>4955</v>
      </c>
      <c r="S128" s="400">
        <v>42930</v>
      </c>
      <c r="T128" s="401" t="s">
        <v>5028</v>
      </c>
      <c r="U128" s="400">
        <v>42930</v>
      </c>
      <c r="V128" s="401" t="s">
        <v>242</v>
      </c>
      <c r="W128" s="401" t="s">
        <v>5029</v>
      </c>
      <c r="X128" s="401" t="s">
        <v>5068</v>
      </c>
      <c r="Y128" s="402" t="s">
        <v>5031</v>
      </c>
      <c r="Z128" s="402" t="s">
        <v>5032</v>
      </c>
    </row>
    <row r="129" spans="1:26" x14ac:dyDescent="0.25">
      <c r="A129" s="401">
        <v>488</v>
      </c>
      <c r="B129" s="401" t="s">
        <v>5016</v>
      </c>
      <c r="C129" s="401" t="s">
        <v>5157</v>
      </c>
      <c r="D129" s="401" t="s">
        <v>5158</v>
      </c>
      <c r="E129" s="401"/>
      <c r="F129" s="400">
        <v>43088</v>
      </c>
      <c r="G129" s="401" t="s">
        <v>4827</v>
      </c>
      <c r="H129" s="401" t="s">
        <v>5159</v>
      </c>
      <c r="I129" s="401" t="s">
        <v>5021</v>
      </c>
      <c r="J129" s="401" t="s">
        <v>5160</v>
      </c>
      <c r="K129" s="401" t="s">
        <v>5023</v>
      </c>
      <c r="L129" s="401" t="s">
        <v>5155</v>
      </c>
      <c r="M129" s="401" t="s">
        <v>5161</v>
      </c>
      <c r="N129" s="401" t="s">
        <v>5026</v>
      </c>
      <c r="O129" s="401" t="s">
        <v>5161</v>
      </c>
      <c r="P129" s="401" t="s">
        <v>5027</v>
      </c>
      <c r="Q129" s="401" t="s">
        <v>4535</v>
      </c>
      <c r="R129" s="401" t="s">
        <v>4675</v>
      </c>
      <c r="S129" s="400">
        <v>43088</v>
      </c>
      <c r="T129" s="401" t="s">
        <v>5028</v>
      </c>
      <c r="U129" s="400">
        <v>43088</v>
      </c>
      <c r="V129" s="401" t="s">
        <v>242</v>
      </c>
      <c r="W129" s="401" t="s">
        <v>5029</v>
      </c>
      <c r="X129" s="401" t="s">
        <v>5030</v>
      </c>
      <c r="Y129" s="402" t="s">
        <v>5031</v>
      </c>
      <c r="Z129" s="402" t="s">
        <v>5032</v>
      </c>
    </row>
    <row r="130" spans="1:26" x14ac:dyDescent="0.25">
      <c r="A130" s="401">
        <v>489</v>
      </c>
      <c r="B130" s="401" t="s">
        <v>5016</v>
      </c>
      <c r="C130" s="401" t="s">
        <v>5017</v>
      </c>
      <c r="D130" s="401" t="s">
        <v>5162</v>
      </c>
      <c r="E130" s="401"/>
      <c r="F130" s="400">
        <v>43119</v>
      </c>
      <c r="G130" s="401" t="s">
        <v>5163</v>
      </c>
      <c r="H130" s="401" t="s">
        <v>5164</v>
      </c>
      <c r="I130" s="401" t="s">
        <v>5165</v>
      </c>
      <c r="J130" s="401" t="s">
        <v>5166</v>
      </c>
      <c r="K130" s="401" t="s">
        <v>5023</v>
      </c>
      <c r="L130" s="401" t="s">
        <v>5155</v>
      </c>
      <c r="M130" s="401" t="s">
        <v>5167</v>
      </c>
      <c r="N130" s="401" t="s">
        <v>5026</v>
      </c>
      <c r="O130" s="401" t="s">
        <v>5167</v>
      </c>
      <c r="P130" s="401" t="s">
        <v>5027</v>
      </c>
      <c r="Q130" s="401" t="s">
        <v>4535</v>
      </c>
      <c r="R130" s="401" t="s">
        <v>114</v>
      </c>
      <c r="S130" s="400">
        <v>43119</v>
      </c>
      <c r="T130" s="401" t="s">
        <v>5028</v>
      </c>
      <c r="U130" s="400">
        <v>43119</v>
      </c>
      <c r="V130" s="401" t="s">
        <v>242</v>
      </c>
      <c r="W130" s="401" t="s">
        <v>5168</v>
      </c>
      <c r="X130" s="401" t="s">
        <v>5030</v>
      </c>
      <c r="Y130" s="402" t="s">
        <v>5031</v>
      </c>
      <c r="Z130" s="402" t="s">
        <v>5032</v>
      </c>
    </row>
    <row r="131" spans="1:26" x14ac:dyDescent="0.25">
      <c r="A131" s="401">
        <v>490</v>
      </c>
      <c r="B131" s="401" t="s">
        <v>5016</v>
      </c>
      <c r="C131" s="401" t="s">
        <v>5169</v>
      </c>
      <c r="D131" s="401" t="s">
        <v>5170</v>
      </c>
      <c r="E131" s="401"/>
      <c r="F131" s="400">
        <v>43327</v>
      </c>
      <c r="G131" s="401" t="s">
        <v>5171</v>
      </c>
      <c r="H131" s="401" t="s">
        <v>5153</v>
      </c>
      <c r="I131" s="401" t="s">
        <v>5172</v>
      </c>
      <c r="J131" s="401" t="s">
        <v>5173</v>
      </c>
      <c r="K131" s="401" t="s">
        <v>5023</v>
      </c>
      <c r="L131" s="401" t="s">
        <v>5155</v>
      </c>
      <c r="M131" s="401" t="s">
        <v>5174</v>
      </c>
      <c r="N131" s="401" t="s">
        <v>5026</v>
      </c>
      <c r="O131" s="401" t="s">
        <v>5174</v>
      </c>
      <c r="P131" s="401" t="s">
        <v>5027</v>
      </c>
      <c r="Q131" s="401" t="s">
        <v>4535</v>
      </c>
      <c r="R131" s="401" t="s">
        <v>4955</v>
      </c>
      <c r="S131" s="400">
        <v>43327</v>
      </c>
      <c r="T131" s="401" t="s">
        <v>5028</v>
      </c>
      <c r="U131" s="400">
        <v>43327</v>
      </c>
      <c r="V131" s="401" t="s">
        <v>242</v>
      </c>
      <c r="W131" s="401" t="s">
        <v>5175</v>
      </c>
      <c r="X131" s="401" t="s">
        <v>5030</v>
      </c>
      <c r="Y131" s="402" t="s">
        <v>5031</v>
      </c>
      <c r="Z131" s="402" t="s">
        <v>5032</v>
      </c>
    </row>
    <row r="132" spans="1:26" x14ac:dyDescent="0.25">
      <c r="A132" s="401">
        <v>491</v>
      </c>
      <c r="B132" s="401" t="s">
        <v>5016</v>
      </c>
      <c r="C132" s="401" t="s">
        <v>5176</v>
      </c>
      <c r="D132" s="401" t="s">
        <v>5177</v>
      </c>
      <c r="E132" s="401"/>
      <c r="F132" s="400">
        <v>43353</v>
      </c>
      <c r="G132" s="401" t="s">
        <v>5178</v>
      </c>
      <c r="H132" s="401" t="s">
        <v>4828</v>
      </c>
      <c r="I132" s="401" t="s">
        <v>5021</v>
      </c>
      <c r="J132" s="401" t="s">
        <v>5179</v>
      </c>
      <c r="K132" s="401" t="s">
        <v>5023</v>
      </c>
      <c r="L132" s="401" t="s">
        <v>5155</v>
      </c>
      <c r="M132" s="401" t="s">
        <v>4940</v>
      </c>
      <c r="N132" s="401" t="s">
        <v>5026</v>
      </c>
      <c r="O132" s="401" t="s">
        <v>4940</v>
      </c>
      <c r="P132" s="401" t="s">
        <v>5027</v>
      </c>
      <c r="Q132" s="401" t="s">
        <v>4535</v>
      </c>
      <c r="R132" s="401" t="s">
        <v>4692</v>
      </c>
      <c r="S132" s="400">
        <v>43353</v>
      </c>
      <c r="T132" s="401" t="s">
        <v>5028</v>
      </c>
      <c r="U132" s="400">
        <v>43353</v>
      </c>
      <c r="V132" s="401" t="s">
        <v>242</v>
      </c>
      <c r="W132" s="401" t="s">
        <v>5029</v>
      </c>
      <c r="X132" s="401" t="s">
        <v>5030</v>
      </c>
      <c r="Y132" s="402" t="s">
        <v>5031</v>
      </c>
      <c r="Z132" s="402" t="s">
        <v>5032</v>
      </c>
    </row>
    <row r="133" spans="1:26" x14ac:dyDescent="0.25">
      <c r="A133" s="401">
        <v>492</v>
      </c>
      <c r="B133" s="401" t="s">
        <v>5016</v>
      </c>
      <c r="C133" s="401" t="s">
        <v>5180</v>
      </c>
      <c r="D133" s="401" t="s">
        <v>5181</v>
      </c>
      <c r="E133" s="401"/>
      <c r="F133" s="400">
        <v>43521</v>
      </c>
      <c r="G133" s="401" t="s">
        <v>5182</v>
      </c>
      <c r="H133" s="401" t="s">
        <v>5183</v>
      </c>
      <c r="I133" s="401" t="s">
        <v>5118</v>
      </c>
      <c r="J133" s="401" t="s">
        <v>5184</v>
      </c>
      <c r="K133" s="401" t="s">
        <v>5023</v>
      </c>
      <c r="L133" s="401" t="s">
        <v>5185</v>
      </c>
      <c r="M133" s="401" t="s">
        <v>5186</v>
      </c>
      <c r="N133" s="401" t="s">
        <v>5026</v>
      </c>
      <c r="O133" s="401" t="s">
        <v>5186</v>
      </c>
      <c r="P133" s="401" t="s">
        <v>5027</v>
      </c>
      <c r="Q133" s="401" t="s">
        <v>4535</v>
      </c>
      <c r="R133" s="401" t="s">
        <v>4692</v>
      </c>
      <c r="S133" s="400">
        <v>43521</v>
      </c>
      <c r="T133" s="401" t="s">
        <v>5028</v>
      </c>
      <c r="U133" s="400">
        <v>43521</v>
      </c>
      <c r="V133" s="401" t="s">
        <v>242</v>
      </c>
      <c r="W133" s="401" t="s">
        <v>1</v>
      </c>
      <c r="X133" s="401" t="s">
        <v>5030</v>
      </c>
      <c r="Y133" s="402" t="s">
        <v>5031</v>
      </c>
      <c r="Z133" s="402" t="s">
        <v>5032</v>
      </c>
    </row>
    <row r="134" spans="1:26" x14ac:dyDescent="0.25">
      <c r="A134" s="401">
        <v>495</v>
      </c>
      <c r="B134" s="401" t="s">
        <v>5016</v>
      </c>
      <c r="C134" s="401" t="s">
        <v>5017</v>
      </c>
      <c r="D134" s="401" t="s">
        <v>5187</v>
      </c>
      <c r="E134" s="401"/>
      <c r="F134" s="400">
        <v>43698</v>
      </c>
      <c r="G134" s="401" t="s">
        <v>5188</v>
      </c>
      <c r="H134" s="401" t="s">
        <v>5189</v>
      </c>
      <c r="I134" s="401" t="s">
        <v>5190</v>
      </c>
      <c r="J134" s="401" t="s">
        <v>5191</v>
      </c>
      <c r="K134" s="401" t="s">
        <v>5023</v>
      </c>
      <c r="L134" s="401" t="s">
        <v>5185</v>
      </c>
      <c r="M134" s="401" t="s">
        <v>5192</v>
      </c>
      <c r="N134" s="401" t="s">
        <v>5026</v>
      </c>
      <c r="O134" s="401" t="s">
        <v>5192</v>
      </c>
      <c r="P134" s="401" t="s">
        <v>5027</v>
      </c>
      <c r="Q134" s="401" t="s">
        <v>4535</v>
      </c>
      <c r="R134" s="401" t="s">
        <v>114</v>
      </c>
      <c r="S134" s="400">
        <v>43698</v>
      </c>
      <c r="T134" s="401" t="s">
        <v>5028</v>
      </c>
      <c r="U134" s="400">
        <v>43698</v>
      </c>
      <c r="V134" s="401" t="s">
        <v>242</v>
      </c>
      <c r="W134" s="401" t="s">
        <v>5193</v>
      </c>
      <c r="X134" s="401" t="s">
        <v>5030</v>
      </c>
      <c r="Y134" s="402" t="s">
        <v>5031</v>
      </c>
      <c r="Z134" s="402" t="s">
        <v>5032</v>
      </c>
    </row>
    <row r="135" spans="1:26" x14ac:dyDescent="0.25">
      <c r="A135" s="401">
        <v>496</v>
      </c>
      <c r="B135" s="401" t="s">
        <v>5016</v>
      </c>
      <c r="C135" s="401" t="s">
        <v>5176</v>
      </c>
      <c r="D135" s="401" t="s">
        <v>5194</v>
      </c>
      <c r="E135" s="401"/>
      <c r="F135" s="400">
        <v>43759</v>
      </c>
      <c r="G135" s="401" t="s">
        <v>5195</v>
      </c>
      <c r="H135" s="401" t="s">
        <v>4880</v>
      </c>
      <c r="I135" s="401" t="s">
        <v>5021</v>
      </c>
      <c r="J135" s="401" t="s">
        <v>5196</v>
      </c>
      <c r="K135" s="401" t="s">
        <v>5023</v>
      </c>
      <c r="L135" s="401" t="s">
        <v>5185</v>
      </c>
      <c r="M135" s="401" t="s">
        <v>5197</v>
      </c>
      <c r="N135" s="401" t="s">
        <v>5026</v>
      </c>
      <c r="O135" s="401" t="s">
        <v>5197</v>
      </c>
      <c r="P135" s="401" t="s">
        <v>5027</v>
      </c>
      <c r="Q135" s="401" t="s">
        <v>4535</v>
      </c>
      <c r="R135" s="401" t="s">
        <v>4692</v>
      </c>
      <c r="S135" s="400">
        <v>43759</v>
      </c>
      <c r="T135" s="401" t="s">
        <v>5028</v>
      </c>
      <c r="U135" s="400">
        <v>43759</v>
      </c>
      <c r="V135" s="401" t="s">
        <v>242</v>
      </c>
      <c r="W135" s="401" t="s">
        <v>5029</v>
      </c>
      <c r="X135" s="401" t="s">
        <v>5030</v>
      </c>
      <c r="Y135" s="402" t="s">
        <v>5031</v>
      </c>
      <c r="Z135" s="402" t="s">
        <v>5032</v>
      </c>
    </row>
    <row r="136" spans="1:26" x14ac:dyDescent="0.25">
      <c r="A136" s="401">
        <v>497</v>
      </c>
      <c r="B136" s="401" t="s">
        <v>5016</v>
      </c>
      <c r="C136" s="401" t="s">
        <v>5198</v>
      </c>
      <c r="D136" s="401" t="s">
        <v>5199</v>
      </c>
      <c r="E136" s="401"/>
      <c r="F136" s="400">
        <v>43759</v>
      </c>
      <c r="G136" s="401" t="s">
        <v>5195</v>
      </c>
      <c r="H136" s="401" t="s">
        <v>4880</v>
      </c>
      <c r="I136" s="401" t="s">
        <v>5021</v>
      </c>
      <c r="J136" s="401" t="s">
        <v>5200</v>
      </c>
      <c r="K136" s="401" t="s">
        <v>5023</v>
      </c>
      <c r="L136" s="401" t="s">
        <v>5185</v>
      </c>
      <c r="M136" s="401" t="s">
        <v>5201</v>
      </c>
      <c r="N136" s="401" t="s">
        <v>5026</v>
      </c>
      <c r="O136" s="401" t="s">
        <v>5201</v>
      </c>
      <c r="P136" s="401" t="s">
        <v>5027</v>
      </c>
      <c r="Q136" s="401" t="s">
        <v>4535</v>
      </c>
      <c r="R136" s="401" t="s">
        <v>4692</v>
      </c>
      <c r="S136" s="400">
        <v>43759</v>
      </c>
      <c r="T136" s="401" t="s">
        <v>5028</v>
      </c>
      <c r="U136" s="400">
        <v>43759</v>
      </c>
      <c r="V136" s="401" t="s">
        <v>242</v>
      </c>
      <c r="W136" s="401" t="s">
        <v>5029</v>
      </c>
      <c r="X136" s="401" t="s">
        <v>5030</v>
      </c>
      <c r="Y136" s="402" t="s">
        <v>5031</v>
      </c>
      <c r="Z136" s="402" t="s">
        <v>5032</v>
      </c>
    </row>
    <row r="137" spans="1:26" x14ac:dyDescent="0.25">
      <c r="A137" s="401">
        <v>498</v>
      </c>
      <c r="B137" s="401" t="s">
        <v>5016</v>
      </c>
      <c r="C137" s="401" t="s">
        <v>5180</v>
      </c>
      <c r="D137" s="401" t="s">
        <v>5202</v>
      </c>
      <c r="E137" s="401"/>
      <c r="F137" s="400">
        <v>43802</v>
      </c>
      <c r="G137" s="401" t="s">
        <v>5203</v>
      </c>
      <c r="H137" s="401" t="s">
        <v>5204</v>
      </c>
      <c r="I137" s="401" t="s">
        <v>5021</v>
      </c>
      <c r="J137" s="401" t="s">
        <v>5205</v>
      </c>
      <c r="K137" s="401" t="s">
        <v>5023</v>
      </c>
      <c r="L137" s="401" t="s">
        <v>5185</v>
      </c>
      <c r="M137" s="401" t="s">
        <v>5206</v>
      </c>
      <c r="N137" s="401" t="s">
        <v>5026</v>
      </c>
      <c r="O137" s="401" t="s">
        <v>5206</v>
      </c>
      <c r="P137" s="401" t="s">
        <v>5027</v>
      </c>
      <c r="Q137" s="401" t="s">
        <v>4535</v>
      </c>
      <c r="R137" s="401" t="s">
        <v>4692</v>
      </c>
      <c r="S137" s="400">
        <v>43802</v>
      </c>
      <c r="T137" s="401" t="s">
        <v>5028</v>
      </c>
      <c r="U137" s="400">
        <v>43802</v>
      </c>
      <c r="V137" s="401" t="s">
        <v>242</v>
      </c>
      <c r="W137" s="401" t="s">
        <v>5029</v>
      </c>
      <c r="X137" s="401" t="s">
        <v>5030</v>
      </c>
      <c r="Y137" s="402" t="s">
        <v>5031</v>
      </c>
      <c r="Z137" s="402" t="s">
        <v>5032</v>
      </c>
    </row>
    <row r="138" spans="1:26" x14ac:dyDescent="0.25">
      <c r="A138" s="401">
        <v>499</v>
      </c>
      <c r="B138" s="401" t="s">
        <v>5016</v>
      </c>
      <c r="C138" s="401" t="s">
        <v>5123</v>
      </c>
      <c r="D138" s="401" t="s">
        <v>5207</v>
      </c>
      <c r="E138" s="401"/>
      <c r="F138" s="400">
        <v>43802</v>
      </c>
      <c r="G138" s="401" t="s">
        <v>5204</v>
      </c>
      <c r="H138" s="401" t="s">
        <v>4797</v>
      </c>
      <c r="I138" s="401" t="s">
        <v>5021</v>
      </c>
      <c r="J138" s="401" t="s">
        <v>5208</v>
      </c>
      <c r="K138" s="401" t="s">
        <v>5023</v>
      </c>
      <c r="L138" s="401" t="s">
        <v>5185</v>
      </c>
      <c r="M138" s="401" t="s">
        <v>5209</v>
      </c>
      <c r="N138" s="401" t="s">
        <v>5026</v>
      </c>
      <c r="O138" s="401" t="s">
        <v>5209</v>
      </c>
      <c r="P138" s="401" t="s">
        <v>5027</v>
      </c>
      <c r="Q138" s="401" t="s">
        <v>4535</v>
      </c>
      <c r="R138" s="401" t="s">
        <v>4692</v>
      </c>
      <c r="S138" s="400">
        <v>43802</v>
      </c>
      <c r="T138" s="401" t="s">
        <v>5028</v>
      </c>
      <c r="U138" s="400">
        <v>43802</v>
      </c>
      <c r="V138" s="401" t="s">
        <v>242</v>
      </c>
      <c r="W138" s="401" t="s">
        <v>5029</v>
      </c>
      <c r="X138" s="401" t="s">
        <v>5030</v>
      </c>
      <c r="Y138" s="402" t="s">
        <v>5031</v>
      </c>
      <c r="Z138" s="402" t="s">
        <v>5032</v>
      </c>
    </row>
    <row r="139" spans="1:26" x14ac:dyDescent="0.25">
      <c r="A139" s="401">
        <v>500</v>
      </c>
      <c r="B139" s="401" t="s">
        <v>5016</v>
      </c>
      <c r="C139" s="401" t="s">
        <v>5198</v>
      </c>
      <c r="D139" s="401" t="s">
        <v>5210</v>
      </c>
      <c r="E139" s="401"/>
      <c r="F139" s="400">
        <v>43802</v>
      </c>
      <c r="G139" s="401" t="s">
        <v>5204</v>
      </c>
      <c r="H139" s="401" t="s">
        <v>5211</v>
      </c>
      <c r="I139" s="401" t="s">
        <v>5021</v>
      </c>
      <c r="J139" s="401" t="s">
        <v>5212</v>
      </c>
      <c r="K139" s="401" t="s">
        <v>5023</v>
      </c>
      <c r="L139" s="401" t="s">
        <v>5185</v>
      </c>
      <c r="M139" s="401" t="s">
        <v>5213</v>
      </c>
      <c r="N139" s="401" t="s">
        <v>5026</v>
      </c>
      <c r="O139" s="401" t="s">
        <v>5213</v>
      </c>
      <c r="P139" s="401" t="s">
        <v>5027</v>
      </c>
      <c r="Q139" s="401" t="s">
        <v>4535</v>
      </c>
      <c r="R139" s="401" t="s">
        <v>4692</v>
      </c>
      <c r="S139" s="400">
        <v>43802</v>
      </c>
      <c r="T139" s="401" t="s">
        <v>5028</v>
      </c>
      <c r="U139" s="400">
        <v>43802</v>
      </c>
      <c r="V139" s="401" t="s">
        <v>242</v>
      </c>
      <c r="W139" s="401" t="s">
        <v>5029</v>
      </c>
      <c r="X139" s="401" t="s">
        <v>5030</v>
      </c>
      <c r="Y139" s="402" t="s">
        <v>5031</v>
      </c>
      <c r="Z139" s="402" t="s">
        <v>5032</v>
      </c>
    </row>
    <row r="140" spans="1:26" x14ac:dyDescent="0.25">
      <c r="A140" s="401">
        <v>501</v>
      </c>
      <c r="B140" s="401" t="s">
        <v>5016</v>
      </c>
      <c r="C140" s="401" t="s">
        <v>5180</v>
      </c>
      <c r="D140" s="401" t="s">
        <v>5214</v>
      </c>
      <c r="E140" s="401"/>
      <c r="F140" s="400">
        <v>44060</v>
      </c>
      <c r="G140" s="401" t="s">
        <v>5215</v>
      </c>
      <c r="H140" s="401" t="s">
        <v>5129</v>
      </c>
      <c r="I140" s="401" t="s">
        <v>5021</v>
      </c>
      <c r="J140" s="401" t="s">
        <v>5216</v>
      </c>
      <c r="K140" s="401" t="s">
        <v>5023</v>
      </c>
      <c r="L140" s="401" t="s">
        <v>5185</v>
      </c>
      <c r="M140" s="401" t="s">
        <v>5217</v>
      </c>
      <c r="N140" s="401" t="s">
        <v>5026</v>
      </c>
      <c r="O140" s="401" t="s">
        <v>5217</v>
      </c>
      <c r="P140" s="401" t="s">
        <v>5027</v>
      </c>
      <c r="Q140" s="401" t="s">
        <v>4535</v>
      </c>
      <c r="R140" s="401" t="s">
        <v>4692</v>
      </c>
      <c r="S140" s="400">
        <v>44060</v>
      </c>
      <c r="T140" s="401" t="s">
        <v>5028</v>
      </c>
      <c r="U140" s="400">
        <v>44060</v>
      </c>
      <c r="V140" s="401" t="s">
        <v>242</v>
      </c>
      <c r="W140" s="401" t="s">
        <v>5029</v>
      </c>
      <c r="X140" s="401" t="s">
        <v>5030</v>
      </c>
      <c r="Y140" s="402" t="s">
        <v>5031</v>
      </c>
      <c r="Z140" s="402" t="s">
        <v>5032</v>
      </c>
    </row>
    <row r="141" spans="1:26" x14ac:dyDescent="0.25">
      <c r="A141" s="401">
        <v>502</v>
      </c>
      <c r="B141" s="401" t="s">
        <v>5016</v>
      </c>
      <c r="C141" s="401" t="s">
        <v>5218</v>
      </c>
      <c r="D141" s="401" t="s">
        <v>5219</v>
      </c>
      <c r="E141" s="401"/>
      <c r="F141" s="400">
        <v>44060</v>
      </c>
      <c r="G141" s="401" t="s">
        <v>5215</v>
      </c>
      <c r="H141" s="401" t="s">
        <v>5220</v>
      </c>
      <c r="I141" s="401" t="s">
        <v>5021</v>
      </c>
      <c r="J141" s="401" t="s">
        <v>5216</v>
      </c>
      <c r="K141" s="401" t="s">
        <v>5023</v>
      </c>
      <c r="L141" s="401" t="s">
        <v>5185</v>
      </c>
      <c r="M141" s="401" t="s">
        <v>5217</v>
      </c>
      <c r="N141" s="401" t="s">
        <v>5026</v>
      </c>
      <c r="O141" s="401" t="s">
        <v>5217</v>
      </c>
      <c r="P141" s="401" t="s">
        <v>5027</v>
      </c>
      <c r="Q141" s="401" t="s">
        <v>4535</v>
      </c>
      <c r="R141" s="401" t="s">
        <v>4692</v>
      </c>
      <c r="S141" s="400">
        <v>44060</v>
      </c>
      <c r="T141" s="401" t="s">
        <v>5028</v>
      </c>
      <c r="U141" s="400">
        <v>44060</v>
      </c>
      <c r="V141" s="401" t="s">
        <v>242</v>
      </c>
      <c r="W141" s="401" t="s">
        <v>5029</v>
      </c>
      <c r="X141" s="401" t="s">
        <v>5030</v>
      </c>
      <c r="Y141" s="402" t="s">
        <v>5031</v>
      </c>
      <c r="Z141" s="402" t="s">
        <v>5032</v>
      </c>
    </row>
    <row r="142" spans="1:26" x14ac:dyDescent="0.25">
      <c r="A142" s="401">
        <v>503</v>
      </c>
      <c r="B142" s="401" t="s">
        <v>5016</v>
      </c>
      <c r="C142" s="401" t="s">
        <v>5017</v>
      </c>
      <c r="D142" s="401" t="s">
        <v>5221</v>
      </c>
      <c r="E142" s="401"/>
      <c r="F142" s="400">
        <v>44060</v>
      </c>
      <c r="G142" s="401" t="s">
        <v>5222</v>
      </c>
      <c r="H142" s="401" t="s">
        <v>4916</v>
      </c>
      <c r="I142" s="401" t="s">
        <v>5021</v>
      </c>
      <c r="J142" s="401" t="s">
        <v>5223</v>
      </c>
      <c r="K142" s="401" t="s">
        <v>5023</v>
      </c>
      <c r="L142" s="401" t="s">
        <v>5224</v>
      </c>
      <c r="M142" s="401" t="s">
        <v>5225</v>
      </c>
      <c r="N142" s="401" t="s">
        <v>5026</v>
      </c>
      <c r="O142" s="401" t="s">
        <v>5225</v>
      </c>
      <c r="P142" s="401" t="s">
        <v>5027</v>
      </c>
      <c r="Q142" s="401" t="s">
        <v>4535</v>
      </c>
      <c r="R142" s="401" t="s">
        <v>114</v>
      </c>
      <c r="S142" s="400">
        <v>44060</v>
      </c>
      <c r="T142" s="401" t="s">
        <v>5028</v>
      </c>
      <c r="U142" s="400">
        <v>44060</v>
      </c>
      <c r="V142" s="401" t="s">
        <v>242</v>
      </c>
      <c r="W142" s="401" t="s">
        <v>5029</v>
      </c>
      <c r="X142" s="401" t="s">
        <v>5030</v>
      </c>
      <c r="Y142" s="402" t="s">
        <v>5031</v>
      </c>
      <c r="Z142" s="402" t="s">
        <v>5032</v>
      </c>
    </row>
    <row r="143" spans="1:26" x14ac:dyDescent="0.25">
      <c r="A143" s="401">
        <v>504</v>
      </c>
      <c r="B143" s="401" t="s">
        <v>5016</v>
      </c>
      <c r="C143" s="401" t="s">
        <v>5123</v>
      </c>
      <c r="D143" s="401" t="s">
        <v>5226</v>
      </c>
      <c r="E143" s="401"/>
      <c r="F143" s="400">
        <v>44060</v>
      </c>
      <c r="G143" s="401" t="s">
        <v>4916</v>
      </c>
      <c r="H143" s="401" t="s">
        <v>4917</v>
      </c>
      <c r="I143" s="401" t="s">
        <v>5021</v>
      </c>
      <c r="J143" s="401" t="s">
        <v>5227</v>
      </c>
      <c r="K143" s="401" t="s">
        <v>5023</v>
      </c>
      <c r="L143" s="401" t="s">
        <v>5224</v>
      </c>
      <c r="M143" s="401" t="s">
        <v>4920</v>
      </c>
      <c r="N143" s="401" t="s">
        <v>5026</v>
      </c>
      <c r="O143" s="401" t="s">
        <v>4920</v>
      </c>
      <c r="P143" s="401" t="s">
        <v>5027</v>
      </c>
      <c r="Q143" s="401" t="s">
        <v>4535</v>
      </c>
      <c r="R143" s="401" t="s">
        <v>4692</v>
      </c>
      <c r="S143" s="400">
        <v>44060</v>
      </c>
      <c r="T143" s="401" t="s">
        <v>5028</v>
      </c>
      <c r="U143" s="400">
        <v>44060</v>
      </c>
      <c r="V143" s="401" t="s">
        <v>242</v>
      </c>
      <c r="W143" s="401" t="s">
        <v>5029</v>
      </c>
      <c r="X143" s="401" t="s">
        <v>5030</v>
      </c>
      <c r="Y143" s="402" t="s">
        <v>5031</v>
      </c>
      <c r="Z143" s="402" t="s">
        <v>5032</v>
      </c>
    </row>
    <row r="144" spans="1:26" x14ac:dyDescent="0.25">
      <c r="A144" s="401">
        <v>505</v>
      </c>
      <c r="B144" s="401" t="s">
        <v>5016</v>
      </c>
      <c r="C144" s="401" t="s">
        <v>5198</v>
      </c>
      <c r="D144" s="401" t="s">
        <v>5228</v>
      </c>
      <c r="E144" s="401"/>
      <c r="F144" s="400">
        <v>44060</v>
      </c>
      <c r="G144" s="401" t="s">
        <v>4916</v>
      </c>
      <c r="H144" s="401" t="s">
        <v>4917</v>
      </c>
      <c r="I144" s="401" t="s">
        <v>5021</v>
      </c>
      <c r="J144" s="401" t="s">
        <v>5229</v>
      </c>
      <c r="K144" s="401" t="s">
        <v>5023</v>
      </c>
      <c r="L144" s="401" t="s">
        <v>5224</v>
      </c>
      <c r="M144" s="401" t="s">
        <v>5230</v>
      </c>
      <c r="N144" s="401" t="s">
        <v>5026</v>
      </c>
      <c r="O144" s="401" t="s">
        <v>5230</v>
      </c>
      <c r="P144" s="401" t="s">
        <v>5027</v>
      </c>
      <c r="Q144" s="401" t="s">
        <v>4535</v>
      </c>
      <c r="R144" s="401" t="s">
        <v>4692</v>
      </c>
      <c r="S144" s="400">
        <v>44060</v>
      </c>
      <c r="T144" s="401" t="s">
        <v>5028</v>
      </c>
      <c r="U144" s="400">
        <v>44060</v>
      </c>
      <c r="V144" s="401" t="s">
        <v>242</v>
      </c>
      <c r="W144" s="401" t="s">
        <v>5029</v>
      </c>
      <c r="X144" s="401" t="s">
        <v>5030</v>
      </c>
      <c r="Y144" s="402" t="s">
        <v>5031</v>
      </c>
      <c r="Z144" s="402" t="s">
        <v>5032</v>
      </c>
    </row>
    <row r="145" spans="1:26" x14ac:dyDescent="0.25">
      <c r="A145" s="401">
        <v>506</v>
      </c>
      <c r="B145" s="401" t="s">
        <v>5016</v>
      </c>
      <c r="C145" s="401" t="s">
        <v>5017</v>
      </c>
      <c r="D145" s="401" t="s">
        <v>5231</v>
      </c>
      <c r="E145" s="401"/>
      <c r="F145" s="400">
        <v>44118</v>
      </c>
      <c r="G145" s="401" t="s">
        <v>5232</v>
      </c>
      <c r="H145" s="401" t="s">
        <v>5233</v>
      </c>
      <c r="I145" s="401" t="s">
        <v>5021</v>
      </c>
      <c r="J145" s="401" t="s">
        <v>5234</v>
      </c>
      <c r="K145" s="401" t="s">
        <v>5023</v>
      </c>
      <c r="L145" s="401" t="s">
        <v>5224</v>
      </c>
      <c r="M145" s="401" t="s">
        <v>5235</v>
      </c>
      <c r="N145" s="401" t="s">
        <v>5026</v>
      </c>
      <c r="O145" s="401" t="s">
        <v>5235</v>
      </c>
      <c r="P145" s="401" t="s">
        <v>5027</v>
      </c>
      <c r="Q145" s="401" t="s">
        <v>4535</v>
      </c>
      <c r="R145" s="401" t="s">
        <v>114</v>
      </c>
      <c r="S145" s="400">
        <v>44118</v>
      </c>
      <c r="T145" s="401" t="s">
        <v>5028</v>
      </c>
      <c r="U145" s="400">
        <v>44118</v>
      </c>
      <c r="V145" s="401" t="s">
        <v>242</v>
      </c>
      <c r="W145" s="401" t="s">
        <v>5029</v>
      </c>
      <c r="X145" s="401" t="s">
        <v>5030</v>
      </c>
      <c r="Y145" s="402" t="s">
        <v>5031</v>
      </c>
      <c r="Z145" s="402" t="s">
        <v>5032</v>
      </c>
    </row>
    <row r="146" spans="1:26" x14ac:dyDescent="0.25">
      <c r="A146" s="401">
        <v>507</v>
      </c>
      <c r="B146" s="401" t="s">
        <v>5016</v>
      </c>
      <c r="C146" s="401" t="s">
        <v>5126</v>
      </c>
      <c r="D146" s="401" t="s">
        <v>5236</v>
      </c>
      <c r="E146" s="401"/>
      <c r="F146" s="400">
        <v>44126</v>
      </c>
      <c r="G146" s="401" t="s">
        <v>4797</v>
      </c>
      <c r="H146" s="401" t="s">
        <v>4827</v>
      </c>
      <c r="I146" s="401" t="s">
        <v>5021</v>
      </c>
      <c r="J146" s="401" t="s">
        <v>5237</v>
      </c>
      <c r="K146" s="401" t="s">
        <v>5023</v>
      </c>
      <c r="L146" s="401" t="s">
        <v>5224</v>
      </c>
      <c r="M146" s="401" t="s">
        <v>5238</v>
      </c>
      <c r="N146" s="401" t="s">
        <v>5026</v>
      </c>
      <c r="O146" s="401" t="s">
        <v>5238</v>
      </c>
      <c r="P146" s="401" t="s">
        <v>5027</v>
      </c>
      <c r="Q146" s="401" t="s">
        <v>4535</v>
      </c>
      <c r="R146" s="401" t="s">
        <v>4692</v>
      </c>
      <c r="S146" s="400">
        <v>44126</v>
      </c>
      <c r="T146" s="401" t="s">
        <v>5028</v>
      </c>
      <c r="U146" s="400">
        <v>44126</v>
      </c>
      <c r="V146" s="401" t="s">
        <v>242</v>
      </c>
      <c r="W146" s="401" t="s">
        <v>5029</v>
      </c>
      <c r="X146" s="401" t="s">
        <v>5030</v>
      </c>
      <c r="Y146" s="402" t="s">
        <v>5031</v>
      </c>
      <c r="Z146" s="402" t="s">
        <v>5032</v>
      </c>
    </row>
    <row r="147" spans="1:26" x14ac:dyDescent="0.25">
      <c r="A147" s="401">
        <v>508</v>
      </c>
      <c r="B147" s="401" t="s">
        <v>5016</v>
      </c>
      <c r="C147" s="401" t="s">
        <v>5239</v>
      </c>
      <c r="D147" s="401" t="s">
        <v>5240</v>
      </c>
      <c r="E147" s="401"/>
      <c r="F147" s="400">
        <v>44144</v>
      </c>
      <c r="G147" s="401" t="s">
        <v>5241</v>
      </c>
      <c r="H147" s="401" t="s">
        <v>5242</v>
      </c>
      <c r="I147" s="401" t="s">
        <v>5021</v>
      </c>
      <c r="J147" s="401" t="s">
        <v>5243</v>
      </c>
      <c r="K147" s="401" t="s">
        <v>5023</v>
      </c>
      <c r="L147" s="401" t="s">
        <v>5224</v>
      </c>
      <c r="M147" s="401" t="s">
        <v>5244</v>
      </c>
      <c r="N147" s="401" t="s">
        <v>5026</v>
      </c>
      <c r="O147" s="401" t="s">
        <v>5244</v>
      </c>
      <c r="P147" s="401" t="s">
        <v>5027</v>
      </c>
      <c r="Q147" s="401" t="s">
        <v>4535</v>
      </c>
      <c r="R147" s="401" t="s">
        <v>4675</v>
      </c>
      <c r="S147" s="400">
        <v>44144</v>
      </c>
      <c r="T147" s="401" t="s">
        <v>5028</v>
      </c>
      <c r="U147" s="400">
        <v>44144</v>
      </c>
      <c r="V147" s="401" t="s">
        <v>242</v>
      </c>
      <c r="W147" s="401" t="s">
        <v>5029</v>
      </c>
      <c r="X147" s="401" t="s">
        <v>5030</v>
      </c>
      <c r="Y147" s="402" t="s">
        <v>5031</v>
      </c>
      <c r="Z147" s="402" t="s">
        <v>5032</v>
      </c>
    </row>
    <row r="148" spans="1:26" x14ac:dyDescent="0.25">
      <c r="A148" s="401">
        <v>509</v>
      </c>
      <c r="B148" s="401" t="s">
        <v>5016</v>
      </c>
      <c r="C148" s="401" t="s">
        <v>5180</v>
      </c>
      <c r="D148" s="401" t="s">
        <v>5245</v>
      </c>
      <c r="E148" s="401"/>
      <c r="F148" s="400">
        <v>44272</v>
      </c>
      <c r="G148" s="401" t="s">
        <v>4797</v>
      </c>
      <c r="H148" s="401" t="s">
        <v>5246</v>
      </c>
      <c r="I148" s="401" t="s">
        <v>5021</v>
      </c>
      <c r="J148" s="401" t="s">
        <v>5247</v>
      </c>
      <c r="K148" s="401" t="s">
        <v>5023</v>
      </c>
      <c r="L148" s="401" t="s">
        <v>5224</v>
      </c>
      <c r="M148" s="401" t="s">
        <v>4913</v>
      </c>
      <c r="N148" s="401" t="s">
        <v>5026</v>
      </c>
      <c r="O148" s="401" t="s">
        <v>4913</v>
      </c>
      <c r="P148" s="401" t="s">
        <v>5027</v>
      </c>
      <c r="Q148" s="401" t="s">
        <v>4535</v>
      </c>
      <c r="R148" s="401" t="s">
        <v>4692</v>
      </c>
      <c r="S148" s="400">
        <v>44272</v>
      </c>
      <c r="T148" s="401" t="s">
        <v>5028</v>
      </c>
      <c r="U148" s="400">
        <v>44272</v>
      </c>
      <c r="V148" s="401" t="s">
        <v>242</v>
      </c>
      <c r="W148" s="401" t="s">
        <v>5029</v>
      </c>
      <c r="X148" s="401" t="s">
        <v>5030</v>
      </c>
      <c r="Y148" s="402" t="s">
        <v>5031</v>
      </c>
      <c r="Z148" s="402" t="s">
        <v>5032</v>
      </c>
    </row>
    <row r="149" spans="1:26" x14ac:dyDescent="0.25">
      <c r="A149" s="401">
        <v>510</v>
      </c>
      <c r="B149" s="401" t="s">
        <v>5016</v>
      </c>
      <c r="C149" s="401" t="s">
        <v>5126</v>
      </c>
      <c r="D149" s="401" t="s">
        <v>5248</v>
      </c>
      <c r="E149" s="401"/>
      <c r="F149" s="400">
        <v>44312</v>
      </c>
      <c r="G149" s="401" t="s">
        <v>5211</v>
      </c>
      <c r="H149" s="401" t="s">
        <v>5249</v>
      </c>
      <c r="I149" s="401" t="s">
        <v>5250</v>
      </c>
      <c r="J149" s="401" t="s">
        <v>5251</v>
      </c>
      <c r="K149" s="401" t="s">
        <v>5023</v>
      </c>
      <c r="L149" s="401" t="s">
        <v>5224</v>
      </c>
      <c r="M149" s="401" t="s">
        <v>5252</v>
      </c>
      <c r="N149" s="401" t="s">
        <v>5026</v>
      </c>
      <c r="O149" s="401" t="s">
        <v>5252</v>
      </c>
      <c r="P149" s="401" t="s">
        <v>5027</v>
      </c>
      <c r="Q149" s="401" t="s">
        <v>4535</v>
      </c>
      <c r="R149" s="401" t="s">
        <v>4692</v>
      </c>
      <c r="S149" s="400">
        <v>44312</v>
      </c>
      <c r="T149" s="401" t="s">
        <v>5028</v>
      </c>
      <c r="U149" s="400">
        <v>44312</v>
      </c>
      <c r="V149" s="401" t="s">
        <v>242</v>
      </c>
      <c r="W149" s="401" t="s">
        <v>5253</v>
      </c>
      <c r="X149" s="401" t="s">
        <v>5030</v>
      </c>
      <c r="Y149" s="402" t="s">
        <v>5031</v>
      </c>
      <c r="Z149" s="402" t="s">
        <v>5032</v>
      </c>
    </row>
    <row r="150" spans="1:26" x14ac:dyDescent="0.25">
      <c r="A150" s="401">
        <v>511</v>
      </c>
      <c r="B150" s="401" t="s">
        <v>5016</v>
      </c>
      <c r="C150" s="401" t="s">
        <v>5254</v>
      </c>
      <c r="D150" s="401" t="s">
        <v>5255</v>
      </c>
      <c r="E150" s="401"/>
      <c r="F150" s="400">
        <v>44314</v>
      </c>
      <c r="G150" s="401" t="s">
        <v>5249</v>
      </c>
      <c r="H150" s="401" t="s">
        <v>5256</v>
      </c>
      <c r="I150" s="401" t="s">
        <v>5021</v>
      </c>
      <c r="J150" s="401" t="s">
        <v>5257</v>
      </c>
      <c r="K150" s="401" t="s">
        <v>5023</v>
      </c>
      <c r="L150" s="401" t="s">
        <v>5224</v>
      </c>
      <c r="M150" s="401" t="s">
        <v>5258</v>
      </c>
      <c r="N150" s="401" t="s">
        <v>5026</v>
      </c>
      <c r="O150" s="401" t="s">
        <v>5258</v>
      </c>
      <c r="P150" s="401" t="s">
        <v>5027</v>
      </c>
      <c r="Q150" s="401" t="s">
        <v>4535</v>
      </c>
      <c r="R150" s="401" t="s">
        <v>4955</v>
      </c>
      <c r="S150" s="400">
        <v>44314</v>
      </c>
      <c r="T150" s="401" t="s">
        <v>5028</v>
      </c>
      <c r="U150" s="400">
        <v>44314</v>
      </c>
      <c r="V150" s="401" t="s">
        <v>242</v>
      </c>
      <c r="W150" s="401" t="s">
        <v>5029</v>
      </c>
      <c r="X150" s="401" t="s">
        <v>5030</v>
      </c>
      <c r="Y150" s="402" t="s">
        <v>5031</v>
      </c>
      <c r="Z150" s="402" t="s">
        <v>5032</v>
      </c>
    </row>
    <row r="151" spans="1:26" x14ac:dyDescent="0.25">
      <c r="A151" s="401">
        <v>512</v>
      </c>
      <c r="B151" s="401" t="s">
        <v>5016</v>
      </c>
      <c r="C151" s="401" t="s">
        <v>5123</v>
      </c>
      <c r="D151" s="401" t="s">
        <v>5259</v>
      </c>
      <c r="E151" s="401"/>
      <c r="F151" s="400">
        <v>44462</v>
      </c>
      <c r="G151" s="401" t="s">
        <v>4916</v>
      </c>
      <c r="H151" s="401" t="s">
        <v>4923</v>
      </c>
      <c r="I151" s="401" t="s">
        <v>5021</v>
      </c>
      <c r="J151" s="401" t="s">
        <v>5260</v>
      </c>
      <c r="K151" s="401" t="s">
        <v>5023</v>
      </c>
      <c r="L151" s="401" t="s">
        <v>5261</v>
      </c>
      <c r="M151" s="401" t="s">
        <v>4926</v>
      </c>
      <c r="N151" s="401" t="s">
        <v>5026</v>
      </c>
      <c r="O151" s="401" t="s">
        <v>4926</v>
      </c>
      <c r="P151" s="401" t="s">
        <v>5027</v>
      </c>
      <c r="Q151" s="401" t="s">
        <v>4535</v>
      </c>
      <c r="R151" s="401" t="s">
        <v>4692</v>
      </c>
      <c r="S151" s="400">
        <v>44462</v>
      </c>
      <c r="T151" s="401" t="s">
        <v>5028</v>
      </c>
      <c r="U151" s="400">
        <v>44462</v>
      </c>
      <c r="V151" s="401" t="s">
        <v>242</v>
      </c>
      <c r="W151" s="401" t="s">
        <v>5029</v>
      </c>
      <c r="X151" s="401" t="s">
        <v>5030</v>
      </c>
      <c r="Y151" s="402" t="s">
        <v>5031</v>
      </c>
      <c r="Z151" s="402" t="s">
        <v>5032</v>
      </c>
    </row>
    <row r="152" spans="1:26" x14ac:dyDescent="0.25">
      <c r="A152" s="401">
        <v>513</v>
      </c>
      <c r="B152" s="401" t="s">
        <v>5016</v>
      </c>
      <c r="C152" s="401" t="s">
        <v>5262</v>
      </c>
      <c r="D152" s="401" t="s">
        <v>5263</v>
      </c>
      <c r="E152" s="401"/>
      <c r="F152" s="400">
        <v>44462</v>
      </c>
      <c r="G152" s="401" t="s">
        <v>5264</v>
      </c>
      <c r="H152" s="401" t="s">
        <v>5153</v>
      </c>
      <c r="I152" s="401" t="s">
        <v>5021</v>
      </c>
      <c r="J152" s="401" t="s">
        <v>5265</v>
      </c>
      <c r="K152" s="401" t="s">
        <v>5023</v>
      </c>
      <c r="L152" s="401" t="s">
        <v>5261</v>
      </c>
      <c r="M152" s="401" t="s">
        <v>5266</v>
      </c>
      <c r="N152" s="401" t="s">
        <v>5026</v>
      </c>
      <c r="O152" s="401" t="s">
        <v>5266</v>
      </c>
      <c r="P152" s="401" t="s">
        <v>5027</v>
      </c>
      <c r="Q152" s="401" t="s">
        <v>4535</v>
      </c>
      <c r="R152" s="401" t="s">
        <v>5267</v>
      </c>
      <c r="S152" s="400">
        <v>44462</v>
      </c>
      <c r="T152" s="401" t="s">
        <v>5028</v>
      </c>
      <c r="U152" s="400">
        <v>44462</v>
      </c>
      <c r="V152" s="401" t="s">
        <v>242</v>
      </c>
      <c r="W152" s="401" t="s">
        <v>5029</v>
      </c>
      <c r="X152" s="401" t="s">
        <v>5030</v>
      </c>
      <c r="Y152" s="402" t="s">
        <v>5031</v>
      </c>
      <c r="Z152" s="402" t="s">
        <v>5032</v>
      </c>
    </row>
    <row r="153" spans="1:26" x14ac:dyDescent="0.25">
      <c r="A153" s="401">
        <v>514</v>
      </c>
      <c r="B153" s="401" t="s">
        <v>5016</v>
      </c>
      <c r="C153" s="401" t="s">
        <v>5123</v>
      </c>
      <c r="D153" s="401" t="s">
        <v>5268</v>
      </c>
      <c r="E153" s="401"/>
      <c r="F153" s="400">
        <v>44462</v>
      </c>
      <c r="G153" s="401" t="s">
        <v>4923</v>
      </c>
      <c r="H153" s="401" t="s">
        <v>5269</v>
      </c>
      <c r="I153" s="401" t="s">
        <v>5021</v>
      </c>
      <c r="J153" s="401" t="s">
        <v>5270</v>
      </c>
      <c r="K153" s="401" t="s">
        <v>5023</v>
      </c>
      <c r="L153" s="401" t="s">
        <v>5261</v>
      </c>
      <c r="M153" s="401" t="s">
        <v>5271</v>
      </c>
      <c r="N153" s="401" t="s">
        <v>5026</v>
      </c>
      <c r="O153" s="401" t="s">
        <v>5271</v>
      </c>
      <c r="P153" s="401" t="s">
        <v>5027</v>
      </c>
      <c r="Q153" s="401" t="s">
        <v>4535</v>
      </c>
      <c r="R153" s="401" t="s">
        <v>4692</v>
      </c>
      <c r="S153" s="400">
        <v>44462</v>
      </c>
      <c r="T153" s="401" t="s">
        <v>5028</v>
      </c>
      <c r="U153" s="400">
        <v>44462</v>
      </c>
      <c r="V153" s="401" t="s">
        <v>242</v>
      </c>
      <c r="W153" s="401" t="s">
        <v>5029</v>
      </c>
      <c r="X153" s="401" t="s">
        <v>5030</v>
      </c>
      <c r="Y153" s="402" t="s">
        <v>5031</v>
      </c>
      <c r="Z153" s="402" t="s">
        <v>5032</v>
      </c>
    </row>
    <row r="154" spans="1:26" x14ac:dyDescent="0.25">
      <c r="A154" s="401">
        <v>515</v>
      </c>
      <c r="B154" s="401" t="s">
        <v>5016</v>
      </c>
      <c r="C154" s="401" t="s">
        <v>5272</v>
      </c>
      <c r="D154" s="401" t="s">
        <v>5273</v>
      </c>
      <c r="E154" s="401"/>
      <c r="F154" s="400">
        <v>44462</v>
      </c>
      <c r="G154" s="401" t="s">
        <v>5274</v>
      </c>
      <c r="H154" s="401" t="s">
        <v>5275</v>
      </c>
      <c r="I154" s="401" t="s">
        <v>5021</v>
      </c>
      <c r="J154" s="401" t="s">
        <v>5276</v>
      </c>
      <c r="K154" s="401" t="s">
        <v>5023</v>
      </c>
      <c r="L154" s="401" t="s">
        <v>5261</v>
      </c>
      <c r="M154" s="401" t="s">
        <v>5277</v>
      </c>
      <c r="N154" s="401" t="s">
        <v>5026</v>
      </c>
      <c r="O154" s="401" t="s">
        <v>5277</v>
      </c>
      <c r="P154" s="401" t="s">
        <v>5027</v>
      </c>
      <c r="Q154" s="401" t="s">
        <v>4535</v>
      </c>
      <c r="R154" s="401" t="s">
        <v>4955</v>
      </c>
      <c r="S154" s="400">
        <v>44462</v>
      </c>
      <c r="T154" s="401" t="s">
        <v>5028</v>
      </c>
      <c r="U154" s="400">
        <v>44462</v>
      </c>
      <c r="V154" s="401" t="s">
        <v>242</v>
      </c>
      <c r="W154" s="401" t="s">
        <v>5029</v>
      </c>
      <c r="X154" s="401" t="s">
        <v>5030</v>
      </c>
      <c r="Y154" s="402" t="s">
        <v>5031</v>
      </c>
      <c r="Z154" s="402" t="s">
        <v>5032</v>
      </c>
    </row>
    <row r="155" spans="1:26" x14ac:dyDescent="0.25">
      <c r="A155" s="401">
        <v>516</v>
      </c>
      <c r="B155" s="401" t="s">
        <v>5016</v>
      </c>
      <c r="C155" s="401" t="s">
        <v>5017</v>
      </c>
      <c r="D155" s="401" t="s">
        <v>5278</v>
      </c>
      <c r="E155" s="401"/>
      <c r="F155" s="400">
        <v>44463</v>
      </c>
      <c r="G155" s="401" t="s">
        <v>5279</v>
      </c>
      <c r="H155" s="401" t="s">
        <v>5233</v>
      </c>
      <c r="I155" s="401" t="s">
        <v>5043</v>
      </c>
      <c r="J155" s="401" t="s">
        <v>5280</v>
      </c>
      <c r="K155" s="401" t="s">
        <v>5023</v>
      </c>
      <c r="L155" s="401" t="s">
        <v>5261</v>
      </c>
      <c r="M155" s="401" t="s">
        <v>5281</v>
      </c>
      <c r="N155" s="401" t="s">
        <v>5026</v>
      </c>
      <c r="O155" s="401" t="s">
        <v>5281</v>
      </c>
      <c r="P155" s="401" t="s">
        <v>5027</v>
      </c>
      <c r="Q155" s="401" t="s">
        <v>4535</v>
      </c>
      <c r="R155" s="401" t="s">
        <v>114</v>
      </c>
      <c r="S155" s="400">
        <v>44463</v>
      </c>
      <c r="T155" s="401" t="s">
        <v>5028</v>
      </c>
      <c r="U155" s="400">
        <v>44463</v>
      </c>
      <c r="V155" s="401" t="s">
        <v>242</v>
      </c>
      <c r="W155" s="401" t="s">
        <v>76</v>
      </c>
      <c r="X155" s="401" t="s">
        <v>5030</v>
      </c>
      <c r="Y155" s="402" t="s">
        <v>5031</v>
      </c>
      <c r="Z155" s="402" t="s">
        <v>5032</v>
      </c>
    </row>
    <row r="156" spans="1:26" x14ac:dyDescent="0.25">
      <c r="A156" s="401">
        <v>517</v>
      </c>
      <c r="B156" s="401" t="s">
        <v>5016</v>
      </c>
      <c r="C156" s="401" t="s">
        <v>5017</v>
      </c>
      <c r="D156" s="401" t="s">
        <v>5282</v>
      </c>
      <c r="E156" s="401"/>
      <c r="F156" s="400">
        <v>44476</v>
      </c>
      <c r="G156" s="401" t="s">
        <v>5283</v>
      </c>
      <c r="H156" s="401" t="s">
        <v>5284</v>
      </c>
      <c r="I156" s="401" t="s">
        <v>5021</v>
      </c>
      <c r="J156" s="401" t="s">
        <v>5285</v>
      </c>
      <c r="K156" s="401" t="s">
        <v>5023</v>
      </c>
      <c r="L156" s="401" t="s">
        <v>5261</v>
      </c>
      <c r="M156" s="401" t="s">
        <v>5286</v>
      </c>
      <c r="N156" s="401" t="s">
        <v>5026</v>
      </c>
      <c r="O156" s="401" t="s">
        <v>5286</v>
      </c>
      <c r="P156" s="401" t="s">
        <v>5027</v>
      </c>
      <c r="Q156" s="401" t="s">
        <v>4535</v>
      </c>
      <c r="R156" s="401" t="s">
        <v>114</v>
      </c>
      <c r="S156" s="400">
        <v>44476</v>
      </c>
      <c r="T156" s="401" t="s">
        <v>5028</v>
      </c>
      <c r="U156" s="400">
        <v>44476</v>
      </c>
      <c r="V156" s="401" t="s">
        <v>242</v>
      </c>
      <c r="W156" s="401" t="s">
        <v>5029</v>
      </c>
      <c r="X156" s="401" t="s">
        <v>5030</v>
      </c>
      <c r="Y156" s="402" t="s">
        <v>5031</v>
      </c>
      <c r="Z156" s="402" t="s">
        <v>5032</v>
      </c>
    </row>
    <row r="157" spans="1:26" x14ac:dyDescent="0.25">
      <c r="A157" s="401">
        <v>518</v>
      </c>
      <c r="B157" s="401" t="s">
        <v>5016</v>
      </c>
      <c r="C157" s="401" t="s">
        <v>5123</v>
      </c>
      <c r="D157" s="401" t="s">
        <v>5287</v>
      </c>
      <c r="E157" s="401"/>
      <c r="F157" s="400">
        <v>44693</v>
      </c>
      <c r="G157" s="401" t="s">
        <v>5288</v>
      </c>
      <c r="H157" s="401" t="s">
        <v>5211</v>
      </c>
      <c r="I157" s="401" t="s">
        <v>5021</v>
      </c>
      <c r="J157" s="401" t="s">
        <v>5289</v>
      </c>
      <c r="K157" s="401" t="s">
        <v>5023</v>
      </c>
      <c r="L157" s="401" t="s">
        <v>5290</v>
      </c>
      <c r="M157" s="401" t="s">
        <v>5291</v>
      </c>
      <c r="N157" s="401" t="s">
        <v>5026</v>
      </c>
      <c r="O157" s="401" t="s">
        <v>5291</v>
      </c>
      <c r="P157" s="401" t="s">
        <v>5027</v>
      </c>
      <c r="Q157" s="401" t="s">
        <v>4535</v>
      </c>
      <c r="R157" s="401" t="s">
        <v>4692</v>
      </c>
      <c r="S157" s="400">
        <v>44693</v>
      </c>
      <c r="T157" s="401" t="s">
        <v>5028</v>
      </c>
      <c r="U157" s="400">
        <v>44693</v>
      </c>
      <c r="V157" s="401" t="s">
        <v>242</v>
      </c>
      <c r="W157" s="401" t="s">
        <v>5029</v>
      </c>
      <c r="X157" s="401" t="s">
        <v>5030</v>
      </c>
      <c r="Y157" s="402" t="s">
        <v>5031</v>
      </c>
      <c r="Z157" s="402" t="s">
        <v>5032</v>
      </c>
    </row>
    <row r="158" spans="1:26" x14ac:dyDescent="0.25">
      <c r="A158" s="401">
        <v>519</v>
      </c>
      <c r="B158" s="401" t="s">
        <v>5016</v>
      </c>
      <c r="C158" s="401" t="s">
        <v>5198</v>
      </c>
      <c r="D158" s="401" t="s">
        <v>5292</v>
      </c>
      <c r="E158" s="401"/>
      <c r="F158" s="400">
        <v>44693</v>
      </c>
      <c r="G158" s="401" t="s">
        <v>5288</v>
      </c>
      <c r="H158" s="401" t="s">
        <v>5293</v>
      </c>
      <c r="I158" s="401" t="s">
        <v>5021</v>
      </c>
      <c r="J158" s="401" t="s">
        <v>5294</v>
      </c>
      <c r="K158" s="401" t="s">
        <v>5023</v>
      </c>
      <c r="L158" s="401" t="s">
        <v>5290</v>
      </c>
      <c r="M158" s="401" t="s">
        <v>5295</v>
      </c>
      <c r="N158" s="401" t="s">
        <v>5026</v>
      </c>
      <c r="O158" s="401" t="s">
        <v>5295</v>
      </c>
      <c r="P158" s="401" t="s">
        <v>5027</v>
      </c>
      <c r="Q158" s="401" t="s">
        <v>4535</v>
      </c>
      <c r="R158" s="401" t="s">
        <v>4692</v>
      </c>
      <c r="S158" s="400">
        <v>44693</v>
      </c>
      <c r="T158" s="401" t="s">
        <v>5028</v>
      </c>
      <c r="U158" s="400">
        <v>44693</v>
      </c>
      <c r="V158" s="401" t="s">
        <v>242</v>
      </c>
      <c r="W158" s="401" t="s">
        <v>5029</v>
      </c>
      <c r="X158" s="401" t="s">
        <v>5030</v>
      </c>
      <c r="Y158" s="402" t="s">
        <v>5031</v>
      </c>
      <c r="Z158" s="402" t="s">
        <v>5032</v>
      </c>
    </row>
    <row r="159" spans="1:26" x14ac:dyDescent="0.25">
      <c r="A159" s="401">
        <v>520</v>
      </c>
      <c r="B159" s="401" t="s">
        <v>5016</v>
      </c>
      <c r="C159" s="401" t="s">
        <v>5296</v>
      </c>
      <c r="D159" s="401" t="s">
        <v>5297</v>
      </c>
      <c r="E159" s="401"/>
      <c r="F159" s="400">
        <v>44741</v>
      </c>
      <c r="G159" s="401" t="s">
        <v>4797</v>
      </c>
      <c r="H159" s="401" t="s">
        <v>5232</v>
      </c>
      <c r="I159" s="401" t="s">
        <v>5021</v>
      </c>
      <c r="J159" s="401" t="s">
        <v>5298</v>
      </c>
      <c r="K159" s="401" t="s">
        <v>5023</v>
      </c>
      <c r="L159" s="401" t="s">
        <v>5290</v>
      </c>
      <c r="M159" s="401" t="s">
        <v>5299</v>
      </c>
      <c r="N159" s="401" t="s">
        <v>5026</v>
      </c>
      <c r="O159" s="401" t="s">
        <v>5299</v>
      </c>
      <c r="P159" s="401" t="s">
        <v>5027</v>
      </c>
      <c r="Q159" s="401" t="s">
        <v>4535</v>
      </c>
      <c r="R159" s="401" t="s">
        <v>4692</v>
      </c>
      <c r="S159" s="400">
        <v>44741</v>
      </c>
      <c r="T159" s="401" t="s">
        <v>5028</v>
      </c>
      <c r="U159" s="400">
        <v>44741</v>
      </c>
      <c r="V159" s="401" t="s">
        <v>242</v>
      </c>
      <c r="W159" s="401" t="s">
        <v>5029</v>
      </c>
      <c r="X159" s="401" t="s">
        <v>5030</v>
      </c>
      <c r="Y159" s="402" t="s">
        <v>5031</v>
      </c>
      <c r="Z159" s="402" t="s">
        <v>5032</v>
      </c>
    </row>
    <row r="160" spans="1:26" x14ac:dyDescent="0.25">
      <c r="A160" s="401">
        <v>521</v>
      </c>
      <c r="B160" s="401" t="s">
        <v>5016</v>
      </c>
      <c r="C160" s="401" t="s">
        <v>5180</v>
      </c>
      <c r="D160" s="401" t="s">
        <v>5300</v>
      </c>
      <c r="E160" s="401"/>
      <c r="F160" s="400">
        <v>44914</v>
      </c>
      <c r="G160" s="401" t="s">
        <v>5301</v>
      </c>
      <c r="H160" s="401" t="s">
        <v>5302</v>
      </c>
      <c r="I160" s="401" t="s">
        <v>5303</v>
      </c>
      <c r="J160" s="401" t="s">
        <v>5304</v>
      </c>
      <c r="K160" s="401" t="s">
        <v>5023</v>
      </c>
      <c r="L160" s="401" t="s">
        <v>5290</v>
      </c>
      <c r="M160" s="401" t="s">
        <v>5305</v>
      </c>
      <c r="N160" s="401" t="s">
        <v>5026</v>
      </c>
      <c r="O160" s="401" t="s">
        <v>5305</v>
      </c>
      <c r="P160" s="401" t="s">
        <v>5027</v>
      </c>
      <c r="Q160" s="401" t="s">
        <v>4786</v>
      </c>
      <c r="R160" s="401" t="s">
        <v>4692</v>
      </c>
      <c r="S160" s="400">
        <v>44914</v>
      </c>
      <c r="T160" s="401" t="s">
        <v>5028</v>
      </c>
      <c r="U160" s="400">
        <v>44914</v>
      </c>
      <c r="V160" s="401" t="s">
        <v>242</v>
      </c>
      <c r="W160" s="401" t="s">
        <v>5306</v>
      </c>
      <c r="X160" s="401" t="s">
        <v>5068</v>
      </c>
      <c r="Y160" s="402" t="s">
        <v>5031</v>
      </c>
      <c r="Z160" s="402" t="s">
        <v>5032</v>
      </c>
    </row>
    <row r="161" spans="1:26" x14ac:dyDescent="0.25">
      <c r="A161" s="401">
        <v>522</v>
      </c>
      <c r="B161" s="401" t="s">
        <v>5016</v>
      </c>
      <c r="C161" s="401" t="s">
        <v>5296</v>
      </c>
      <c r="D161" s="401" t="s">
        <v>5307</v>
      </c>
      <c r="E161" s="401"/>
      <c r="F161" s="400">
        <v>44936</v>
      </c>
      <c r="G161" s="401" t="s">
        <v>5293</v>
      </c>
      <c r="H161" s="401" t="s">
        <v>4827</v>
      </c>
      <c r="I161" s="401" t="s">
        <v>5021</v>
      </c>
      <c r="J161" s="401" t="s">
        <v>5308</v>
      </c>
      <c r="K161" s="401" t="s">
        <v>5023</v>
      </c>
      <c r="L161" s="401" t="s">
        <v>5290</v>
      </c>
      <c r="M161" s="401" t="s">
        <v>5309</v>
      </c>
      <c r="N161" s="401" t="s">
        <v>5026</v>
      </c>
      <c r="O161" s="401" t="s">
        <v>5309</v>
      </c>
      <c r="P161" s="401" t="s">
        <v>5027</v>
      </c>
      <c r="Q161" s="401" t="s">
        <v>4535</v>
      </c>
      <c r="R161" s="401" t="s">
        <v>4692</v>
      </c>
      <c r="S161" s="400">
        <v>44936</v>
      </c>
      <c r="T161" s="401" t="s">
        <v>5028</v>
      </c>
      <c r="U161" s="400">
        <v>44936</v>
      </c>
      <c r="V161" s="401" t="s">
        <v>242</v>
      </c>
      <c r="W161" s="401" t="s">
        <v>5029</v>
      </c>
      <c r="X161" s="401" t="s">
        <v>5030</v>
      </c>
      <c r="Y161" s="402" t="s">
        <v>5031</v>
      </c>
      <c r="Z161" s="402" t="s">
        <v>5032</v>
      </c>
    </row>
    <row r="162" spans="1:26" x14ac:dyDescent="0.25">
      <c r="A162" s="401">
        <v>523</v>
      </c>
      <c r="B162" s="401" t="s">
        <v>5016</v>
      </c>
      <c r="C162" s="401" t="s">
        <v>5123</v>
      </c>
      <c r="D162" s="401" t="s">
        <v>5310</v>
      </c>
      <c r="E162" s="401"/>
      <c r="F162" s="400">
        <v>45170</v>
      </c>
      <c r="G162" s="401" t="s">
        <v>4923</v>
      </c>
      <c r="H162" s="401" t="s">
        <v>5269</v>
      </c>
      <c r="I162" s="401" t="s">
        <v>5021</v>
      </c>
      <c r="J162" s="401" t="s">
        <v>5311</v>
      </c>
      <c r="K162" s="401" t="s">
        <v>5023</v>
      </c>
      <c r="L162" s="401" t="s">
        <v>5290</v>
      </c>
      <c r="M162" s="401" t="s">
        <v>5312</v>
      </c>
      <c r="N162" s="401" t="s">
        <v>5026</v>
      </c>
      <c r="O162" s="401" t="s">
        <v>5312</v>
      </c>
      <c r="P162" s="401" t="s">
        <v>5027</v>
      </c>
      <c r="Q162" s="401" t="s">
        <v>4535</v>
      </c>
      <c r="R162" s="401" t="s">
        <v>4692</v>
      </c>
      <c r="S162" s="400">
        <v>45170</v>
      </c>
      <c r="T162" s="401" t="s">
        <v>5028</v>
      </c>
      <c r="U162" s="400">
        <v>45170</v>
      </c>
      <c r="V162" s="401" t="s">
        <v>242</v>
      </c>
      <c r="W162" s="401" t="s">
        <v>5029</v>
      </c>
      <c r="X162" s="401" t="s">
        <v>5030</v>
      </c>
      <c r="Y162" s="402" t="s">
        <v>5031</v>
      </c>
      <c r="Z162" s="402" t="s">
        <v>5032</v>
      </c>
    </row>
    <row r="163" spans="1:26" x14ac:dyDescent="0.25">
      <c r="A163" s="401">
        <v>524</v>
      </c>
      <c r="B163" s="401" t="s">
        <v>5016</v>
      </c>
      <c r="C163" s="401" t="s">
        <v>5136</v>
      </c>
      <c r="D163" s="401" t="s">
        <v>5313</v>
      </c>
      <c r="E163" s="401"/>
      <c r="F163" s="400">
        <v>45247</v>
      </c>
      <c r="G163" s="401" t="s">
        <v>4888</v>
      </c>
      <c r="H163" s="401" t="s">
        <v>5288</v>
      </c>
      <c r="I163" s="401" t="s">
        <v>5250</v>
      </c>
      <c r="J163" s="401" t="s">
        <v>5314</v>
      </c>
      <c r="K163" s="401" t="s">
        <v>5023</v>
      </c>
      <c r="L163" s="401" t="s">
        <v>5290</v>
      </c>
      <c r="M163" s="401" t="s">
        <v>5315</v>
      </c>
      <c r="N163" s="401" t="s">
        <v>5026</v>
      </c>
      <c r="O163" s="401" t="s">
        <v>5315</v>
      </c>
      <c r="P163" s="401" t="s">
        <v>5027</v>
      </c>
      <c r="Q163" s="401" t="s">
        <v>4535</v>
      </c>
      <c r="R163" s="401" t="s">
        <v>4692</v>
      </c>
      <c r="S163" s="400">
        <v>45247</v>
      </c>
      <c r="T163" s="401" t="s">
        <v>5028</v>
      </c>
      <c r="U163" s="400">
        <v>45247</v>
      </c>
      <c r="V163" s="401" t="s">
        <v>242</v>
      </c>
      <c r="W163" s="401" t="s">
        <v>5253</v>
      </c>
      <c r="X163" s="401" t="s">
        <v>5030</v>
      </c>
      <c r="Y163" s="402" t="s">
        <v>5031</v>
      </c>
      <c r="Z163" s="402" t="s">
        <v>5032</v>
      </c>
    </row>
    <row r="164" spans="1:26" x14ac:dyDescent="0.25">
      <c r="A164" s="401">
        <v>525</v>
      </c>
      <c r="B164" s="401" t="s">
        <v>5016</v>
      </c>
      <c r="C164" s="401" t="s">
        <v>5316</v>
      </c>
      <c r="D164" s="401" t="s">
        <v>5317</v>
      </c>
      <c r="E164" s="401"/>
      <c r="F164" s="400">
        <v>45247</v>
      </c>
      <c r="G164" s="401" t="s">
        <v>5256</v>
      </c>
      <c r="H164" s="401" t="s">
        <v>5318</v>
      </c>
      <c r="I164" s="401" t="s">
        <v>5172</v>
      </c>
      <c r="J164" s="401" t="s">
        <v>5319</v>
      </c>
      <c r="K164" s="401" t="s">
        <v>5023</v>
      </c>
      <c r="L164" s="401" t="s">
        <v>5320</v>
      </c>
      <c r="M164" s="401" t="s">
        <v>5321</v>
      </c>
      <c r="N164" s="401" t="s">
        <v>5026</v>
      </c>
      <c r="O164" s="401" t="s">
        <v>5321</v>
      </c>
      <c r="P164" s="401" t="s">
        <v>5027</v>
      </c>
      <c r="Q164" s="401" t="s">
        <v>4535</v>
      </c>
      <c r="R164" s="401" t="s">
        <v>114</v>
      </c>
      <c r="S164" s="400">
        <v>45247</v>
      </c>
      <c r="T164" s="401" t="s">
        <v>5028</v>
      </c>
      <c r="U164" s="400">
        <v>45247</v>
      </c>
      <c r="V164" s="401" t="s">
        <v>242</v>
      </c>
      <c r="W164" s="401" t="s">
        <v>5175</v>
      </c>
      <c r="X164" s="401" t="s">
        <v>5030</v>
      </c>
      <c r="Y164" s="402" t="s">
        <v>5031</v>
      </c>
      <c r="Z164" s="402" t="s">
        <v>5032</v>
      </c>
    </row>
    <row r="165" spans="1:26" x14ac:dyDescent="0.25">
      <c r="A165" s="401">
        <v>526</v>
      </c>
      <c r="B165" s="401" t="s">
        <v>5016</v>
      </c>
      <c r="C165" s="401" t="s">
        <v>5123</v>
      </c>
      <c r="D165" s="401" t="s">
        <v>5322</v>
      </c>
      <c r="E165" s="401"/>
      <c r="F165" s="400">
        <v>45247</v>
      </c>
      <c r="G165" s="401" t="s">
        <v>5318</v>
      </c>
      <c r="H165" s="401" t="s">
        <v>5323</v>
      </c>
      <c r="I165" s="401" t="s">
        <v>5172</v>
      </c>
      <c r="J165" s="401" t="s">
        <v>5324</v>
      </c>
      <c r="K165" s="401" t="s">
        <v>5023</v>
      </c>
      <c r="L165" s="401" t="s">
        <v>5320</v>
      </c>
      <c r="M165" s="401" t="s">
        <v>5325</v>
      </c>
      <c r="N165" s="401" t="s">
        <v>5026</v>
      </c>
      <c r="O165" s="401" t="s">
        <v>5325</v>
      </c>
      <c r="P165" s="401" t="s">
        <v>5027</v>
      </c>
      <c r="Q165" s="401" t="s">
        <v>4535</v>
      </c>
      <c r="R165" s="401" t="s">
        <v>4692</v>
      </c>
      <c r="S165" s="400">
        <v>45247</v>
      </c>
      <c r="T165" s="401" t="s">
        <v>5028</v>
      </c>
      <c r="U165" s="400">
        <v>45247</v>
      </c>
      <c r="V165" s="401" t="s">
        <v>242</v>
      </c>
      <c r="W165" s="401" t="s">
        <v>5175</v>
      </c>
      <c r="X165" s="401" t="s">
        <v>5030</v>
      </c>
      <c r="Y165" s="402" t="s">
        <v>5031</v>
      </c>
      <c r="Z165" s="402" t="s">
        <v>5032</v>
      </c>
    </row>
    <row r="166" spans="1:26" x14ac:dyDescent="0.25">
      <c r="A166" s="401">
        <v>527</v>
      </c>
      <c r="B166" s="401" t="s">
        <v>5016</v>
      </c>
      <c r="C166" s="401" t="s">
        <v>5123</v>
      </c>
      <c r="D166" s="401" t="s">
        <v>5326</v>
      </c>
      <c r="E166" s="401"/>
      <c r="F166" s="400">
        <v>45247</v>
      </c>
      <c r="G166" s="401" t="s">
        <v>5288</v>
      </c>
      <c r="H166" s="401" t="s">
        <v>5318</v>
      </c>
      <c r="I166" s="401" t="s">
        <v>5190</v>
      </c>
      <c r="J166" s="401" t="s">
        <v>5327</v>
      </c>
      <c r="K166" s="401" t="s">
        <v>5023</v>
      </c>
      <c r="L166" s="401" t="s">
        <v>5320</v>
      </c>
      <c r="M166" s="401" t="s">
        <v>5328</v>
      </c>
      <c r="N166" s="401" t="s">
        <v>5026</v>
      </c>
      <c r="O166" s="401" t="s">
        <v>5328</v>
      </c>
      <c r="P166" s="401" t="s">
        <v>5027</v>
      </c>
      <c r="Q166" s="401" t="s">
        <v>4535</v>
      </c>
      <c r="R166" s="401" t="s">
        <v>4692</v>
      </c>
      <c r="S166" s="400">
        <v>45247</v>
      </c>
      <c r="T166" s="401" t="s">
        <v>5028</v>
      </c>
      <c r="U166" s="400">
        <v>45247</v>
      </c>
      <c r="V166" s="401" t="s">
        <v>242</v>
      </c>
      <c r="W166" s="401" t="s">
        <v>5193</v>
      </c>
      <c r="X166" s="401" t="s">
        <v>5030</v>
      </c>
      <c r="Y166" s="402" t="s">
        <v>5031</v>
      </c>
      <c r="Z166" s="402" t="s">
        <v>5032</v>
      </c>
    </row>
    <row r="167" spans="1:26" x14ac:dyDescent="0.25">
      <c r="A167" s="401">
        <v>528</v>
      </c>
      <c r="B167" s="401" t="s">
        <v>5016</v>
      </c>
      <c r="C167" s="401" t="s">
        <v>5329</v>
      </c>
      <c r="D167" s="401" t="s">
        <v>5330</v>
      </c>
      <c r="E167" s="401"/>
      <c r="F167" s="400">
        <v>45247</v>
      </c>
      <c r="G167" s="401" t="s">
        <v>5288</v>
      </c>
      <c r="H167" s="401" t="s">
        <v>5331</v>
      </c>
      <c r="I167" s="401" t="s">
        <v>5190</v>
      </c>
      <c r="J167" s="401" t="s">
        <v>5332</v>
      </c>
      <c r="K167" s="401" t="s">
        <v>5023</v>
      </c>
      <c r="L167" s="401" t="s">
        <v>5320</v>
      </c>
      <c r="M167" s="401" t="s">
        <v>5333</v>
      </c>
      <c r="N167" s="401" t="s">
        <v>5026</v>
      </c>
      <c r="O167" s="401" t="s">
        <v>5333</v>
      </c>
      <c r="P167" s="401" t="s">
        <v>5027</v>
      </c>
      <c r="Q167" s="401" t="s">
        <v>4535</v>
      </c>
      <c r="R167" s="401" t="s">
        <v>4955</v>
      </c>
      <c r="S167" s="400">
        <v>45247</v>
      </c>
      <c r="T167" s="401" t="s">
        <v>5028</v>
      </c>
      <c r="U167" s="400">
        <v>45247</v>
      </c>
      <c r="V167" s="401" t="s">
        <v>242</v>
      </c>
      <c r="W167" s="401" t="s">
        <v>5193</v>
      </c>
      <c r="X167" s="401" t="s">
        <v>5030</v>
      </c>
      <c r="Y167" s="402" t="s">
        <v>5031</v>
      </c>
      <c r="Z167" s="402" t="s">
        <v>5032</v>
      </c>
    </row>
    <row r="168" spans="1:26" x14ac:dyDescent="0.25">
      <c r="A168" s="401">
        <v>529</v>
      </c>
      <c r="B168" s="401" t="s">
        <v>5016</v>
      </c>
      <c r="C168" s="401" t="s">
        <v>5329</v>
      </c>
      <c r="D168" s="401" t="s">
        <v>5334</v>
      </c>
      <c r="E168" s="401"/>
      <c r="F168" s="400">
        <v>45250</v>
      </c>
      <c r="G168" s="401" t="s">
        <v>5256</v>
      </c>
      <c r="H168" s="401" t="s">
        <v>4909</v>
      </c>
      <c r="I168" s="401" t="s">
        <v>5190</v>
      </c>
      <c r="J168" s="401" t="s">
        <v>5335</v>
      </c>
      <c r="K168" s="401" t="s">
        <v>5023</v>
      </c>
      <c r="L168" s="401" t="s">
        <v>5320</v>
      </c>
      <c r="M168" s="401" t="s">
        <v>5336</v>
      </c>
      <c r="N168" s="401" t="s">
        <v>5026</v>
      </c>
      <c r="O168" s="401" t="s">
        <v>5336</v>
      </c>
      <c r="P168" s="401" t="s">
        <v>5027</v>
      </c>
      <c r="Q168" s="401" t="s">
        <v>4535</v>
      </c>
      <c r="R168" s="401" t="s">
        <v>4955</v>
      </c>
      <c r="S168" s="400">
        <v>45250</v>
      </c>
      <c r="T168" s="401" t="s">
        <v>5028</v>
      </c>
      <c r="U168" s="400">
        <v>45250</v>
      </c>
      <c r="V168" s="401" t="s">
        <v>242</v>
      </c>
      <c r="W168" s="401" t="s">
        <v>5193</v>
      </c>
      <c r="X168" s="401" t="s">
        <v>5030</v>
      </c>
      <c r="Y168" s="402" t="s">
        <v>5031</v>
      </c>
      <c r="Z168" s="402" t="s">
        <v>5032</v>
      </c>
    </row>
    <row r="169" spans="1:26" x14ac:dyDescent="0.25">
      <c r="A169" s="401">
        <v>530</v>
      </c>
      <c r="B169" s="401" t="s">
        <v>5016</v>
      </c>
      <c r="C169" s="401" t="s">
        <v>5176</v>
      </c>
      <c r="D169" s="401" t="s">
        <v>5337</v>
      </c>
      <c r="E169" s="401"/>
      <c r="F169" s="400">
        <v>45265</v>
      </c>
      <c r="G169" s="401" t="s">
        <v>5288</v>
      </c>
      <c r="H169" s="401" t="s">
        <v>4909</v>
      </c>
      <c r="I169" s="401" t="s">
        <v>5190</v>
      </c>
      <c r="J169" s="401" t="s">
        <v>5338</v>
      </c>
      <c r="K169" s="401" t="s">
        <v>5023</v>
      </c>
      <c r="L169" s="401" t="s">
        <v>5320</v>
      </c>
      <c r="M169" s="401" t="s">
        <v>5339</v>
      </c>
      <c r="N169" s="401" t="s">
        <v>5026</v>
      </c>
      <c r="O169" s="401" t="s">
        <v>5339</v>
      </c>
      <c r="P169" s="401" t="s">
        <v>5027</v>
      </c>
      <c r="Q169" s="401" t="s">
        <v>4535</v>
      </c>
      <c r="R169" s="401" t="s">
        <v>4692</v>
      </c>
      <c r="S169" s="400">
        <v>45265</v>
      </c>
      <c r="T169" s="401" t="s">
        <v>5028</v>
      </c>
      <c r="U169" s="400">
        <v>45265</v>
      </c>
      <c r="V169" s="401" t="s">
        <v>242</v>
      </c>
      <c r="W169" s="401" t="s">
        <v>5193</v>
      </c>
      <c r="X169" s="401" t="s">
        <v>5030</v>
      </c>
      <c r="Y169" s="402" t="s">
        <v>5031</v>
      </c>
      <c r="Z169" s="402" t="s">
        <v>5032</v>
      </c>
    </row>
    <row r="170" spans="1:26" x14ac:dyDescent="0.25">
      <c r="A170" s="401">
        <v>531</v>
      </c>
      <c r="B170" s="401" t="s">
        <v>5016</v>
      </c>
      <c r="C170" s="401" t="s">
        <v>5198</v>
      </c>
      <c r="D170" s="401" t="s">
        <v>5340</v>
      </c>
      <c r="E170" s="401"/>
      <c r="F170" s="400">
        <v>45336</v>
      </c>
      <c r="G170" s="401" t="s">
        <v>5341</v>
      </c>
      <c r="H170" s="401" t="s">
        <v>4797</v>
      </c>
      <c r="I170" s="401" t="s">
        <v>5190</v>
      </c>
      <c r="J170" s="401" t="s">
        <v>5342</v>
      </c>
      <c r="K170" s="401" t="s">
        <v>5023</v>
      </c>
      <c r="L170" s="401" t="s">
        <v>5320</v>
      </c>
      <c r="M170" s="401" t="s">
        <v>5343</v>
      </c>
      <c r="N170" s="401" t="s">
        <v>5026</v>
      </c>
      <c r="O170" s="401" t="s">
        <v>5343</v>
      </c>
      <c r="P170" s="401" t="s">
        <v>5027</v>
      </c>
      <c r="Q170" s="401" t="s">
        <v>4535</v>
      </c>
      <c r="R170" s="401" t="s">
        <v>4692</v>
      </c>
      <c r="S170" s="400">
        <v>45336</v>
      </c>
      <c r="T170" s="401" t="s">
        <v>5028</v>
      </c>
      <c r="U170" s="400">
        <v>45336</v>
      </c>
      <c r="V170" s="401" t="s">
        <v>242</v>
      </c>
      <c r="W170" s="401" t="s">
        <v>5193</v>
      </c>
      <c r="X170" s="401" t="s">
        <v>5030</v>
      </c>
      <c r="Y170" s="402" t="s">
        <v>5031</v>
      </c>
      <c r="Z170" s="402" t="s">
        <v>5032</v>
      </c>
    </row>
    <row r="171" spans="1:26" x14ac:dyDescent="0.25">
      <c r="A171" s="401">
        <v>532</v>
      </c>
      <c r="B171" s="401" t="s">
        <v>5016</v>
      </c>
      <c r="C171" s="401" t="s">
        <v>5198</v>
      </c>
      <c r="D171" s="401" t="s">
        <v>5344</v>
      </c>
      <c r="E171" s="401"/>
      <c r="F171" s="400">
        <v>45336</v>
      </c>
      <c r="G171" s="401" t="s">
        <v>5256</v>
      </c>
      <c r="H171" s="401" t="s">
        <v>4888</v>
      </c>
      <c r="I171" s="401" t="s">
        <v>5190</v>
      </c>
      <c r="J171" s="401" t="s">
        <v>5345</v>
      </c>
      <c r="K171" s="401" t="s">
        <v>5023</v>
      </c>
      <c r="L171" s="401" t="s">
        <v>5320</v>
      </c>
      <c r="M171" s="401" t="s">
        <v>5346</v>
      </c>
      <c r="N171" s="401" t="s">
        <v>5026</v>
      </c>
      <c r="O171" s="401" t="s">
        <v>5346</v>
      </c>
      <c r="P171" s="401" t="s">
        <v>5027</v>
      </c>
      <c r="Q171" s="401" t="s">
        <v>4535</v>
      </c>
      <c r="R171" s="401" t="s">
        <v>4692</v>
      </c>
      <c r="S171" s="400">
        <v>45336</v>
      </c>
      <c r="T171" s="401" t="s">
        <v>5028</v>
      </c>
      <c r="U171" s="400">
        <v>45336</v>
      </c>
      <c r="V171" s="401" t="s">
        <v>242</v>
      </c>
      <c r="W171" s="401" t="s">
        <v>5193</v>
      </c>
      <c r="X171" s="401" t="s">
        <v>5030</v>
      </c>
      <c r="Y171" s="402" t="s">
        <v>5031</v>
      </c>
      <c r="Z171" s="402" t="s">
        <v>5032</v>
      </c>
    </row>
    <row r="172" spans="1:26" x14ac:dyDescent="0.25">
      <c r="A172" s="401">
        <v>533</v>
      </c>
      <c r="B172" s="401" t="s">
        <v>5016</v>
      </c>
      <c r="C172" s="401" t="s">
        <v>5017</v>
      </c>
      <c r="D172" s="401" t="s">
        <v>5347</v>
      </c>
      <c r="E172" s="401"/>
      <c r="F172" s="400">
        <v>45401</v>
      </c>
      <c r="G172" s="401" t="s">
        <v>5348</v>
      </c>
      <c r="H172" s="401" t="s">
        <v>5349</v>
      </c>
      <c r="I172" s="401" t="s">
        <v>5190</v>
      </c>
      <c r="J172" s="401" t="s">
        <v>5350</v>
      </c>
      <c r="K172" s="401" t="s">
        <v>5023</v>
      </c>
      <c r="L172" s="401" t="s">
        <v>5320</v>
      </c>
      <c r="M172" s="401" t="s">
        <v>5351</v>
      </c>
      <c r="N172" s="401" t="s">
        <v>5026</v>
      </c>
      <c r="O172" s="401" t="s">
        <v>5351</v>
      </c>
      <c r="P172" s="401" t="s">
        <v>5027</v>
      </c>
      <c r="Q172" s="401" t="s">
        <v>4535</v>
      </c>
      <c r="R172" s="401" t="s">
        <v>114</v>
      </c>
      <c r="S172" s="400">
        <v>45401</v>
      </c>
      <c r="T172" s="401" t="s">
        <v>5028</v>
      </c>
      <c r="U172" s="400">
        <v>45401</v>
      </c>
      <c r="V172" s="401" t="s">
        <v>242</v>
      </c>
      <c r="W172" s="401" t="s">
        <v>5193</v>
      </c>
      <c r="X172" s="401" t="s">
        <v>5030</v>
      </c>
      <c r="Y172" s="402" t="s">
        <v>5031</v>
      </c>
      <c r="Z172" s="402" t="s">
        <v>5032</v>
      </c>
    </row>
    <row r="173" spans="1:26" x14ac:dyDescent="0.25">
      <c r="A173" s="401">
        <v>534</v>
      </c>
      <c r="B173" s="401" t="s">
        <v>5016</v>
      </c>
      <c r="C173" s="401" t="s">
        <v>5017</v>
      </c>
      <c r="D173" s="401" t="s">
        <v>5352</v>
      </c>
      <c r="E173" s="401"/>
      <c r="F173" s="400">
        <v>45432</v>
      </c>
      <c r="G173" s="401" t="s">
        <v>5348</v>
      </c>
      <c r="H173" s="401" t="s">
        <v>5353</v>
      </c>
      <c r="I173" s="401" t="s">
        <v>5172</v>
      </c>
      <c r="J173" s="401" t="s">
        <v>5354</v>
      </c>
      <c r="K173" s="401" t="s">
        <v>5023</v>
      </c>
      <c r="L173" s="401" t="s">
        <v>5320</v>
      </c>
      <c r="M173" s="401" t="s">
        <v>5355</v>
      </c>
      <c r="N173" s="401" t="s">
        <v>5026</v>
      </c>
      <c r="O173" s="401" t="s">
        <v>5355</v>
      </c>
      <c r="P173" s="401" t="s">
        <v>5027</v>
      </c>
      <c r="Q173" s="401" t="s">
        <v>4535</v>
      </c>
      <c r="R173" s="401" t="s">
        <v>114</v>
      </c>
      <c r="S173" s="400">
        <v>45432</v>
      </c>
      <c r="T173" s="401" t="s">
        <v>5028</v>
      </c>
      <c r="U173" s="400">
        <v>45432</v>
      </c>
      <c r="V173" s="401" t="s">
        <v>242</v>
      </c>
      <c r="W173" s="401" t="s">
        <v>5175</v>
      </c>
      <c r="X173" s="401" t="s">
        <v>5030</v>
      </c>
      <c r="Y173" s="402" t="s">
        <v>5031</v>
      </c>
      <c r="Z173" s="402" t="s">
        <v>5032</v>
      </c>
    </row>
    <row r="174" spans="1:26" x14ac:dyDescent="0.25">
      <c r="A174" s="401">
        <v>535</v>
      </c>
      <c r="B174" s="401" t="s">
        <v>5016</v>
      </c>
      <c r="C174" s="401" t="s">
        <v>5356</v>
      </c>
      <c r="D174" s="401" t="s">
        <v>5357</v>
      </c>
      <c r="E174" s="401"/>
      <c r="F174" s="400">
        <v>45478</v>
      </c>
      <c r="G174" s="401" t="s">
        <v>4909</v>
      </c>
      <c r="H174" s="401" t="s">
        <v>5293</v>
      </c>
      <c r="I174" s="401" t="s">
        <v>5021</v>
      </c>
      <c r="J174" s="401" t="s">
        <v>5358</v>
      </c>
      <c r="K174" s="401" t="s">
        <v>5023</v>
      </c>
      <c r="L174" s="401" t="s">
        <v>5320</v>
      </c>
      <c r="M174" s="401" t="s">
        <v>5359</v>
      </c>
      <c r="N174" s="401" t="s">
        <v>5026</v>
      </c>
      <c r="O174" s="401" t="s">
        <v>5359</v>
      </c>
      <c r="P174" s="401" t="s">
        <v>5027</v>
      </c>
      <c r="Q174" s="401" t="s">
        <v>4535</v>
      </c>
      <c r="R174" s="401" t="s">
        <v>4692</v>
      </c>
      <c r="S174" s="400">
        <v>45478</v>
      </c>
      <c r="T174" s="401" t="s">
        <v>5028</v>
      </c>
      <c r="U174" s="400">
        <v>45478</v>
      </c>
      <c r="V174" s="401" t="s">
        <v>242</v>
      </c>
      <c r="W174" s="401" t="s">
        <v>5029</v>
      </c>
      <c r="X174" s="401" t="s">
        <v>5030</v>
      </c>
      <c r="Y174" s="402" t="s">
        <v>5031</v>
      </c>
      <c r="Z174" s="402" t="s">
        <v>5032</v>
      </c>
    </row>
    <row r="175" spans="1:26" x14ac:dyDescent="0.25">
      <c r="A175" s="401">
        <v>536</v>
      </c>
      <c r="B175" s="401" t="s">
        <v>5016</v>
      </c>
      <c r="C175" s="401" t="s">
        <v>5360</v>
      </c>
      <c r="D175" s="401" t="s">
        <v>5361</v>
      </c>
      <c r="E175" s="401"/>
      <c r="F175" s="400">
        <v>45509</v>
      </c>
      <c r="G175" s="401" t="s">
        <v>5362</v>
      </c>
      <c r="H175" s="401" t="s">
        <v>5363</v>
      </c>
      <c r="I175" s="401" t="s">
        <v>5190</v>
      </c>
      <c r="J175" s="401" t="s">
        <v>5364</v>
      </c>
      <c r="K175" s="401" t="s">
        <v>5023</v>
      </c>
      <c r="L175" s="401" t="s">
        <v>5320</v>
      </c>
      <c r="M175" s="401" t="s">
        <v>5365</v>
      </c>
      <c r="N175" s="401" t="s">
        <v>5026</v>
      </c>
      <c r="O175" s="401" t="s">
        <v>5365</v>
      </c>
      <c r="P175" s="401" t="s">
        <v>5027</v>
      </c>
      <c r="Q175" s="401" t="s">
        <v>4535</v>
      </c>
      <c r="R175" s="401" t="s">
        <v>114</v>
      </c>
      <c r="S175" s="400">
        <v>45509</v>
      </c>
      <c r="T175" s="401" t="s">
        <v>5028</v>
      </c>
      <c r="U175" s="400">
        <v>45509</v>
      </c>
      <c r="V175" s="401" t="s">
        <v>242</v>
      </c>
      <c r="W175" s="401" t="s">
        <v>5193</v>
      </c>
      <c r="X175" s="401" t="s">
        <v>5030</v>
      </c>
      <c r="Y175" s="402" t="s">
        <v>5031</v>
      </c>
      <c r="Z175" s="402" t="s">
        <v>5032</v>
      </c>
    </row>
    <row r="176" spans="1:26" x14ac:dyDescent="0.25">
      <c r="A176" s="401">
        <v>537</v>
      </c>
      <c r="B176" s="401" t="s">
        <v>5016</v>
      </c>
      <c r="C176" s="401" t="s">
        <v>5157</v>
      </c>
      <c r="D176" s="401" t="s">
        <v>5366</v>
      </c>
      <c r="E176" s="401"/>
      <c r="F176" s="400">
        <v>45614</v>
      </c>
      <c r="G176" s="401" t="s">
        <v>5367</v>
      </c>
      <c r="H176" s="401" t="s">
        <v>5368</v>
      </c>
      <c r="I176" s="401" t="s">
        <v>5190</v>
      </c>
      <c r="J176" s="401" t="s">
        <v>5369</v>
      </c>
      <c r="K176" s="401" t="s">
        <v>5023</v>
      </c>
      <c r="L176" s="401" t="s">
        <v>5320</v>
      </c>
      <c r="M176" s="401" t="s">
        <v>5370</v>
      </c>
      <c r="N176" s="401" t="s">
        <v>5026</v>
      </c>
      <c r="O176" s="401" t="s">
        <v>5370</v>
      </c>
      <c r="P176" s="401" t="s">
        <v>5027</v>
      </c>
      <c r="Q176" s="401" t="s">
        <v>4535</v>
      </c>
      <c r="R176" s="401" t="s">
        <v>4675</v>
      </c>
      <c r="S176" s="400">
        <v>45614</v>
      </c>
      <c r="T176" s="401" t="s">
        <v>5028</v>
      </c>
      <c r="U176" s="400">
        <v>45614</v>
      </c>
      <c r="V176" s="401" t="s">
        <v>242</v>
      </c>
      <c r="W176" s="401" t="s">
        <v>5193</v>
      </c>
      <c r="X176" s="401" t="s">
        <v>5030</v>
      </c>
      <c r="Y176" s="402" t="s">
        <v>5031</v>
      </c>
      <c r="Z176" s="402" t="s">
        <v>5032</v>
      </c>
    </row>
    <row r="177" spans="1:26" x14ac:dyDescent="0.25">
      <c r="A177" s="401">
        <v>538</v>
      </c>
      <c r="B177" s="401" t="s">
        <v>5016</v>
      </c>
      <c r="C177" s="401" t="s">
        <v>5371</v>
      </c>
      <c r="D177" s="401" t="s">
        <v>5372</v>
      </c>
      <c r="E177" s="401"/>
      <c r="F177" s="400">
        <v>45614</v>
      </c>
      <c r="G177" s="401" t="s">
        <v>5373</v>
      </c>
      <c r="H177" s="401" t="s">
        <v>5153</v>
      </c>
      <c r="I177" s="401" t="s">
        <v>5190</v>
      </c>
      <c r="J177" s="401" t="s">
        <v>5374</v>
      </c>
      <c r="K177" s="401" t="s">
        <v>5023</v>
      </c>
      <c r="L177" s="401" t="s">
        <v>5320</v>
      </c>
      <c r="M177" s="401" t="s">
        <v>5375</v>
      </c>
      <c r="N177" s="401" t="s">
        <v>5026</v>
      </c>
      <c r="O177" s="401" t="s">
        <v>5375</v>
      </c>
      <c r="P177" s="401" t="s">
        <v>5027</v>
      </c>
      <c r="Q177" s="401" t="s">
        <v>4535</v>
      </c>
      <c r="R177" s="401" t="s">
        <v>4955</v>
      </c>
      <c r="S177" s="400">
        <v>45614</v>
      </c>
      <c r="T177" s="401" t="s">
        <v>5028</v>
      </c>
      <c r="U177" s="400">
        <v>45614</v>
      </c>
      <c r="V177" s="401" t="s">
        <v>242</v>
      </c>
      <c r="W177" s="401" t="s">
        <v>5193</v>
      </c>
      <c r="X177" s="401" t="s">
        <v>5030</v>
      </c>
      <c r="Y177" s="402" t="s">
        <v>5031</v>
      </c>
      <c r="Z177" s="402" t="s">
        <v>5032</v>
      </c>
    </row>
    <row r="178" spans="1:26" x14ac:dyDescent="0.25">
      <c r="A178" s="401">
        <v>539</v>
      </c>
      <c r="B178" s="401" t="s">
        <v>5016</v>
      </c>
      <c r="C178" s="401" t="s">
        <v>5239</v>
      </c>
      <c r="D178" s="401" t="s">
        <v>5376</v>
      </c>
      <c r="E178" s="401"/>
      <c r="F178" s="400">
        <v>45621</v>
      </c>
      <c r="G178" s="401" t="s">
        <v>5377</v>
      </c>
      <c r="H178" s="401" t="s">
        <v>5378</v>
      </c>
      <c r="I178" s="401" t="s">
        <v>5379</v>
      </c>
      <c r="J178" s="401" t="s">
        <v>5380</v>
      </c>
      <c r="K178" s="401" t="s">
        <v>5023</v>
      </c>
      <c r="L178" s="401" t="s">
        <v>5320</v>
      </c>
      <c r="M178" s="401" t="s">
        <v>5381</v>
      </c>
      <c r="N178" s="401" t="s">
        <v>5026</v>
      </c>
      <c r="O178" s="401" t="s">
        <v>5381</v>
      </c>
      <c r="P178" s="401" t="s">
        <v>5027</v>
      </c>
      <c r="Q178" s="401" t="s">
        <v>4535</v>
      </c>
      <c r="R178" s="401" t="s">
        <v>4675</v>
      </c>
      <c r="S178" s="400">
        <v>45621</v>
      </c>
      <c r="T178" s="401" t="s">
        <v>5028</v>
      </c>
      <c r="U178" s="400">
        <v>45621</v>
      </c>
      <c r="V178" s="401" t="s">
        <v>242</v>
      </c>
      <c r="W178" s="401" t="s">
        <v>5382</v>
      </c>
      <c r="X178" s="401" t="s">
        <v>5030</v>
      </c>
      <c r="Y178" s="402" t="s">
        <v>5031</v>
      </c>
      <c r="Z178" s="402" t="s">
        <v>5032</v>
      </c>
    </row>
    <row r="179" spans="1:26" x14ac:dyDescent="0.25">
      <c r="A179" s="401">
        <v>540</v>
      </c>
      <c r="B179" s="401" t="s">
        <v>5016</v>
      </c>
      <c r="C179" s="401" t="s">
        <v>5017</v>
      </c>
      <c r="D179" s="401" t="s">
        <v>5383</v>
      </c>
      <c r="E179" s="401"/>
      <c r="F179" s="400">
        <v>45642</v>
      </c>
      <c r="G179" s="401" t="s">
        <v>5384</v>
      </c>
      <c r="H179" s="401" t="s">
        <v>5385</v>
      </c>
      <c r="I179" s="401" t="s">
        <v>5190</v>
      </c>
      <c r="J179" s="401" t="s">
        <v>5386</v>
      </c>
      <c r="K179" s="401" t="s">
        <v>5023</v>
      </c>
      <c r="L179" s="401" t="s">
        <v>5320</v>
      </c>
      <c r="M179" s="401" t="s">
        <v>5387</v>
      </c>
      <c r="N179" s="401" t="s">
        <v>5026</v>
      </c>
      <c r="O179" s="401" t="s">
        <v>5387</v>
      </c>
      <c r="P179" s="401" t="s">
        <v>5027</v>
      </c>
      <c r="Q179" s="401" t="s">
        <v>4535</v>
      </c>
      <c r="R179" s="401" t="s">
        <v>114</v>
      </c>
      <c r="S179" s="400">
        <v>45642</v>
      </c>
      <c r="T179" s="401" t="s">
        <v>5028</v>
      </c>
      <c r="U179" s="400">
        <v>45642</v>
      </c>
      <c r="V179" s="401" t="s">
        <v>242</v>
      </c>
      <c r="W179" s="401" t="s">
        <v>5193</v>
      </c>
      <c r="X179" s="401" t="s">
        <v>5030</v>
      </c>
      <c r="Y179" s="402" t="s">
        <v>5031</v>
      </c>
      <c r="Z179" s="402" t="s">
        <v>5032</v>
      </c>
    </row>
    <row r="180" spans="1:26" x14ac:dyDescent="0.25">
      <c r="A180" s="401">
        <v>541</v>
      </c>
      <c r="B180" s="401" t="s">
        <v>5016</v>
      </c>
      <c r="C180" s="401" t="s">
        <v>5388</v>
      </c>
      <c r="D180" s="401" t="s">
        <v>5389</v>
      </c>
      <c r="E180" s="401"/>
      <c r="F180" s="400">
        <v>45672</v>
      </c>
      <c r="G180" s="401" t="s">
        <v>5279</v>
      </c>
      <c r="H180" s="401" t="s">
        <v>5233</v>
      </c>
      <c r="I180" s="401" t="s">
        <v>5190</v>
      </c>
      <c r="J180" s="401" t="s">
        <v>5390</v>
      </c>
      <c r="K180" s="401" t="s">
        <v>5023</v>
      </c>
      <c r="L180" s="401" t="s">
        <v>5320</v>
      </c>
      <c r="M180" s="401" t="s">
        <v>5391</v>
      </c>
      <c r="N180" s="401" t="s">
        <v>5026</v>
      </c>
      <c r="O180" s="401" t="s">
        <v>5391</v>
      </c>
      <c r="P180" s="401" t="s">
        <v>5027</v>
      </c>
      <c r="Q180" s="401" t="s">
        <v>4535</v>
      </c>
      <c r="R180" s="401" t="s">
        <v>4955</v>
      </c>
      <c r="S180" s="400">
        <v>45672</v>
      </c>
      <c r="T180" s="401" t="s">
        <v>5028</v>
      </c>
      <c r="U180" s="400">
        <v>45672</v>
      </c>
      <c r="V180" s="401" t="s">
        <v>242</v>
      </c>
      <c r="W180" s="401" t="s">
        <v>5193</v>
      </c>
      <c r="X180" s="401" t="s">
        <v>5030</v>
      </c>
      <c r="Y180" s="402" t="s">
        <v>5031</v>
      </c>
      <c r="Z180" s="402" t="s">
        <v>5032</v>
      </c>
    </row>
    <row r="181" spans="1:26" x14ac:dyDescent="0.25">
      <c r="A181" s="401">
        <v>542</v>
      </c>
      <c r="B181" s="401" t="s">
        <v>5016</v>
      </c>
      <c r="C181" s="401" t="s">
        <v>5262</v>
      </c>
      <c r="D181" s="401" t="s">
        <v>5392</v>
      </c>
      <c r="E181" s="401"/>
      <c r="F181" s="400">
        <v>45792</v>
      </c>
      <c r="G181" s="401" t="s">
        <v>5393</v>
      </c>
      <c r="H181" s="401" t="s">
        <v>5394</v>
      </c>
      <c r="I181" s="401" t="s">
        <v>5190</v>
      </c>
      <c r="J181" s="401" t="s">
        <v>5395</v>
      </c>
      <c r="K181" s="401" t="s">
        <v>5023</v>
      </c>
      <c r="L181" s="401" t="s">
        <v>5396</v>
      </c>
      <c r="M181" s="401" t="s">
        <v>5397</v>
      </c>
      <c r="N181" s="401" t="s">
        <v>5026</v>
      </c>
      <c r="O181" s="401" t="s">
        <v>5397</v>
      </c>
      <c r="P181" s="401" t="s">
        <v>5027</v>
      </c>
      <c r="Q181" s="401" t="s">
        <v>4535</v>
      </c>
      <c r="R181" s="401" t="s">
        <v>5267</v>
      </c>
      <c r="S181" s="400">
        <v>45792</v>
      </c>
      <c r="T181" s="401" t="s">
        <v>5028</v>
      </c>
      <c r="U181" s="400">
        <v>45792</v>
      </c>
      <c r="V181" s="401" t="s">
        <v>242</v>
      </c>
      <c r="W181" s="401" t="s">
        <v>5193</v>
      </c>
      <c r="X181" s="401" t="s">
        <v>5030</v>
      </c>
      <c r="Y181" s="402" t="s">
        <v>5031</v>
      </c>
      <c r="Z181" s="402" t="s">
        <v>5032</v>
      </c>
    </row>
    <row r="182" spans="1:26" x14ac:dyDescent="0.25">
      <c r="A182" s="401">
        <v>543</v>
      </c>
      <c r="B182" s="401" t="s">
        <v>5016</v>
      </c>
      <c r="C182" s="401" t="s">
        <v>5126</v>
      </c>
      <c r="D182" s="401" t="s">
        <v>5398</v>
      </c>
      <c r="E182" s="401"/>
      <c r="F182" s="400">
        <v>45825</v>
      </c>
      <c r="G182" s="401" t="s">
        <v>4797</v>
      </c>
      <c r="H182" s="401" t="s">
        <v>5399</v>
      </c>
      <c r="I182" s="401" t="s">
        <v>5021</v>
      </c>
      <c r="J182" s="401" t="s">
        <v>5400</v>
      </c>
      <c r="K182" s="401" t="s">
        <v>5023</v>
      </c>
      <c r="L182" s="401" t="s">
        <v>5396</v>
      </c>
      <c r="M182" s="401" t="s">
        <v>5401</v>
      </c>
      <c r="N182" s="401" t="s">
        <v>5026</v>
      </c>
      <c r="O182" s="401" t="s">
        <v>5401</v>
      </c>
      <c r="P182" s="401" t="s">
        <v>5027</v>
      </c>
      <c r="Q182" s="401" t="s">
        <v>4535</v>
      </c>
      <c r="R182" s="401" t="s">
        <v>4692</v>
      </c>
      <c r="S182" s="400">
        <v>45825</v>
      </c>
      <c r="T182" s="401" t="s">
        <v>5028</v>
      </c>
      <c r="U182" s="400">
        <v>45825</v>
      </c>
      <c r="V182" s="401" t="s">
        <v>242</v>
      </c>
      <c r="W182" s="401" t="s">
        <v>5029</v>
      </c>
      <c r="X182" s="401" t="s">
        <v>5030</v>
      </c>
      <c r="Y182" s="402" t="s">
        <v>5031</v>
      </c>
      <c r="Z182" s="402" t="s">
        <v>5032</v>
      </c>
    </row>
    <row r="183" spans="1:26" x14ac:dyDescent="0.25">
      <c r="A183" s="401">
        <v>544</v>
      </c>
      <c r="B183" s="401" t="s">
        <v>5016</v>
      </c>
      <c r="C183" s="401" t="s">
        <v>5180</v>
      </c>
      <c r="D183" s="401" t="s">
        <v>5402</v>
      </c>
      <c r="E183" s="401"/>
      <c r="F183" s="400">
        <v>45915</v>
      </c>
      <c r="G183" s="401" t="s">
        <v>5403</v>
      </c>
      <c r="H183" s="401" t="s">
        <v>5404</v>
      </c>
      <c r="I183" s="401" t="s">
        <v>5190</v>
      </c>
      <c r="J183" s="401" t="s">
        <v>5405</v>
      </c>
      <c r="K183" s="401" t="s">
        <v>5023</v>
      </c>
      <c r="L183" s="401" t="s">
        <v>5396</v>
      </c>
      <c r="M183" s="401" t="s">
        <v>5406</v>
      </c>
      <c r="N183" s="401" t="s">
        <v>5026</v>
      </c>
      <c r="O183" s="401" t="s">
        <v>5406</v>
      </c>
      <c r="P183" s="401" t="s">
        <v>5027</v>
      </c>
      <c r="Q183" s="401" t="s">
        <v>4535</v>
      </c>
      <c r="R183" s="401" t="s">
        <v>4692</v>
      </c>
      <c r="S183" s="400">
        <v>45915</v>
      </c>
      <c r="T183" s="401" t="s">
        <v>5028</v>
      </c>
      <c r="U183" s="400">
        <v>45915</v>
      </c>
      <c r="V183" s="401" t="s">
        <v>242</v>
      </c>
      <c r="W183" s="401" t="s">
        <v>5193</v>
      </c>
      <c r="X183" s="401" t="s">
        <v>5030</v>
      </c>
      <c r="Y183" s="402" t="s">
        <v>5031</v>
      </c>
      <c r="Z183" s="402" t="s">
        <v>5032</v>
      </c>
    </row>
    <row r="184" spans="1:26" x14ac:dyDescent="0.25">
      <c r="A184" s="401">
        <v>545</v>
      </c>
      <c r="B184" s="401" t="s">
        <v>5016</v>
      </c>
      <c r="C184" s="401" t="s">
        <v>5123</v>
      </c>
      <c r="D184" s="401" t="s">
        <v>5407</v>
      </c>
      <c r="E184" s="401"/>
      <c r="F184" s="400">
        <v>45925</v>
      </c>
      <c r="G184" s="401" t="s">
        <v>5404</v>
      </c>
      <c r="H184" s="401" t="s">
        <v>5408</v>
      </c>
      <c r="I184" s="401" t="s">
        <v>5190</v>
      </c>
      <c r="J184" s="401" t="s">
        <v>5409</v>
      </c>
      <c r="K184" s="401" t="s">
        <v>5023</v>
      </c>
      <c r="L184" s="401" t="s">
        <v>5396</v>
      </c>
      <c r="M184" s="401" t="s">
        <v>5410</v>
      </c>
      <c r="N184" s="401" t="s">
        <v>5026</v>
      </c>
      <c r="O184" s="401" t="s">
        <v>5410</v>
      </c>
      <c r="P184" s="401" t="s">
        <v>5027</v>
      </c>
      <c r="Q184" s="401" t="s">
        <v>4535</v>
      </c>
      <c r="R184" s="401" t="s">
        <v>4692</v>
      </c>
      <c r="S184" s="400">
        <v>45925</v>
      </c>
      <c r="T184" s="401" t="s">
        <v>5028</v>
      </c>
      <c r="U184" s="400">
        <v>45925</v>
      </c>
      <c r="V184" s="401" t="s">
        <v>242</v>
      </c>
      <c r="W184" s="401" t="s">
        <v>5193</v>
      </c>
      <c r="X184" s="401" t="s">
        <v>5030</v>
      </c>
      <c r="Y184" s="402" t="s">
        <v>5031</v>
      </c>
      <c r="Z184" s="402" t="s">
        <v>5032</v>
      </c>
    </row>
    <row r="185" spans="1:26" x14ac:dyDescent="0.25">
      <c r="A185" s="401">
        <v>546</v>
      </c>
      <c r="B185" s="401" t="s">
        <v>5016</v>
      </c>
      <c r="C185" s="401" t="s">
        <v>5123</v>
      </c>
      <c r="D185" s="401" t="s">
        <v>5411</v>
      </c>
      <c r="E185" s="401"/>
      <c r="F185" s="400">
        <v>45954</v>
      </c>
      <c r="G185" s="401" t="s">
        <v>5412</v>
      </c>
      <c r="H185" s="401" t="s">
        <v>5413</v>
      </c>
      <c r="I185" s="401" t="s">
        <v>5190</v>
      </c>
      <c r="J185" s="401" t="s">
        <v>5414</v>
      </c>
      <c r="K185" s="401" t="s">
        <v>5023</v>
      </c>
      <c r="L185" s="401" t="s">
        <v>5415</v>
      </c>
      <c r="M185" s="401" t="s">
        <v>5416</v>
      </c>
      <c r="N185" s="401" t="s">
        <v>5026</v>
      </c>
      <c r="O185" s="401" t="s">
        <v>5416</v>
      </c>
      <c r="P185" s="401" t="s">
        <v>5027</v>
      </c>
      <c r="Q185" s="401" t="s">
        <v>4535</v>
      </c>
      <c r="R185" s="401" t="s">
        <v>4692</v>
      </c>
      <c r="S185" s="400">
        <v>45954</v>
      </c>
      <c r="T185" s="401" t="s">
        <v>5028</v>
      </c>
      <c r="U185" s="400">
        <v>45954</v>
      </c>
      <c r="V185" s="401" t="s">
        <v>242</v>
      </c>
      <c r="W185" s="401" t="s">
        <v>5193</v>
      </c>
      <c r="X185" s="401" t="s">
        <v>5030</v>
      </c>
      <c r="Y185" s="402" t="s">
        <v>5031</v>
      </c>
      <c r="Z185" s="402" t="s">
        <v>5032</v>
      </c>
    </row>
    <row r="186" spans="1:26" x14ac:dyDescent="0.25">
      <c r="A186" s="401">
        <v>547</v>
      </c>
      <c r="B186" s="401" t="s">
        <v>5016</v>
      </c>
      <c r="C186" s="401" t="s">
        <v>5169</v>
      </c>
      <c r="D186" s="401" t="s">
        <v>5417</v>
      </c>
      <c r="E186" s="401"/>
      <c r="F186" s="400">
        <v>45954</v>
      </c>
      <c r="G186" s="401" t="s">
        <v>5418</v>
      </c>
      <c r="H186" s="401" t="s">
        <v>5419</v>
      </c>
      <c r="I186" s="401" t="s">
        <v>5190</v>
      </c>
      <c r="J186" s="401" t="s">
        <v>5420</v>
      </c>
      <c r="K186" s="401" t="s">
        <v>5023</v>
      </c>
      <c r="L186" s="401" t="s">
        <v>5415</v>
      </c>
      <c r="M186" s="401" t="s">
        <v>5421</v>
      </c>
      <c r="N186" s="401" t="s">
        <v>5026</v>
      </c>
      <c r="O186" s="401" t="s">
        <v>5421</v>
      </c>
      <c r="P186" s="401" t="s">
        <v>5027</v>
      </c>
      <c r="Q186" s="401" t="s">
        <v>4535</v>
      </c>
      <c r="R186" s="401" t="s">
        <v>4955</v>
      </c>
      <c r="S186" s="400">
        <v>45954</v>
      </c>
      <c r="T186" s="401" t="s">
        <v>5028</v>
      </c>
      <c r="U186" s="400">
        <v>45954</v>
      </c>
      <c r="V186" s="401" t="s">
        <v>242</v>
      </c>
      <c r="W186" s="401" t="s">
        <v>5193</v>
      </c>
      <c r="X186" s="401" t="s">
        <v>5030</v>
      </c>
      <c r="Y186" s="402" t="s">
        <v>5031</v>
      </c>
      <c r="Z186" s="402" t="s">
        <v>5032</v>
      </c>
    </row>
    <row r="187" spans="1:26" x14ac:dyDescent="0.25">
      <c r="A187" s="401">
        <v>548</v>
      </c>
      <c r="B187" s="401" t="s">
        <v>5016</v>
      </c>
      <c r="C187" s="401" t="s">
        <v>5136</v>
      </c>
      <c r="D187" s="401" t="s">
        <v>5422</v>
      </c>
      <c r="E187" s="401"/>
      <c r="F187" s="400">
        <v>45975</v>
      </c>
      <c r="G187" s="401" t="s">
        <v>5423</v>
      </c>
      <c r="H187" s="401" t="s">
        <v>4923</v>
      </c>
      <c r="I187" s="401" t="s">
        <v>5190</v>
      </c>
      <c r="J187" s="401" t="s">
        <v>5424</v>
      </c>
      <c r="K187" s="401" t="s">
        <v>5023</v>
      </c>
      <c r="L187" s="401" t="s">
        <v>5415</v>
      </c>
      <c r="M187" s="401" t="s">
        <v>5425</v>
      </c>
      <c r="N187" s="401" t="s">
        <v>5026</v>
      </c>
      <c r="O187" s="401" t="s">
        <v>5425</v>
      </c>
      <c r="P187" s="401" t="s">
        <v>5027</v>
      </c>
      <c r="Q187" s="401" t="s">
        <v>4535</v>
      </c>
      <c r="R187" s="401" t="s">
        <v>4692</v>
      </c>
      <c r="S187" s="400">
        <v>45975</v>
      </c>
      <c r="T187" s="401" t="s">
        <v>5028</v>
      </c>
      <c r="U187" s="400">
        <v>45975</v>
      </c>
      <c r="V187" s="401" t="s">
        <v>242</v>
      </c>
      <c r="W187" s="401" t="s">
        <v>5193</v>
      </c>
      <c r="X187" s="401" t="s">
        <v>5030</v>
      </c>
      <c r="Y187" s="402" t="s">
        <v>5031</v>
      </c>
      <c r="Z187" s="402" t="s">
        <v>5032</v>
      </c>
    </row>
    <row r="188" spans="1:26" x14ac:dyDescent="0.25">
      <c r="A188" s="401">
        <v>549</v>
      </c>
      <c r="B188" s="401" t="s">
        <v>5016</v>
      </c>
      <c r="C188" s="401" t="s">
        <v>5316</v>
      </c>
      <c r="D188" s="401" t="s">
        <v>5426</v>
      </c>
      <c r="E188" s="401"/>
      <c r="F188" s="400">
        <v>45975</v>
      </c>
      <c r="G188" s="401" t="s">
        <v>4923</v>
      </c>
      <c r="H188" s="401" t="s">
        <v>5427</v>
      </c>
      <c r="I188" s="401" t="s">
        <v>5190</v>
      </c>
      <c r="J188" s="401" t="s">
        <v>5428</v>
      </c>
      <c r="K188" s="401" t="s">
        <v>5023</v>
      </c>
      <c r="L188" s="401" t="s">
        <v>5415</v>
      </c>
      <c r="M188" s="401" t="s">
        <v>5429</v>
      </c>
      <c r="N188" s="401" t="s">
        <v>5026</v>
      </c>
      <c r="O188" s="401" t="s">
        <v>5429</v>
      </c>
      <c r="P188" s="401" t="s">
        <v>5027</v>
      </c>
      <c r="Q188" s="401" t="s">
        <v>4535</v>
      </c>
      <c r="R188" s="401" t="s">
        <v>114</v>
      </c>
      <c r="S188" s="400">
        <v>45975</v>
      </c>
      <c r="T188" s="401" t="s">
        <v>5028</v>
      </c>
      <c r="U188" s="400">
        <v>45975</v>
      </c>
      <c r="V188" s="401" t="s">
        <v>242</v>
      </c>
      <c r="W188" s="401" t="s">
        <v>5193</v>
      </c>
      <c r="X188" s="401" t="s">
        <v>5030</v>
      </c>
      <c r="Y188" s="402" t="s">
        <v>5031</v>
      </c>
      <c r="Z188" s="402" t="s">
        <v>5032</v>
      </c>
    </row>
    <row r="189" spans="1:26" x14ac:dyDescent="0.25">
      <c r="A189" s="401">
        <v>550</v>
      </c>
      <c r="B189" s="401" t="s">
        <v>5016</v>
      </c>
      <c r="C189" s="401" t="s">
        <v>5388</v>
      </c>
      <c r="D189" s="401" t="s">
        <v>5430</v>
      </c>
      <c r="E189" s="401"/>
      <c r="F189" s="400">
        <v>46052</v>
      </c>
      <c r="G189" s="401" t="s">
        <v>5418</v>
      </c>
      <c r="H189" s="401" t="s">
        <v>5153</v>
      </c>
      <c r="I189" s="401" t="s">
        <v>5190</v>
      </c>
      <c r="J189" s="401" t="s">
        <v>5431</v>
      </c>
      <c r="K189" s="401" t="s">
        <v>5023</v>
      </c>
      <c r="L189" s="401" t="s">
        <v>5415</v>
      </c>
      <c r="M189" s="401" t="s">
        <v>5432</v>
      </c>
      <c r="N189" s="401" t="s">
        <v>5026</v>
      </c>
      <c r="O189" s="401" t="s">
        <v>5432</v>
      </c>
      <c r="P189" s="401" t="s">
        <v>5027</v>
      </c>
      <c r="Q189" s="401" t="s">
        <v>4786</v>
      </c>
      <c r="R189" s="401" t="s">
        <v>4955</v>
      </c>
      <c r="S189" s="400">
        <v>46052</v>
      </c>
      <c r="T189" s="401" t="s">
        <v>5028</v>
      </c>
      <c r="U189" s="400">
        <v>46052</v>
      </c>
      <c r="V189" s="401" t="s">
        <v>242</v>
      </c>
      <c r="W189" s="401" t="s">
        <v>5193</v>
      </c>
      <c r="X189" s="401" t="s">
        <v>5068</v>
      </c>
      <c r="Y189" s="402" t="s">
        <v>5031</v>
      </c>
      <c r="Z189" s="402" t="s">
        <v>5032</v>
      </c>
    </row>
    <row r="190" spans="1:26" x14ac:dyDescent="0.25">
      <c r="A190" s="401">
        <v>551</v>
      </c>
      <c r="B190" s="401" t="s">
        <v>5016</v>
      </c>
      <c r="C190" s="401" t="s">
        <v>5262</v>
      </c>
      <c r="D190" s="401" t="s">
        <v>5433</v>
      </c>
      <c r="E190" s="401"/>
      <c r="F190" s="400">
        <v>46119</v>
      </c>
      <c r="G190" s="401" t="s">
        <v>5434</v>
      </c>
      <c r="H190" s="401" t="s">
        <v>5153</v>
      </c>
      <c r="I190" s="401" t="s">
        <v>5190</v>
      </c>
      <c r="J190" s="401" t="s">
        <v>5435</v>
      </c>
      <c r="K190" s="401" t="s">
        <v>5023</v>
      </c>
      <c r="L190" s="401" t="s">
        <v>5415</v>
      </c>
      <c r="M190" s="401" t="s">
        <v>5436</v>
      </c>
      <c r="N190" s="401" t="s">
        <v>5026</v>
      </c>
      <c r="O190" s="401" t="s">
        <v>5436</v>
      </c>
      <c r="P190" s="401" t="s">
        <v>5027</v>
      </c>
      <c r="Q190" s="401" t="s">
        <v>4535</v>
      </c>
      <c r="R190" s="401" t="s">
        <v>5267</v>
      </c>
      <c r="S190" s="400">
        <v>46119</v>
      </c>
      <c r="T190" s="401" t="s">
        <v>5028</v>
      </c>
      <c r="U190" s="400">
        <v>46119</v>
      </c>
      <c r="V190" s="401" t="s">
        <v>242</v>
      </c>
      <c r="W190" s="401" t="s">
        <v>5193</v>
      </c>
      <c r="X190" s="401" t="s">
        <v>5030</v>
      </c>
      <c r="Y190" s="402" t="s">
        <v>5031</v>
      </c>
      <c r="Z190" s="402" t="s">
        <v>5032</v>
      </c>
    </row>
    <row r="191" spans="1:26" x14ac:dyDescent="0.25">
      <c r="A191" s="401">
        <v>552</v>
      </c>
      <c r="B191" s="401" t="s">
        <v>5016</v>
      </c>
      <c r="C191" s="401" t="s">
        <v>5262</v>
      </c>
      <c r="D191" s="401" t="s">
        <v>5437</v>
      </c>
      <c r="E191" s="401"/>
      <c r="F191" s="400">
        <v>46119</v>
      </c>
      <c r="G191" s="401" t="s">
        <v>5438</v>
      </c>
      <c r="H191" s="401" t="s">
        <v>5153</v>
      </c>
      <c r="I191" s="401" t="s">
        <v>5190</v>
      </c>
      <c r="J191" s="401" t="s">
        <v>5439</v>
      </c>
      <c r="K191" s="401" t="s">
        <v>5023</v>
      </c>
      <c r="L191" s="401" t="s">
        <v>5415</v>
      </c>
      <c r="M191" s="401" t="s">
        <v>5440</v>
      </c>
      <c r="N191" s="401" t="s">
        <v>5026</v>
      </c>
      <c r="O191" s="401" t="s">
        <v>5440</v>
      </c>
      <c r="P191" s="401" t="s">
        <v>5027</v>
      </c>
      <c r="Q191" s="401" t="s">
        <v>4535</v>
      </c>
      <c r="R191" s="401" t="s">
        <v>5267</v>
      </c>
      <c r="S191" s="400">
        <v>46119</v>
      </c>
      <c r="T191" s="401" t="s">
        <v>5028</v>
      </c>
      <c r="U191" s="400">
        <v>46119</v>
      </c>
      <c r="V191" s="401" t="s">
        <v>242</v>
      </c>
      <c r="W191" s="401" t="s">
        <v>5193</v>
      </c>
      <c r="X191" s="401" t="s">
        <v>5030</v>
      </c>
      <c r="Y191" s="402" t="s">
        <v>5031</v>
      </c>
      <c r="Z191" s="402" t="s">
        <v>5032</v>
      </c>
    </row>
    <row r="192" spans="1:26" x14ac:dyDescent="0.25">
      <c r="A192" s="401">
        <v>553</v>
      </c>
      <c r="B192" s="401" t="s">
        <v>5016</v>
      </c>
      <c r="C192" s="401" t="s">
        <v>5033</v>
      </c>
      <c r="D192" s="401" t="s">
        <v>5441</v>
      </c>
      <c r="E192" s="401"/>
      <c r="F192" s="400">
        <v>46122</v>
      </c>
      <c r="G192" s="401" t="s">
        <v>5442</v>
      </c>
      <c r="H192" s="401" t="s">
        <v>5443</v>
      </c>
      <c r="I192" s="401" t="s">
        <v>5043</v>
      </c>
      <c r="J192" s="401" t="s">
        <v>5444</v>
      </c>
      <c r="K192" s="401" t="s">
        <v>5023</v>
      </c>
      <c r="L192" s="401" t="s">
        <v>5415</v>
      </c>
      <c r="M192" s="401" t="s">
        <v>5445</v>
      </c>
      <c r="N192" s="401" t="s">
        <v>5026</v>
      </c>
      <c r="O192" s="401" t="s">
        <v>5445</v>
      </c>
      <c r="P192" s="401" t="s">
        <v>5027</v>
      </c>
      <c r="Q192" s="401" t="s">
        <v>4535</v>
      </c>
      <c r="R192" s="401" t="s">
        <v>238</v>
      </c>
      <c r="S192" s="400">
        <v>46122</v>
      </c>
      <c r="T192" s="401" t="s">
        <v>5028</v>
      </c>
      <c r="U192" s="400">
        <v>46122</v>
      </c>
      <c r="V192" s="401" t="s">
        <v>242</v>
      </c>
      <c r="W192" s="401" t="s">
        <v>76</v>
      </c>
      <c r="X192" s="401" t="s">
        <v>5030</v>
      </c>
      <c r="Y192" s="402" t="s">
        <v>5031</v>
      </c>
      <c r="Z192" s="402" t="s">
        <v>5032</v>
      </c>
    </row>
    <row r="193" spans="1:26" x14ac:dyDescent="0.25">
      <c r="A193" s="401">
        <v>559</v>
      </c>
      <c r="B193" s="401" t="s">
        <v>5016</v>
      </c>
      <c r="C193" s="401" t="s">
        <v>5033</v>
      </c>
      <c r="D193" s="401" t="s">
        <v>5446</v>
      </c>
      <c r="E193" s="401"/>
      <c r="F193" s="400">
        <v>46122</v>
      </c>
      <c r="G193" s="401" t="s">
        <v>5447</v>
      </c>
      <c r="H193" s="401" t="s">
        <v>5443</v>
      </c>
      <c r="I193" s="401" t="s">
        <v>5448</v>
      </c>
      <c r="J193" s="401" t="s">
        <v>5449</v>
      </c>
      <c r="K193" s="401" t="s">
        <v>5023</v>
      </c>
      <c r="L193" s="401" t="s">
        <v>5450</v>
      </c>
      <c r="M193" s="401" t="s">
        <v>5451</v>
      </c>
      <c r="N193" s="401" t="s">
        <v>5026</v>
      </c>
      <c r="O193" s="401" t="s">
        <v>5451</v>
      </c>
      <c r="P193" s="401" t="s">
        <v>5027</v>
      </c>
      <c r="Q193" s="401" t="s">
        <v>4535</v>
      </c>
      <c r="R193" s="401" t="s">
        <v>238</v>
      </c>
      <c r="S193" s="400">
        <v>46122</v>
      </c>
      <c r="T193" s="401" t="s">
        <v>5028</v>
      </c>
      <c r="U193" s="400">
        <v>46122</v>
      </c>
      <c r="V193" s="401" t="s">
        <v>242</v>
      </c>
      <c r="W193" s="401" t="s">
        <v>4858</v>
      </c>
      <c r="X193" s="401" t="s">
        <v>5030</v>
      </c>
      <c r="Y193" s="402" t="s">
        <v>5031</v>
      </c>
      <c r="Z193" s="402" t="s">
        <v>5032</v>
      </c>
    </row>
    <row r="194" spans="1:26" x14ac:dyDescent="0.25">
      <c r="A194" s="401">
        <v>562</v>
      </c>
      <c r="B194" s="401" t="s">
        <v>5016</v>
      </c>
      <c r="C194" s="401" t="s">
        <v>5033</v>
      </c>
      <c r="D194" s="401" t="s">
        <v>5452</v>
      </c>
      <c r="E194" s="401"/>
      <c r="F194" s="400">
        <v>46122</v>
      </c>
      <c r="G194" s="401" t="s">
        <v>5453</v>
      </c>
      <c r="H194" s="401" t="s">
        <v>5443</v>
      </c>
      <c r="I194" s="401" t="s">
        <v>5043</v>
      </c>
      <c r="J194" s="401" t="s">
        <v>5454</v>
      </c>
      <c r="K194" s="401" t="s">
        <v>5023</v>
      </c>
      <c r="L194" s="401" t="s">
        <v>5450</v>
      </c>
      <c r="M194" s="401" t="s">
        <v>5455</v>
      </c>
      <c r="N194" s="401" t="s">
        <v>5026</v>
      </c>
      <c r="O194" s="401" t="s">
        <v>5455</v>
      </c>
      <c r="P194" s="401" t="s">
        <v>5027</v>
      </c>
      <c r="Q194" s="401" t="s">
        <v>4535</v>
      </c>
      <c r="R194" s="401" t="s">
        <v>238</v>
      </c>
      <c r="S194" s="400">
        <v>46122</v>
      </c>
      <c r="T194" s="401" t="s">
        <v>5028</v>
      </c>
      <c r="U194" s="400">
        <v>46122</v>
      </c>
      <c r="V194" s="401" t="s">
        <v>242</v>
      </c>
      <c r="W194" s="401" t="s">
        <v>76</v>
      </c>
      <c r="X194" s="401" t="s">
        <v>5030</v>
      </c>
      <c r="Y194" s="402" t="s">
        <v>5031</v>
      </c>
      <c r="Z194" s="402" t="s">
        <v>5032</v>
      </c>
    </row>
    <row r="195" spans="1:26" x14ac:dyDescent="0.25">
      <c r="A195" s="401">
        <v>565</v>
      </c>
      <c r="B195" s="401" t="s">
        <v>5016</v>
      </c>
      <c r="C195" s="401" t="s">
        <v>5456</v>
      </c>
      <c r="D195" s="401" t="s">
        <v>5457</v>
      </c>
      <c r="E195" s="401"/>
      <c r="F195" s="400">
        <v>46143</v>
      </c>
      <c r="G195" s="401" t="s">
        <v>5458</v>
      </c>
      <c r="H195" s="401" t="s">
        <v>5153</v>
      </c>
      <c r="I195" s="401" t="s">
        <v>5190</v>
      </c>
      <c r="J195" s="401" t="s">
        <v>5459</v>
      </c>
      <c r="K195" s="401" t="s">
        <v>5023</v>
      </c>
      <c r="L195" s="401" t="s">
        <v>5450</v>
      </c>
      <c r="M195" s="401" t="s">
        <v>5460</v>
      </c>
      <c r="N195" s="401" t="s">
        <v>5026</v>
      </c>
      <c r="O195" s="401" t="s">
        <v>5460</v>
      </c>
      <c r="P195" s="401" t="s">
        <v>5027</v>
      </c>
      <c r="Q195" s="401" t="s">
        <v>4535</v>
      </c>
      <c r="R195" s="401" t="s">
        <v>5267</v>
      </c>
      <c r="S195" s="400">
        <v>46143</v>
      </c>
      <c r="T195" s="401" t="s">
        <v>5028</v>
      </c>
      <c r="U195" s="400">
        <v>46143</v>
      </c>
      <c r="V195" s="401" t="s">
        <v>242</v>
      </c>
      <c r="W195" s="401" t="s">
        <v>5193</v>
      </c>
      <c r="X195" s="401" t="s">
        <v>5030</v>
      </c>
      <c r="Y195" s="402" t="s">
        <v>5031</v>
      </c>
      <c r="Z195" s="402" t="s">
        <v>5032</v>
      </c>
    </row>
    <row r="196" spans="1:26" x14ac:dyDescent="0.25">
      <c r="A196" s="401">
        <v>566</v>
      </c>
      <c r="B196" s="401" t="s">
        <v>5016</v>
      </c>
      <c r="C196" s="401" t="s">
        <v>5262</v>
      </c>
      <c r="D196" s="401" t="s">
        <v>5461</v>
      </c>
      <c r="E196" s="401"/>
      <c r="F196" s="400">
        <v>46143</v>
      </c>
      <c r="G196" s="401" t="s">
        <v>5462</v>
      </c>
      <c r="H196" s="401" t="s">
        <v>5153</v>
      </c>
      <c r="I196" s="401" t="s">
        <v>5043</v>
      </c>
      <c r="J196" s="401" t="s">
        <v>5463</v>
      </c>
      <c r="K196" s="401" t="s">
        <v>5023</v>
      </c>
      <c r="L196" s="401" t="s">
        <v>5450</v>
      </c>
      <c r="M196" s="401" t="s">
        <v>5464</v>
      </c>
      <c r="N196" s="401" t="s">
        <v>5026</v>
      </c>
      <c r="O196" s="401" t="s">
        <v>5464</v>
      </c>
      <c r="P196" s="401" t="s">
        <v>5027</v>
      </c>
      <c r="Q196" s="401" t="s">
        <v>4535</v>
      </c>
      <c r="R196" s="401" t="s">
        <v>5267</v>
      </c>
      <c r="S196" s="400">
        <v>46143</v>
      </c>
      <c r="T196" s="401" t="s">
        <v>5028</v>
      </c>
      <c r="U196" s="400">
        <v>46143</v>
      </c>
      <c r="V196" s="401" t="s">
        <v>242</v>
      </c>
      <c r="W196" s="401" t="s">
        <v>76</v>
      </c>
      <c r="X196" s="401" t="s">
        <v>5030</v>
      </c>
      <c r="Y196" s="402" t="s">
        <v>5031</v>
      </c>
      <c r="Z196" s="402" t="s">
        <v>5032</v>
      </c>
    </row>
    <row r="197" spans="1:26" x14ac:dyDescent="0.25">
      <c r="A197" s="401">
        <v>567</v>
      </c>
      <c r="B197" s="401" t="s">
        <v>5016</v>
      </c>
      <c r="C197" s="401" t="s">
        <v>5033</v>
      </c>
      <c r="D197" s="401" t="s">
        <v>5465</v>
      </c>
      <c r="E197" s="401"/>
      <c r="F197" s="400">
        <v>46143</v>
      </c>
      <c r="G197" s="401" t="s">
        <v>5466</v>
      </c>
      <c r="H197" s="401" t="s">
        <v>5443</v>
      </c>
      <c r="I197" s="401" t="s">
        <v>5043</v>
      </c>
      <c r="J197" s="401" t="s">
        <v>5467</v>
      </c>
      <c r="K197" s="401" t="s">
        <v>5023</v>
      </c>
      <c r="L197" s="401" t="s">
        <v>5450</v>
      </c>
      <c r="M197" s="401" t="s">
        <v>5468</v>
      </c>
      <c r="N197" s="401" t="s">
        <v>5026</v>
      </c>
      <c r="O197" s="401" t="s">
        <v>5468</v>
      </c>
      <c r="P197" s="401" t="s">
        <v>5027</v>
      </c>
      <c r="Q197" s="401" t="s">
        <v>4535</v>
      </c>
      <c r="R197" s="401" t="s">
        <v>238</v>
      </c>
      <c r="S197" s="400">
        <v>46143</v>
      </c>
      <c r="T197" s="401" t="s">
        <v>5028</v>
      </c>
      <c r="U197" s="400">
        <v>46143</v>
      </c>
      <c r="V197" s="401" t="s">
        <v>242</v>
      </c>
      <c r="W197" s="401" t="s">
        <v>76</v>
      </c>
      <c r="X197" s="401" t="s">
        <v>5030</v>
      </c>
      <c r="Y197" s="402" t="s">
        <v>5031</v>
      </c>
      <c r="Z197" s="402" t="s">
        <v>5032</v>
      </c>
    </row>
    <row r="198" spans="1:26" x14ac:dyDescent="0.25">
      <c r="A198" s="401">
        <v>571</v>
      </c>
      <c r="B198" s="401" t="s">
        <v>5016</v>
      </c>
      <c r="C198" s="401" t="s">
        <v>5033</v>
      </c>
      <c r="D198" s="401" t="s">
        <v>5469</v>
      </c>
      <c r="E198" s="401"/>
      <c r="F198" s="400">
        <v>46143</v>
      </c>
      <c r="G198" s="401" t="s">
        <v>5470</v>
      </c>
      <c r="H198" s="401" t="s">
        <v>5443</v>
      </c>
      <c r="I198" s="401" t="s">
        <v>5471</v>
      </c>
      <c r="J198" s="401" t="s">
        <v>5472</v>
      </c>
      <c r="K198" s="401" t="s">
        <v>5023</v>
      </c>
      <c r="L198" s="401" t="s">
        <v>5473</v>
      </c>
      <c r="M198" s="401" t="s">
        <v>5474</v>
      </c>
      <c r="N198" s="401" t="s">
        <v>5026</v>
      </c>
      <c r="O198" s="401" t="s">
        <v>5474</v>
      </c>
      <c r="P198" s="401" t="s">
        <v>5027</v>
      </c>
      <c r="Q198" s="401" t="s">
        <v>4535</v>
      </c>
      <c r="R198" s="401" t="s">
        <v>238</v>
      </c>
      <c r="S198" s="400">
        <v>46143</v>
      </c>
      <c r="T198" s="401" t="s">
        <v>5028</v>
      </c>
      <c r="U198" s="400">
        <v>46143</v>
      </c>
      <c r="V198" s="401" t="s">
        <v>242</v>
      </c>
      <c r="W198" s="401" t="s">
        <v>5475</v>
      </c>
      <c r="X198" s="401" t="s">
        <v>5030</v>
      </c>
      <c r="Y198" s="402" t="s">
        <v>5031</v>
      </c>
      <c r="Z198" s="402" t="s">
        <v>5032</v>
      </c>
    </row>
    <row r="199" spans="1:26" x14ac:dyDescent="0.25">
      <c r="A199" s="401">
        <v>577</v>
      </c>
      <c r="B199" s="401" t="s">
        <v>5016</v>
      </c>
      <c r="C199" s="401" t="s">
        <v>5316</v>
      </c>
      <c r="D199" s="401" t="s">
        <v>5476</v>
      </c>
      <c r="E199" s="401"/>
      <c r="F199" s="400">
        <v>46146</v>
      </c>
      <c r="G199" s="401" t="s">
        <v>5427</v>
      </c>
      <c r="H199" s="401" t="s">
        <v>5477</v>
      </c>
      <c r="I199" s="401" t="s">
        <v>4638</v>
      </c>
      <c r="J199" s="401" t="s">
        <v>5478</v>
      </c>
      <c r="K199" s="401" t="s">
        <v>5023</v>
      </c>
      <c r="L199" s="401" t="s">
        <v>5473</v>
      </c>
      <c r="M199" s="401" t="s">
        <v>5479</v>
      </c>
      <c r="N199" s="401" t="s">
        <v>5026</v>
      </c>
      <c r="O199" s="401" t="s">
        <v>5479</v>
      </c>
      <c r="P199" s="401" t="s">
        <v>5027</v>
      </c>
      <c r="Q199" s="401" t="s">
        <v>4535</v>
      </c>
      <c r="R199" s="401" t="s">
        <v>114</v>
      </c>
      <c r="S199" s="400">
        <v>46146</v>
      </c>
      <c r="T199" s="401" t="s">
        <v>5028</v>
      </c>
      <c r="U199" s="400">
        <v>46146</v>
      </c>
      <c r="V199" s="401" t="s">
        <v>242</v>
      </c>
      <c r="W199" s="401" t="s">
        <v>5480</v>
      </c>
      <c r="X199" s="401" t="s">
        <v>5030</v>
      </c>
      <c r="Y199" s="402" t="s">
        <v>5031</v>
      </c>
      <c r="Z199" s="402" t="s">
        <v>5032</v>
      </c>
    </row>
    <row r="200" spans="1:26" x14ac:dyDescent="0.25">
      <c r="A200" s="269"/>
      <c r="B200" s="264">
        <v>1</v>
      </c>
      <c r="C200" s="264" t="s">
        <v>309</v>
      </c>
      <c r="D200" s="264" t="s">
        <v>2639</v>
      </c>
      <c r="E200" s="261">
        <v>36564</v>
      </c>
      <c r="F200" s="261">
        <v>36564</v>
      </c>
      <c r="G200" s="264" t="s">
        <v>2586</v>
      </c>
      <c r="H200" s="264" t="s">
        <v>496</v>
      </c>
      <c r="I200" s="264" t="s">
        <v>5481</v>
      </c>
      <c r="J200" s="264" t="s">
        <v>5482</v>
      </c>
      <c r="K200" s="404" t="s">
        <v>5483</v>
      </c>
    </row>
    <row r="201" spans="1:26" x14ac:dyDescent="0.25">
      <c r="A201" s="269"/>
      <c r="B201" s="264">
        <v>2</v>
      </c>
      <c r="C201" s="264" t="s">
        <v>309</v>
      </c>
      <c r="D201" s="264" t="s">
        <v>2642</v>
      </c>
      <c r="E201" s="261">
        <v>36564</v>
      </c>
      <c r="F201" s="261">
        <v>36564</v>
      </c>
      <c r="G201" s="264" t="s">
        <v>2643</v>
      </c>
      <c r="H201" s="264" t="s">
        <v>496</v>
      </c>
      <c r="I201" s="264" t="s">
        <v>5484</v>
      </c>
      <c r="J201" s="264" t="s">
        <v>5485</v>
      </c>
      <c r="K201" s="404" t="s">
        <v>5483</v>
      </c>
    </row>
    <row r="202" spans="1:26" x14ac:dyDescent="0.25">
      <c r="A202" s="269"/>
      <c r="B202" s="264">
        <v>3</v>
      </c>
      <c r="C202" s="264" t="s">
        <v>309</v>
      </c>
      <c r="D202" s="264" t="s">
        <v>2645</v>
      </c>
      <c r="E202" s="261">
        <v>36564</v>
      </c>
      <c r="F202" s="261">
        <v>36564</v>
      </c>
      <c r="G202" s="264" t="s">
        <v>513</v>
      </c>
      <c r="H202" s="264" t="s">
        <v>496</v>
      </c>
      <c r="I202" s="264" t="s">
        <v>5481</v>
      </c>
      <c r="J202" s="264" t="s">
        <v>5486</v>
      </c>
      <c r="K202" s="404" t="s">
        <v>5483</v>
      </c>
    </row>
    <row r="203" spans="1:26" x14ac:dyDescent="0.25">
      <c r="A203" s="269"/>
      <c r="B203" s="264">
        <v>4</v>
      </c>
      <c r="C203" s="264" t="s">
        <v>309</v>
      </c>
      <c r="D203" s="264" t="s">
        <v>2647</v>
      </c>
      <c r="E203" s="261">
        <v>36565</v>
      </c>
      <c r="F203" s="261">
        <v>36565</v>
      </c>
      <c r="G203" s="264" t="s">
        <v>515</v>
      </c>
      <c r="H203" s="264" t="s">
        <v>266</v>
      </c>
      <c r="I203" s="264" t="s">
        <v>5487</v>
      </c>
      <c r="J203" s="264" t="s">
        <v>5488</v>
      </c>
      <c r="K203" s="404" t="s">
        <v>5483</v>
      </c>
    </row>
    <row r="204" spans="1:26" x14ac:dyDescent="0.25">
      <c r="A204" s="269"/>
      <c r="B204" s="264">
        <v>5</v>
      </c>
      <c r="C204" s="264" t="s">
        <v>309</v>
      </c>
      <c r="D204" s="264" t="s">
        <v>2649</v>
      </c>
      <c r="E204" s="261">
        <v>36565</v>
      </c>
      <c r="F204" s="261">
        <v>36565</v>
      </c>
      <c r="G204" s="264" t="s">
        <v>292</v>
      </c>
      <c r="H204" s="264" t="s">
        <v>266</v>
      </c>
      <c r="I204" s="264" t="s">
        <v>5487</v>
      </c>
      <c r="J204" s="264" t="s">
        <v>5489</v>
      </c>
      <c r="K204" s="404" t="s">
        <v>5483</v>
      </c>
    </row>
    <row r="205" spans="1:26" x14ac:dyDescent="0.25">
      <c r="A205" s="269"/>
      <c r="B205" s="264">
        <v>6</v>
      </c>
      <c r="C205" s="264" t="s">
        <v>309</v>
      </c>
      <c r="D205" s="264" t="s">
        <v>2651</v>
      </c>
      <c r="E205" s="261">
        <v>36565</v>
      </c>
      <c r="F205" s="261">
        <v>36565</v>
      </c>
      <c r="G205" s="264" t="s">
        <v>520</v>
      </c>
      <c r="H205" s="264" t="s">
        <v>266</v>
      </c>
      <c r="I205" s="264" t="s">
        <v>5490</v>
      </c>
      <c r="J205" s="264" t="s">
        <v>5491</v>
      </c>
      <c r="K205" s="404" t="s">
        <v>5483</v>
      </c>
    </row>
    <row r="206" spans="1:26" x14ac:dyDescent="0.25">
      <c r="A206" s="269"/>
      <c r="B206" s="264">
        <v>7</v>
      </c>
      <c r="C206" s="264" t="s">
        <v>309</v>
      </c>
      <c r="D206" s="264" t="s">
        <v>2653</v>
      </c>
      <c r="E206" s="261">
        <v>36565</v>
      </c>
      <c r="F206" s="261">
        <v>36565</v>
      </c>
      <c r="G206" s="264" t="s">
        <v>523</v>
      </c>
      <c r="H206" s="264" t="s">
        <v>266</v>
      </c>
      <c r="I206" s="264" t="s">
        <v>5487</v>
      </c>
      <c r="J206" s="264" t="s">
        <v>5492</v>
      </c>
      <c r="K206" s="404" t="s">
        <v>5483</v>
      </c>
    </row>
    <row r="207" spans="1:26" x14ac:dyDescent="0.25">
      <c r="A207" s="269"/>
      <c r="B207" s="264">
        <v>8</v>
      </c>
      <c r="C207" s="264" t="s">
        <v>309</v>
      </c>
      <c r="D207" s="264" t="s">
        <v>2655</v>
      </c>
      <c r="E207" s="261">
        <v>36565</v>
      </c>
      <c r="F207" s="261">
        <v>36565</v>
      </c>
      <c r="G207" s="264" t="s">
        <v>2656</v>
      </c>
      <c r="H207" s="264" t="s">
        <v>496</v>
      </c>
      <c r="I207" s="264" t="s">
        <v>5484</v>
      </c>
      <c r="J207" s="264" t="s">
        <v>5493</v>
      </c>
      <c r="K207" s="404" t="s">
        <v>5483</v>
      </c>
    </row>
    <row r="208" spans="1:26" x14ac:dyDescent="0.25">
      <c r="A208" s="269"/>
      <c r="B208" s="264">
        <v>9</v>
      </c>
      <c r="C208" s="264" t="s">
        <v>309</v>
      </c>
      <c r="D208" s="264" t="s">
        <v>2658</v>
      </c>
      <c r="E208" s="261">
        <v>36565</v>
      </c>
      <c r="F208" s="261">
        <v>36565</v>
      </c>
      <c r="G208" s="264" t="s">
        <v>527</v>
      </c>
      <c r="H208" s="264" t="s">
        <v>496</v>
      </c>
      <c r="I208" s="264" t="s">
        <v>5484</v>
      </c>
      <c r="J208" s="264" t="s">
        <v>5494</v>
      </c>
      <c r="K208" s="404" t="s">
        <v>5483</v>
      </c>
    </row>
    <row r="209" spans="1:11" x14ac:dyDescent="0.25">
      <c r="A209" s="269"/>
      <c r="B209" s="264">
        <v>10</v>
      </c>
      <c r="C209" s="264" t="s">
        <v>309</v>
      </c>
      <c r="D209" s="264" t="s">
        <v>2660</v>
      </c>
      <c r="E209" s="261">
        <v>36565</v>
      </c>
      <c r="F209" s="261">
        <v>36565</v>
      </c>
      <c r="G209" s="264" t="s">
        <v>2661</v>
      </c>
      <c r="H209" s="264" t="s">
        <v>496</v>
      </c>
      <c r="I209" s="264" t="s">
        <v>5484</v>
      </c>
      <c r="J209" s="264" t="s">
        <v>5495</v>
      </c>
      <c r="K209" s="404" t="s">
        <v>5483</v>
      </c>
    </row>
    <row r="210" spans="1:11" x14ac:dyDescent="0.25">
      <c r="A210" s="269"/>
      <c r="B210" s="264"/>
      <c r="C210" s="264" t="s">
        <v>309</v>
      </c>
      <c r="D210" s="264" t="s">
        <v>2665</v>
      </c>
      <c r="E210" s="261">
        <v>36566</v>
      </c>
      <c r="F210" s="261">
        <v>36566</v>
      </c>
      <c r="G210" s="264" t="s">
        <v>531</v>
      </c>
      <c r="H210" s="264" t="s">
        <v>487</v>
      </c>
      <c r="I210" s="264" t="s">
        <v>313</v>
      </c>
      <c r="J210" s="264"/>
      <c r="K210" s="404" t="s">
        <v>5496</v>
      </c>
    </row>
    <row r="211" spans="1:11" x14ac:dyDescent="0.25">
      <c r="A211" s="269"/>
      <c r="B211" s="264">
        <v>12</v>
      </c>
      <c r="C211" s="264" t="s">
        <v>309</v>
      </c>
      <c r="D211" s="264" t="s">
        <v>2669</v>
      </c>
      <c r="E211" s="261">
        <v>36572</v>
      </c>
      <c r="F211" s="261">
        <v>36572</v>
      </c>
      <c r="G211" s="264" t="s">
        <v>533</v>
      </c>
      <c r="H211" s="264" t="s">
        <v>496</v>
      </c>
      <c r="I211" s="264" t="s">
        <v>5497</v>
      </c>
      <c r="J211" s="264" t="s">
        <v>5498</v>
      </c>
      <c r="K211" s="404" t="s">
        <v>5483</v>
      </c>
    </row>
    <row r="212" spans="1:11" x14ac:dyDescent="0.25">
      <c r="A212" s="269"/>
      <c r="B212" s="264"/>
      <c r="C212" s="264" t="s">
        <v>114</v>
      </c>
      <c r="D212" s="264" t="s">
        <v>2686</v>
      </c>
      <c r="E212" s="261">
        <v>36600</v>
      </c>
      <c r="F212" s="261">
        <v>36600</v>
      </c>
      <c r="G212" s="264" t="s">
        <v>266</v>
      </c>
      <c r="H212" s="264" t="s">
        <v>2687</v>
      </c>
      <c r="I212" s="264" t="s">
        <v>313</v>
      </c>
      <c r="J212" s="264" t="s">
        <v>5499</v>
      </c>
      <c r="K212" s="404" t="s">
        <v>5496</v>
      </c>
    </row>
    <row r="213" spans="1:11" x14ac:dyDescent="0.25">
      <c r="A213" s="269"/>
      <c r="B213" s="264">
        <v>70</v>
      </c>
      <c r="C213" s="264" t="s">
        <v>309</v>
      </c>
      <c r="D213" s="264" t="s">
        <v>2693</v>
      </c>
      <c r="E213" s="261">
        <v>36612</v>
      </c>
      <c r="F213" s="261">
        <v>36612</v>
      </c>
      <c r="G213" s="264" t="s">
        <v>547</v>
      </c>
      <c r="H213" s="264" t="s">
        <v>266</v>
      </c>
      <c r="I213" s="264" t="s">
        <v>5500</v>
      </c>
      <c r="J213" s="264" t="s">
        <v>2694</v>
      </c>
      <c r="K213" s="404" t="s">
        <v>5501</v>
      </c>
    </row>
    <row r="214" spans="1:11" x14ac:dyDescent="0.25">
      <c r="A214" s="269"/>
      <c r="B214" s="264"/>
      <c r="C214" s="264" t="s">
        <v>309</v>
      </c>
      <c r="D214" s="264" t="s">
        <v>2699</v>
      </c>
      <c r="E214" s="261">
        <v>36613</v>
      </c>
      <c r="F214" s="261">
        <v>36613</v>
      </c>
      <c r="G214" s="264" t="s">
        <v>550</v>
      </c>
      <c r="H214" s="264" t="s">
        <v>487</v>
      </c>
      <c r="I214" s="264" t="s">
        <v>5502</v>
      </c>
      <c r="J214" s="264"/>
      <c r="K214" s="404" t="s">
        <v>5496</v>
      </c>
    </row>
    <row r="215" spans="1:11" x14ac:dyDescent="0.25">
      <c r="A215" s="269"/>
      <c r="B215" s="264"/>
      <c r="C215" s="264" t="s">
        <v>309</v>
      </c>
      <c r="D215" s="264" t="s">
        <v>2703</v>
      </c>
      <c r="E215" s="261">
        <v>36613</v>
      </c>
      <c r="F215" s="261">
        <v>36613</v>
      </c>
      <c r="G215" s="264" t="s">
        <v>480</v>
      </c>
      <c r="H215" s="264" t="s">
        <v>487</v>
      </c>
      <c r="I215" s="264" t="s">
        <v>5502</v>
      </c>
      <c r="J215" s="264"/>
      <c r="K215" s="404" t="s">
        <v>5496</v>
      </c>
    </row>
    <row r="216" spans="1:11" x14ac:dyDescent="0.25">
      <c r="A216" s="269"/>
      <c r="B216" s="264"/>
      <c r="C216" s="264" t="s">
        <v>114</v>
      </c>
      <c r="D216" s="264" t="s">
        <v>3337</v>
      </c>
      <c r="E216" s="261">
        <v>39336</v>
      </c>
      <c r="F216" s="261">
        <v>39336</v>
      </c>
      <c r="G216" s="264" t="s">
        <v>3338</v>
      </c>
      <c r="H216" s="264" t="s">
        <v>3339</v>
      </c>
      <c r="I216" s="264" t="s">
        <v>5503</v>
      </c>
      <c r="J216" s="264" t="s">
        <v>5499</v>
      </c>
      <c r="K216" s="404" t="s">
        <v>5496</v>
      </c>
    </row>
    <row r="217" spans="1:11" x14ac:dyDescent="0.25">
      <c r="A217" s="269"/>
      <c r="B217" s="264"/>
      <c r="C217" s="264" t="s">
        <v>5504</v>
      </c>
      <c r="D217" s="264" t="s">
        <v>3538</v>
      </c>
      <c r="E217" s="261">
        <v>41190</v>
      </c>
      <c r="F217" s="261">
        <v>41190</v>
      </c>
      <c r="G217" s="264" t="s">
        <v>3376</v>
      </c>
      <c r="H217" s="264" t="s">
        <v>5505</v>
      </c>
      <c r="I217" s="264" t="s">
        <v>242</v>
      </c>
      <c r="J217" s="264"/>
      <c r="K217" s="404" t="s">
        <v>5496</v>
      </c>
    </row>
    <row r="218" spans="1:11" x14ac:dyDescent="0.25">
      <c r="A218" s="269"/>
      <c r="B218" s="264"/>
      <c r="C218" s="264" t="s">
        <v>5504</v>
      </c>
      <c r="D218" s="264" t="s">
        <v>3555</v>
      </c>
      <c r="E218" s="261">
        <v>41387</v>
      </c>
      <c r="F218" s="261">
        <v>41387</v>
      </c>
      <c r="G218" s="264" t="s">
        <v>3556</v>
      </c>
      <c r="H218" s="264" t="s">
        <v>3557</v>
      </c>
      <c r="I218" s="264" t="s">
        <v>5506</v>
      </c>
      <c r="J218" s="264"/>
      <c r="K218" s="404" t="s">
        <v>5496</v>
      </c>
    </row>
    <row r="219" spans="1:11" x14ac:dyDescent="0.25">
      <c r="A219" s="269"/>
      <c r="B219" s="264">
        <v>43</v>
      </c>
      <c r="C219" s="264" t="s">
        <v>114</v>
      </c>
      <c r="D219" s="264" t="s">
        <v>3705</v>
      </c>
      <c r="E219" s="261">
        <v>42593</v>
      </c>
      <c r="F219" s="261">
        <v>42593</v>
      </c>
      <c r="G219" s="264" t="s">
        <v>299</v>
      </c>
      <c r="H219" s="264" t="s">
        <v>3706</v>
      </c>
      <c r="I219" s="264" t="s">
        <v>5507</v>
      </c>
      <c r="J219" s="264" t="s">
        <v>5508</v>
      </c>
      <c r="K219" s="404" t="s">
        <v>5509</v>
      </c>
    </row>
    <row r="220" spans="1:11" x14ac:dyDescent="0.25">
      <c r="A220" s="269"/>
      <c r="B220" s="264"/>
      <c r="C220" s="264" t="s">
        <v>82</v>
      </c>
      <c r="D220" s="264" t="s">
        <v>3701</v>
      </c>
      <c r="E220" s="261">
        <v>42593</v>
      </c>
      <c r="F220" s="261">
        <v>42593</v>
      </c>
      <c r="G220" s="264" t="s">
        <v>299</v>
      </c>
      <c r="H220" s="264" t="s">
        <v>3702</v>
      </c>
      <c r="I220" s="264" t="s">
        <v>5510</v>
      </c>
      <c r="J220" s="264" t="s">
        <v>5511</v>
      </c>
      <c r="K220" s="404" t="s">
        <v>5496</v>
      </c>
    </row>
    <row r="221" spans="1:11" x14ac:dyDescent="0.25">
      <c r="A221" s="269"/>
      <c r="B221" s="264"/>
      <c r="C221" s="264" t="s">
        <v>114</v>
      </c>
      <c r="D221" s="264" t="s">
        <v>3717</v>
      </c>
      <c r="E221" s="261">
        <v>42719</v>
      </c>
      <c r="F221" s="261">
        <v>42719</v>
      </c>
      <c r="G221" s="264" t="s">
        <v>3453</v>
      </c>
      <c r="H221" s="264" t="s">
        <v>3454</v>
      </c>
      <c r="I221" s="264" t="s">
        <v>313</v>
      </c>
      <c r="J221" s="264" t="s">
        <v>5499</v>
      </c>
      <c r="K221" s="404" t="s">
        <v>5496</v>
      </c>
    </row>
    <row r="222" spans="1:11" x14ac:dyDescent="0.25">
      <c r="A222" s="269"/>
      <c r="B222" s="264"/>
      <c r="C222" s="264" t="s">
        <v>114</v>
      </c>
      <c r="D222" s="264" t="s">
        <v>3712</v>
      </c>
      <c r="E222" s="261">
        <v>42723</v>
      </c>
      <c r="F222" s="261">
        <v>42723</v>
      </c>
      <c r="G222" s="264" t="s">
        <v>5512</v>
      </c>
      <c r="H222" s="264" t="s">
        <v>3714</v>
      </c>
      <c r="I222" s="264" t="s">
        <v>5506</v>
      </c>
      <c r="J222" s="264" t="s">
        <v>5499</v>
      </c>
      <c r="K222" s="404" t="s">
        <v>5496</v>
      </c>
    </row>
    <row r="223" spans="1:11" x14ac:dyDescent="0.25">
      <c r="A223" s="269"/>
      <c r="B223" s="264"/>
      <c r="C223" s="264" t="s">
        <v>114</v>
      </c>
      <c r="D223" s="264" t="s">
        <v>3719</v>
      </c>
      <c r="E223" s="261">
        <v>42752</v>
      </c>
      <c r="F223" s="261">
        <v>42752</v>
      </c>
      <c r="G223" s="264" t="s">
        <v>5513</v>
      </c>
      <c r="H223" s="264" t="s">
        <v>3721</v>
      </c>
      <c r="I223" s="264" t="s">
        <v>242</v>
      </c>
      <c r="J223" s="264" t="s">
        <v>5499</v>
      </c>
      <c r="K223" s="404" t="s">
        <v>5496</v>
      </c>
    </row>
    <row r="224" spans="1:11" x14ac:dyDescent="0.25">
      <c r="A224" s="269"/>
      <c r="B224" s="264"/>
      <c r="C224" s="264" t="s">
        <v>1623</v>
      </c>
      <c r="D224" s="264" t="s">
        <v>3723</v>
      </c>
      <c r="E224" s="261">
        <v>42858</v>
      </c>
      <c r="F224" s="261">
        <v>42858</v>
      </c>
      <c r="G224" s="264" t="s">
        <v>730</v>
      </c>
      <c r="H224" s="264" t="s">
        <v>3728</v>
      </c>
      <c r="I224" s="264" t="s">
        <v>5514</v>
      </c>
      <c r="J224" s="264" t="s">
        <v>5515</v>
      </c>
      <c r="K224" s="404" t="s">
        <v>5516</v>
      </c>
    </row>
    <row r="225" spans="1:11" x14ac:dyDescent="0.25">
      <c r="A225" s="269"/>
      <c r="B225" s="264"/>
      <c r="C225" s="264" t="s">
        <v>2437</v>
      </c>
      <c r="D225" s="264" t="s">
        <v>3737</v>
      </c>
      <c r="E225" s="261">
        <v>43088</v>
      </c>
      <c r="F225" s="261">
        <v>43088</v>
      </c>
      <c r="G225" s="264" t="s">
        <v>3706</v>
      </c>
      <c r="H225" s="264" t="s">
        <v>5517</v>
      </c>
      <c r="I225" s="264" t="s">
        <v>313</v>
      </c>
      <c r="J225" s="264"/>
      <c r="K225" s="404" t="s">
        <v>5496</v>
      </c>
    </row>
    <row r="226" spans="1:11" x14ac:dyDescent="0.25">
      <c r="A226" s="269"/>
      <c r="B226" s="264">
        <v>47</v>
      </c>
      <c r="C226" s="264" t="s">
        <v>114</v>
      </c>
      <c r="D226" s="264" t="s">
        <v>3740</v>
      </c>
      <c r="E226" s="261">
        <v>43119</v>
      </c>
      <c r="F226" s="261">
        <v>43119</v>
      </c>
      <c r="G226" s="264" t="s">
        <v>3479</v>
      </c>
      <c r="H226" s="264" t="s">
        <v>3634</v>
      </c>
      <c r="I226" s="264" t="s">
        <v>5518</v>
      </c>
      <c r="J226" s="264" t="s">
        <v>5519</v>
      </c>
      <c r="K226" s="404" t="s">
        <v>5520</v>
      </c>
    </row>
    <row r="227" spans="1:11" x14ac:dyDescent="0.25">
      <c r="A227" s="269"/>
      <c r="B227" s="264"/>
      <c r="C227" s="264" t="s">
        <v>5504</v>
      </c>
      <c r="D227" s="264" t="s">
        <v>3747</v>
      </c>
      <c r="E227" s="261">
        <v>43327</v>
      </c>
      <c r="F227" s="261">
        <v>43327</v>
      </c>
      <c r="G227" s="264" t="s">
        <v>5521</v>
      </c>
      <c r="H227" s="264" t="s">
        <v>1110</v>
      </c>
      <c r="I227" s="264" t="s">
        <v>242</v>
      </c>
      <c r="J227" s="264"/>
      <c r="K227" s="404" t="s">
        <v>5496</v>
      </c>
    </row>
    <row r="228" spans="1:11" x14ac:dyDescent="0.25">
      <c r="A228" s="269"/>
      <c r="B228" s="264"/>
      <c r="C228" s="264" t="s">
        <v>82</v>
      </c>
      <c r="D228" s="264" t="s">
        <v>3753</v>
      </c>
      <c r="E228" s="261">
        <v>43382</v>
      </c>
      <c r="F228" s="261">
        <v>43382</v>
      </c>
      <c r="G228" s="264" t="s">
        <v>5522</v>
      </c>
      <c r="H228" s="264" t="s">
        <v>5523</v>
      </c>
      <c r="I228" s="264" t="s">
        <v>4721</v>
      </c>
      <c r="J228" s="264" t="s">
        <v>5524</v>
      </c>
      <c r="K228" s="404" t="s">
        <v>5496</v>
      </c>
    </row>
    <row r="229" spans="1:11" x14ac:dyDescent="0.25">
      <c r="A229" s="269"/>
      <c r="B229" s="264">
        <v>49</v>
      </c>
      <c r="C229" s="264" t="s">
        <v>114</v>
      </c>
      <c r="D229" s="264" t="s">
        <v>3767</v>
      </c>
      <c r="E229" s="261">
        <v>43698</v>
      </c>
      <c r="F229" s="261">
        <v>43698</v>
      </c>
      <c r="G229" s="264" t="s">
        <v>3763</v>
      </c>
      <c r="H229" s="264" t="s">
        <v>3769</v>
      </c>
      <c r="I229" s="264" t="s">
        <v>5525</v>
      </c>
      <c r="J229" s="264" t="s">
        <v>5526</v>
      </c>
      <c r="K229" s="404" t="s">
        <v>5527</v>
      </c>
    </row>
    <row r="230" spans="1:11" x14ac:dyDescent="0.25">
      <c r="A230" s="269"/>
      <c r="B230" s="264"/>
      <c r="C230" s="264" t="s">
        <v>1623</v>
      </c>
      <c r="D230" s="264" t="s">
        <v>3770</v>
      </c>
      <c r="E230" s="261">
        <v>43711</v>
      </c>
      <c r="F230" s="261">
        <v>43711</v>
      </c>
      <c r="G230" s="264" t="s">
        <v>5528</v>
      </c>
      <c r="H230" s="264" t="s">
        <v>3772</v>
      </c>
      <c r="I230" s="264" t="s">
        <v>717</v>
      </c>
      <c r="J230" s="264" t="s">
        <v>5529</v>
      </c>
      <c r="K230" s="404" t="s">
        <v>5516</v>
      </c>
    </row>
    <row r="231" spans="1:11" x14ac:dyDescent="0.25">
      <c r="A231" s="269"/>
      <c r="B231" s="264"/>
      <c r="C231" s="264" t="s">
        <v>114</v>
      </c>
      <c r="D231" s="264" t="s">
        <v>3776</v>
      </c>
      <c r="E231" s="261">
        <v>44060</v>
      </c>
      <c r="F231" s="261">
        <v>44060</v>
      </c>
      <c r="G231" s="264" t="s">
        <v>5530</v>
      </c>
      <c r="H231" s="264" t="s">
        <v>3778</v>
      </c>
      <c r="I231" s="264" t="s">
        <v>313</v>
      </c>
      <c r="J231" s="264" t="s">
        <v>5499</v>
      </c>
      <c r="K231" s="404" t="s">
        <v>5496</v>
      </c>
    </row>
    <row r="232" spans="1:11" x14ac:dyDescent="0.25">
      <c r="A232" s="269"/>
      <c r="B232" s="264"/>
      <c r="C232" s="264" t="s">
        <v>114</v>
      </c>
      <c r="D232" s="264" t="s">
        <v>3792</v>
      </c>
      <c r="E232" s="261">
        <v>44118</v>
      </c>
      <c r="F232" s="261">
        <v>44118</v>
      </c>
      <c r="G232" s="264" t="s">
        <v>5531</v>
      </c>
      <c r="H232" s="264" t="s">
        <v>3794</v>
      </c>
      <c r="I232" s="264" t="s">
        <v>313</v>
      </c>
      <c r="J232" s="264" t="s">
        <v>5499</v>
      </c>
      <c r="K232" s="404" t="s">
        <v>5496</v>
      </c>
    </row>
    <row r="233" spans="1:11" x14ac:dyDescent="0.25">
      <c r="A233" s="269"/>
      <c r="B233" s="264"/>
      <c r="C233" s="264" t="s">
        <v>1623</v>
      </c>
      <c r="D233" s="264" t="s">
        <v>3801</v>
      </c>
      <c r="E233" s="261">
        <v>44144</v>
      </c>
      <c r="F233" s="261">
        <v>44144</v>
      </c>
      <c r="G233" s="264" t="s">
        <v>3802</v>
      </c>
      <c r="H233" s="264" t="s">
        <v>3803</v>
      </c>
      <c r="I233" s="264" t="s">
        <v>5532</v>
      </c>
      <c r="J233" s="264" t="s">
        <v>5533</v>
      </c>
      <c r="K233" s="404" t="s">
        <v>5516</v>
      </c>
    </row>
    <row r="234" spans="1:11" x14ac:dyDescent="0.25">
      <c r="A234" s="269"/>
      <c r="B234" s="264"/>
      <c r="C234" s="264" t="s">
        <v>114</v>
      </c>
      <c r="D234" s="264" t="s">
        <v>3804</v>
      </c>
      <c r="E234" s="261">
        <v>44175</v>
      </c>
      <c r="F234" s="261">
        <v>44175</v>
      </c>
      <c r="G234" s="264" t="s">
        <v>4462</v>
      </c>
      <c r="H234" s="264" t="s">
        <v>4463</v>
      </c>
      <c r="I234" s="264" t="s">
        <v>5534</v>
      </c>
      <c r="J234" s="264" t="s">
        <v>5535</v>
      </c>
      <c r="K234" s="404" t="s">
        <v>5516</v>
      </c>
    </row>
    <row r="235" spans="1:11" x14ac:dyDescent="0.25">
      <c r="A235" s="269"/>
      <c r="B235" s="264"/>
      <c r="C235" s="264" t="s">
        <v>1107</v>
      </c>
      <c r="D235" s="264" t="s">
        <v>3828</v>
      </c>
      <c r="E235" s="261">
        <v>44462</v>
      </c>
      <c r="F235" s="261">
        <v>44462</v>
      </c>
      <c r="G235" s="264" t="s">
        <v>3829</v>
      </c>
      <c r="H235" s="264" t="s">
        <v>1110</v>
      </c>
      <c r="I235" s="264" t="s">
        <v>5536</v>
      </c>
      <c r="J235" s="264" t="s">
        <v>5537</v>
      </c>
      <c r="K235" s="404" t="s">
        <v>5516</v>
      </c>
    </row>
    <row r="236" spans="1:11" x14ac:dyDescent="0.25">
      <c r="A236" s="269"/>
      <c r="B236" s="264"/>
      <c r="C236" s="264" t="s">
        <v>3832</v>
      </c>
      <c r="D236" s="264" t="s">
        <v>3833</v>
      </c>
      <c r="E236" s="261">
        <v>44462</v>
      </c>
      <c r="F236" s="261">
        <v>44462</v>
      </c>
      <c r="G236" s="264" t="s">
        <v>3834</v>
      </c>
      <c r="H236" s="264" t="s">
        <v>5538</v>
      </c>
      <c r="I236" s="264" t="s">
        <v>313</v>
      </c>
      <c r="J236" s="264"/>
      <c r="K236" s="404" t="s">
        <v>5496</v>
      </c>
    </row>
    <row r="237" spans="1:11" x14ac:dyDescent="0.25">
      <c r="A237" s="269"/>
      <c r="B237" s="264"/>
      <c r="C237" s="264" t="s">
        <v>114</v>
      </c>
      <c r="D237" s="264" t="s">
        <v>3838</v>
      </c>
      <c r="E237" s="261">
        <v>44463</v>
      </c>
      <c r="F237" s="261">
        <v>44463</v>
      </c>
      <c r="G237" s="264" t="s">
        <v>5539</v>
      </c>
      <c r="H237" s="264" t="s">
        <v>3794</v>
      </c>
      <c r="I237" s="264" t="s">
        <v>717</v>
      </c>
      <c r="J237" s="264" t="s">
        <v>5499</v>
      </c>
      <c r="K237" s="404" t="s">
        <v>5496</v>
      </c>
    </row>
    <row r="238" spans="1:11" x14ac:dyDescent="0.25">
      <c r="A238" s="269"/>
      <c r="B238" s="264"/>
      <c r="C238" s="264" t="s">
        <v>114</v>
      </c>
      <c r="D238" s="264" t="s">
        <v>3842</v>
      </c>
      <c r="E238" s="261">
        <v>44476</v>
      </c>
      <c r="F238" s="261">
        <v>44476</v>
      </c>
      <c r="G238" s="264" t="s">
        <v>3846</v>
      </c>
      <c r="H238" s="264" t="s">
        <v>5540</v>
      </c>
      <c r="I238" s="264" t="s">
        <v>313</v>
      </c>
      <c r="J238" s="264" t="s">
        <v>5499</v>
      </c>
      <c r="K238" s="404" t="s">
        <v>5496</v>
      </c>
    </row>
    <row r="239" spans="1:11" x14ac:dyDescent="0.25">
      <c r="A239" s="269"/>
      <c r="B239" s="264"/>
      <c r="C239" s="264" t="s">
        <v>1623</v>
      </c>
      <c r="D239" s="264" t="s">
        <v>3848</v>
      </c>
      <c r="E239" s="261">
        <v>44491</v>
      </c>
      <c r="F239" s="261">
        <v>44491</v>
      </c>
      <c r="G239" s="264" t="s">
        <v>5541</v>
      </c>
      <c r="H239" s="264" t="s">
        <v>5542</v>
      </c>
      <c r="I239" s="264" t="s">
        <v>4671</v>
      </c>
      <c r="J239" s="264" t="s">
        <v>5524</v>
      </c>
      <c r="K239" s="404" t="s">
        <v>5496</v>
      </c>
    </row>
    <row r="240" spans="1:11" x14ac:dyDescent="0.25">
      <c r="A240" s="269"/>
      <c r="B240" s="264">
        <v>56</v>
      </c>
      <c r="C240" s="264" t="s">
        <v>3873</v>
      </c>
      <c r="D240" s="264" t="s">
        <v>3874</v>
      </c>
      <c r="E240" s="261">
        <v>45247</v>
      </c>
      <c r="F240" s="261">
        <v>45247</v>
      </c>
      <c r="G240" s="264" t="s">
        <v>3814</v>
      </c>
      <c r="H240" s="264" t="s">
        <v>5543</v>
      </c>
      <c r="I240" s="264" t="s">
        <v>5544</v>
      </c>
      <c r="J240" s="264" t="s">
        <v>5545</v>
      </c>
      <c r="K240" s="404" t="s">
        <v>5483</v>
      </c>
    </row>
    <row r="241" spans="1:11" x14ac:dyDescent="0.25">
      <c r="A241" s="269"/>
      <c r="B241" s="264"/>
      <c r="C241" s="264" t="s">
        <v>3535</v>
      </c>
      <c r="D241" s="264" t="s">
        <v>3878</v>
      </c>
      <c r="E241" s="261">
        <v>45247</v>
      </c>
      <c r="F241" s="261">
        <v>45247</v>
      </c>
      <c r="G241" s="264" t="s">
        <v>5546</v>
      </c>
      <c r="H241" s="264" t="s">
        <v>5547</v>
      </c>
      <c r="I241" s="264" t="s">
        <v>313</v>
      </c>
      <c r="J241" s="264"/>
      <c r="K241" s="404" t="s">
        <v>5496</v>
      </c>
    </row>
    <row r="242" spans="1:11" x14ac:dyDescent="0.25">
      <c r="A242" s="269"/>
      <c r="B242" s="264"/>
      <c r="C242" s="264" t="s">
        <v>3535</v>
      </c>
      <c r="D242" s="264" t="s">
        <v>3882</v>
      </c>
      <c r="E242" s="261">
        <v>45250</v>
      </c>
      <c r="F242" s="261">
        <v>45250</v>
      </c>
      <c r="G242" s="264" t="s">
        <v>3814</v>
      </c>
      <c r="H242" s="264" t="s">
        <v>4085</v>
      </c>
      <c r="I242" s="264" t="s">
        <v>5548</v>
      </c>
      <c r="J242" s="264" t="s">
        <v>5549</v>
      </c>
      <c r="K242" s="404" t="s">
        <v>5516</v>
      </c>
    </row>
    <row r="243" spans="1:11" x14ac:dyDescent="0.25">
      <c r="A243" s="269"/>
      <c r="B243" s="264"/>
      <c r="C243" s="264" t="s">
        <v>114</v>
      </c>
      <c r="D243" s="264" t="s">
        <v>3889</v>
      </c>
      <c r="E243" s="261">
        <v>45401</v>
      </c>
      <c r="F243" s="261">
        <v>45401</v>
      </c>
      <c r="G243" s="264" t="s">
        <v>896</v>
      </c>
      <c r="H243" s="264" t="s">
        <v>3890</v>
      </c>
      <c r="I243" s="264" t="s">
        <v>313</v>
      </c>
      <c r="J243" s="264" t="s">
        <v>5499</v>
      </c>
      <c r="K243" s="404" t="s">
        <v>5496</v>
      </c>
    </row>
    <row r="244" spans="1:11" x14ac:dyDescent="0.25">
      <c r="A244" s="269"/>
      <c r="B244" s="264"/>
      <c r="C244" s="264" t="s">
        <v>114</v>
      </c>
      <c r="D244" s="264" t="s">
        <v>3892</v>
      </c>
      <c r="E244" s="261">
        <v>45432</v>
      </c>
      <c r="F244" s="261">
        <v>45432</v>
      </c>
      <c r="G244" s="264" t="s">
        <v>896</v>
      </c>
      <c r="H244" s="264" t="s">
        <v>5550</v>
      </c>
      <c r="I244" s="264" t="s">
        <v>242</v>
      </c>
      <c r="J244" s="264" t="s">
        <v>5499</v>
      </c>
      <c r="K244" s="404" t="s">
        <v>5496</v>
      </c>
    </row>
    <row r="245" spans="1:11" x14ac:dyDescent="0.25">
      <c r="A245" s="269"/>
      <c r="B245" s="264">
        <v>59</v>
      </c>
      <c r="C245" s="264" t="s">
        <v>114</v>
      </c>
      <c r="D245" s="264" t="s">
        <v>3895</v>
      </c>
      <c r="E245" s="261">
        <v>45509</v>
      </c>
      <c r="F245" s="261">
        <v>45509</v>
      </c>
      <c r="G245" s="264" t="s">
        <v>3864</v>
      </c>
      <c r="H245" s="264" t="s">
        <v>3898</v>
      </c>
      <c r="I245" s="264" t="s">
        <v>313</v>
      </c>
      <c r="J245" s="264" t="s">
        <v>5551</v>
      </c>
      <c r="K245" s="404" t="s">
        <v>5483</v>
      </c>
    </row>
    <row r="246" spans="1:11" x14ac:dyDescent="0.25">
      <c r="A246" s="269"/>
      <c r="B246" s="264"/>
      <c r="C246" s="264" t="s">
        <v>2437</v>
      </c>
      <c r="D246" s="264" t="s">
        <v>3900</v>
      </c>
      <c r="E246" s="261">
        <v>45614</v>
      </c>
      <c r="F246" s="261">
        <v>45614</v>
      </c>
      <c r="G246" s="264" t="s">
        <v>3901</v>
      </c>
      <c r="H246" s="264" t="s">
        <v>5552</v>
      </c>
      <c r="I246" s="264" t="s">
        <v>313</v>
      </c>
      <c r="J246" s="264"/>
      <c r="K246" s="404" t="s">
        <v>5496</v>
      </c>
    </row>
    <row r="247" spans="1:11" x14ac:dyDescent="0.25">
      <c r="A247" s="269"/>
      <c r="B247" s="264"/>
      <c r="C247" s="264" t="s">
        <v>1410</v>
      </c>
      <c r="D247" s="264" t="s">
        <v>3904</v>
      </c>
      <c r="E247" s="261">
        <v>45614</v>
      </c>
      <c r="F247" s="261">
        <v>45614</v>
      </c>
      <c r="G247" s="264" t="s">
        <v>5553</v>
      </c>
      <c r="H247" s="264" t="s">
        <v>1110</v>
      </c>
      <c r="I247" s="264" t="s">
        <v>313</v>
      </c>
      <c r="J247" s="264"/>
      <c r="K247" s="404" t="s">
        <v>5496</v>
      </c>
    </row>
    <row r="248" spans="1:11" x14ac:dyDescent="0.25">
      <c r="A248" s="269"/>
      <c r="B248" s="264"/>
      <c r="C248" s="264" t="s">
        <v>1623</v>
      </c>
      <c r="D248" s="264" t="s">
        <v>3907</v>
      </c>
      <c r="E248" s="261">
        <v>45621</v>
      </c>
      <c r="F248" s="261">
        <v>45621</v>
      </c>
      <c r="G248" s="264" t="s">
        <v>482</v>
      </c>
      <c r="H248" s="264" t="s">
        <v>5554</v>
      </c>
      <c r="I248" s="264" t="s">
        <v>5555</v>
      </c>
      <c r="J248" s="264" t="s">
        <v>5524</v>
      </c>
      <c r="K248" s="404" t="s">
        <v>5496</v>
      </c>
    </row>
    <row r="249" spans="1:11" x14ac:dyDescent="0.25">
      <c r="A249" s="269"/>
      <c r="B249" s="264"/>
      <c r="C249" s="264" t="s">
        <v>114</v>
      </c>
      <c r="D249" s="264" t="s">
        <v>3913</v>
      </c>
      <c r="E249" s="261">
        <v>45642</v>
      </c>
      <c r="F249" s="261">
        <v>45642</v>
      </c>
      <c r="G249" s="264" t="s">
        <v>5556</v>
      </c>
      <c r="H249" s="264" t="s">
        <v>3915</v>
      </c>
      <c r="I249" s="264" t="s">
        <v>308</v>
      </c>
      <c r="J249" s="264" t="s">
        <v>5499</v>
      </c>
      <c r="K249" s="404" t="s">
        <v>5496</v>
      </c>
    </row>
    <row r="250" spans="1:11" x14ac:dyDescent="0.25">
      <c r="A250" s="269"/>
      <c r="B250" s="264"/>
      <c r="C250" s="264" t="s">
        <v>2441</v>
      </c>
      <c r="D250" s="264" t="s">
        <v>3920</v>
      </c>
      <c r="E250" s="261">
        <v>45672</v>
      </c>
      <c r="F250" s="261">
        <v>45672</v>
      </c>
      <c r="G250" s="264" t="s">
        <v>5539</v>
      </c>
      <c r="H250" s="264" t="s">
        <v>3794</v>
      </c>
      <c r="I250" s="264" t="s">
        <v>313</v>
      </c>
      <c r="J250" s="264"/>
      <c r="K250" s="404" t="s">
        <v>5496</v>
      </c>
    </row>
    <row r="251" spans="1:11" x14ac:dyDescent="0.25">
      <c r="A251" s="269"/>
      <c r="B251" s="264"/>
      <c r="C251" s="264" t="s">
        <v>1623</v>
      </c>
      <c r="D251" s="264" t="s">
        <v>3933</v>
      </c>
      <c r="E251" s="261">
        <v>45771</v>
      </c>
      <c r="F251" s="261">
        <v>45771</v>
      </c>
      <c r="G251" s="264" t="s">
        <v>3936</v>
      </c>
      <c r="H251" s="264" t="s">
        <v>3934</v>
      </c>
      <c r="I251" s="264" t="s">
        <v>5557</v>
      </c>
      <c r="J251" s="264" t="s">
        <v>5558</v>
      </c>
      <c r="K251" s="404" t="s">
        <v>5516</v>
      </c>
    </row>
    <row r="252" spans="1:11" x14ac:dyDescent="0.25">
      <c r="A252" s="269"/>
      <c r="B252" s="264"/>
      <c r="C252" s="264" t="s">
        <v>1623</v>
      </c>
      <c r="D252" s="264" t="s">
        <v>3930</v>
      </c>
      <c r="E252" s="261">
        <v>45771</v>
      </c>
      <c r="F252" s="261">
        <v>45771</v>
      </c>
      <c r="G252" s="264" t="s">
        <v>3936</v>
      </c>
      <c r="H252" s="264" t="s">
        <v>5559</v>
      </c>
      <c r="I252" s="264" t="s">
        <v>5557</v>
      </c>
      <c r="J252" s="264" t="s">
        <v>5560</v>
      </c>
      <c r="K252" s="404" t="s">
        <v>5516</v>
      </c>
    </row>
    <row r="253" spans="1:11" x14ac:dyDescent="0.25">
      <c r="A253" s="269"/>
      <c r="B253" s="264"/>
      <c r="C253" s="264" t="s">
        <v>1107</v>
      </c>
      <c r="D253" s="264" t="s">
        <v>3939</v>
      </c>
      <c r="E253" s="261">
        <v>45792</v>
      </c>
      <c r="F253" s="261">
        <v>45792</v>
      </c>
      <c r="G253" s="264" t="s">
        <v>3940</v>
      </c>
      <c r="H253" s="264" t="s">
        <v>5561</v>
      </c>
      <c r="I253" s="264" t="s">
        <v>313</v>
      </c>
      <c r="J253" s="264" t="s">
        <v>5562</v>
      </c>
      <c r="K253" s="404" t="s">
        <v>5496</v>
      </c>
    </row>
    <row r="254" spans="1:11" x14ac:dyDescent="0.25">
      <c r="A254" s="269"/>
      <c r="B254" s="264"/>
      <c r="C254" s="264" t="s">
        <v>5504</v>
      </c>
      <c r="D254" s="264" t="s">
        <v>3954</v>
      </c>
      <c r="E254" s="261">
        <v>45954</v>
      </c>
      <c r="F254" s="261">
        <v>45954</v>
      </c>
      <c r="G254" s="264" t="s">
        <v>5563</v>
      </c>
      <c r="H254" s="264" t="s">
        <v>5564</v>
      </c>
      <c r="I254" s="264" t="s">
        <v>313</v>
      </c>
      <c r="J254" s="264"/>
      <c r="K254" s="404" t="s">
        <v>5496</v>
      </c>
    </row>
    <row r="255" spans="1:11" x14ac:dyDescent="0.25">
      <c r="A255" s="269"/>
      <c r="B255" s="264">
        <v>63</v>
      </c>
      <c r="C255" s="264" t="s">
        <v>3873</v>
      </c>
      <c r="D255" s="264" t="s">
        <v>3958</v>
      </c>
      <c r="E255" s="261">
        <v>45975</v>
      </c>
      <c r="F255" s="261">
        <v>45975</v>
      </c>
      <c r="G255" s="264" t="s">
        <v>3959</v>
      </c>
      <c r="H255" s="264" t="s">
        <v>3960</v>
      </c>
      <c r="I255" s="264" t="s">
        <v>313</v>
      </c>
      <c r="J255" s="264" t="s">
        <v>5565</v>
      </c>
      <c r="K255" s="404" t="s">
        <v>5483</v>
      </c>
    </row>
    <row r="256" spans="1:11" x14ac:dyDescent="0.25">
      <c r="A256" s="269"/>
      <c r="B256" s="264"/>
      <c r="C256" s="264" t="s">
        <v>2441</v>
      </c>
      <c r="D256" s="264" t="s">
        <v>3962</v>
      </c>
      <c r="E256" s="261">
        <v>46052</v>
      </c>
      <c r="F256" s="261">
        <v>46052</v>
      </c>
      <c r="G256" s="264" t="s">
        <v>5563</v>
      </c>
      <c r="H256" s="264" t="s">
        <v>1110</v>
      </c>
      <c r="I256" s="264" t="s">
        <v>313</v>
      </c>
      <c r="J256" s="264"/>
      <c r="K256" s="404" t="s">
        <v>5496</v>
      </c>
    </row>
    <row r="257" spans="1:11" x14ac:dyDescent="0.25">
      <c r="A257" s="269"/>
      <c r="B257" s="264"/>
      <c r="C257" s="264" t="s">
        <v>1107</v>
      </c>
      <c r="D257" s="264" t="s">
        <v>3975</v>
      </c>
      <c r="E257" s="261">
        <v>46119</v>
      </c>
      <c r="F257" s="261">
        <v>46119</v>
      </c>
      <c r="G257" s="264" t="s">
        <v>5566</v>
      </c>
      <c r="H257" s="264" t="s">
        <v>1110</v>
      </c>
      <c r="I257" s="264" t="s">
        <v>313</v>
      </c>
      <c r="J257" s="264" t="s">
        <v>5562</v>
      </c>
      <c r="K257" s="404" t="s">
        <v>5496</v>
      </c>
    </row>
    <row r="258" spans="1:11" x14ac:dyDescent="0.25">
      <c r="A258" s="269"/>
      <c r="B258" s="264"/>
      <c r="C258" s="264" t="s">
        <v>1107</v>
      </c>
      <c r="D258" s="264" t="s">
        <v>3978</v>
      </c>
      <c r="E258" s="261">
        <v>46119</v>
      </c>
      <c r="F258" s="261">
        <v>46119</v>
      </c>
      <c r="G258" s="264" t="s">
        <v>5567</v>
      </c>
      <c r="H258" s="264" t="s">
        <v>1110</v>
      </c>
      <c r="I258" s="264" t="s">
        <v>313</v>
      </c>
      <c r="J258" s="264" t="s">
        <v>5562</v>
      </c>
      <c r="K258" s="404" t="s">
        <v>5496</v>
      </c>
    </row>
    <row r="259" spans="1:11" x14ac:dyDescent="0.25">
      <c r="A259" s="269"/>
      <c r="B259" s="264"/>
      <c r="C259" s="264" t="s">
        <v>309</v>
      </c>
      <c r="D259" s="264" t="s">
        <v>3989</v>
      </c>
      <c r="E259" s="261">
        <v>46122</v>
      </c>
      <c r="F259" s="261">
        <v>46122</v>
      </c>
      <c r="G259" s="264" t="s">
        <v>953</v>
      </c>
      <c r="H259" s="264" t="s">
        <v>733</v>
      </c>
      <c r="I259" s="264" t="s">
        <v>4660</v>
      </c>
      <c r="J259" s="264"/>
      <c r="K259" s="404" t="s">
        <v>5496</v>
      </c>
    </row>
    <row r="260" spans="1:11" x14ac:dyDescent="0.25">
      <c r="A260" s="269"/>
      <c r="B260" s="264"/>
      <c r="C260" s="264" t="s">
        <v>309</v>
      </c>
      <c r="D260" s="264" t="s">
        <v>3983</v>
      </c>
      <c r="E260" s="261">
        <v>46122</v>
      </c>
      <c r="F260" s="261">
        <v>46122</v>
      </c>
      <c r="G260" s="264" t="s">
        <v>5568</v>
      </c>
      <c r="H260" s="264" t="s">
        <v>733</v>
      </c>
      <c r="I260" s="264" t="s">
        <v>4620</v>
      </c>
      <c r="J260" s="264"/>
      <c r="K260" s="404" t="s">
        <v>5496</v>
      </c>
    </row>
    <row r="261" spans="1:11" x14ac:dyDescent="0.25">
      <c r="A261" s="269"/>
      <c r="B261" s="264"/>
      <c r="C261" s="264" t="s">
        <v>309</v>
      </c>
      <c r="D261" s="264" t="s">
        <v>3986</v>
      </c>
      <c r="E261" s="261">
        <v>46122</v>
      </c>
      <c r="F261" s="261">
        <v>46122</v>
      </c>
      <c r="G261" s="264" t="s">
        <v>5569</v>
      </c>
      <c r="H261" s="264" t="s">
        <v>733</v>
      </c>
      <c r="I261" s="264" t="s">
        <v>4660</v>
      </c>
      <c r="J261" s="264"/>
      <c r="K261" s="404" t="s">
        <v>5496</v>
      </c>
    </row>
    <row r="262" spans="1:11" x14ac:dyDescent="0.25">
      <c r="A262" s="269"/>
      <c r="B262" s="264"/>
      <c r="C262" s="264" t="s">
        <v>3379</v>
      </c>
      <c r="D262" s="264" t="s">
        <v>3996</v>
      </c>
      <c r="E262" s="261">
        <v>46143</v>
      </c>
      <c r="F262" s="261">
        <v>46143</v>
      </c>
      <c r="G262" s="264" t="s">
        <v>5570</v>
      </c>
      <c r="H262" s="264" t="s">
        <v>5571</v>
      </c>
      <c r="I262" s="264" t="s">
        <v>308</v>
      </c>
      <c r="J262" s="264" t="s">
        <v>5562</v>
      </c>
      <c r="K262" s="404" t="s">
        <v>5496</v>
      </c>
    </row>
    <row r="263" spans="1:11" x14ac:dyDescent="0.25">
      <c r="A263" s="269"/>
      <c r="B263" s="264"/>
      <c r="C263" s="264" t="s">
        <v>309</v>
      </c>
      <c r="D263" s="264" t="s">
        <v>4002</v>
      </c>
      <c r="E263" s="261">
        <v>46143</v>
      </c>
      <c r="F263" s="261">
        <v>46143</v>
      </c>
      <c r="G263" s="264" t="s">
        <v>952</v>
      </c>
      <c r="H263" s="264" t="s">
        <v>733</v>
      </c>
      <c r="I263" s="264" t="s">
        <v>5572</v>
      </c>
      <c r="J263" s="264"/>
      <c r="K263" s="404" t="s">
        <v>5496</v>
      </c>
    </row>
    <row r="264" spans="1:11" x14ac:dyDescent="0.25">
      <c r="A264" s="269"/>
      <c r="B264" s="264"/>
      <c r="C264" s="264" t="s">
        <v>309</v>
      </c>
      <c r="D264" s="264" t="s">
        <v>4004</v>
      </c>
      <c r="E264" s="261">
        <v>46143</v>
      </c>
      <c r="F264" s="261">
        <v>46143</v>
      </c>
      <c r="G264" s="264" t="s">
        <v>23</v>
      </c>
      <c r="H264" s="264" t="s">
        <v>733</v>
      </c>
      <c r="I264" s="264" t="s">
        <v>5573</v>
      </c>
      <c r="J264" s="264" t="s">
        <v>5574</v>
      </c>
      <c r="K264" s="404" t="s">
        <v>5516</v>
      </c>
    </row>
    <row r="265" spans="1:11" x14ac:dyDescent="0.25">
      <c r="A265" s="269"/>
      <c r="B265" s="264"/>
      <c r="C265" s="264" t="s">
        <v>1107</v>
      </c>
      <c r="D265" s="264" t="s">
        <v>4000</v>
      </c>
      <c r="E265" s="261">
        <v>46143</v>
      </c>
      <c r="F265" s="261">
        <v>46143</v>
      </c>
      <c r="G265" s="264" t="s">
        <v>952</v>
      </c>
      <c r="H265" s="264" t="s">
        <v>1110</v>
      </c>
      <c r="I265" s="264" t="s">
        <v>4660</v>
      </c>
      <c r="J265" s="264" t="s">
        <v>5562</v>
      </c>
      <c r="K265" s="404" t="s">
        <v>5496</v>
      </c>
    </row>
    <row r="266" spans="1:11" x14ac:dyDescent="0.25">
      <c r="A266" s="269"/>
      <c r="B266" s="264"/>
      <c r="C266" s="264" t="s">
        <v>3873</v>
      </c>
      <c r="D266" s="264" t="s">
        <v>4013</v>
      </c>
      <c r="E266" s="261">
        <v>46146</v>
      </c>
      <c r="F266" s="261">
        <v>46146</v>
      </c>
      <c r="G266" s="264" t="s">
        <v>4636</v>
      </c>
      <c r="H266" s="264" t="s">
        <v>5575</v>
      </c>
      <c r="I266" s="264" t="s">
        <v>5576</v>
      </c>
      <c r="J266" s="264" t="s">
        <v>5499</v>
      </c>
      <c r="K266" s="404" t="s">
        <v>5496</v>
      </c>
    </row>
    <row r="267" spans="1:11" x14ac:dyDescent="0.25">
      <c r="A267" s="269"/>
      <c r="B267" s="264"/>
      <c r="C267" s="264" t="s">
        <v>1274</v>
      </c>
      <c r="D267" s="264" t="s">
        <v>4019</v>
      </c>
      <c r="E267" s="261">
        <v>46160</v>
      </c>
      <c r="F267" s="261">
        <v>46160</v>
      </c>
      <c r="G267" s="264" t="s">
        <v>4020</v>
      </c>
      <c r="H267" s="264" t="s">
        <v>1110</v>
      </c>
      <c r="I267" s="264" t="s">
        <v>5577</v>
      </c>
      <c r="J267" s="264" t="s">
        <v>5578</v>
      </c>
      <c r="K267" s="404" t="s">
        <v>5516</v>
      </c>
    </row>
    <row r="268" spans="1:11" x14ac:dyDescent="0.25">
      <c r="A268" s="269"/>
      <c r="B268" s="264"/>
      <c r="C268" s="264" t="s">
        <v>3379</v>
      </c>
      <c r="D268" s="264" t="s">
        <v>4027</v>
      </c>
      <c r="E268" s="261">
        <v>46170</v>
      </c>
      <c r="F268" s="261">
        <v>46170</v>
      </c>
      <c r="G268" s="264" t="s">
        <v>482</v>
      </c>
      <c r="H268" s="264" t="s">
        <v>5579</v>
      </c>
      <c r="I268" s="264" t="s">
        <v>308</v>
      </c>
      <c r="J268" s="264" t="s">
        <v>5580</v>
      </c>
      <c r="K268" s="404" t="s">
        <v>5516</v>
      </c>
    </row>
    <row r="269" spans="1:11" x14ac:dyDescent="0.25">
      <c r="A269" s="269"/>
      <c r="B269" s="264"/>
      <c r="C269" s="264" t="s">
        <v>3379</v>
      </c>
      <c r="D269" s="264" t="s">
        <v>4025</v>
      </c>
      <c r="E269" s="261">
        <v>46170</v>
      </c>
      <c r="F269" s="261">
        <v>46170</v>
      </c>
      <c r="G269" s="264" t="s">
        <v>482</v>
      </c>
      <c r="H269" s="264" t="s">
        <v>5581</v>
      </c>
      <c r="I269" s="264" t="s">
        <v>308</v>
      </c>
      <c r="J269" s="264" t="s">
        <v>5582</v>
      </c>
      <c r="K269" s="404" t="s">
        <v>5516</v>
      </c>
    </row>
    <row r="270" spans="1:11" x14ac:dyDescent="0.25">
      <c r="A270" s="269"/>
      <c r="B270" s="264"/>
      <c r="C270" s="264" t="s">
        <v>309</v>
      </c>
      <c r="D270" s="264" t="s">
        <v>4031</v>
      </c>
      <c r="E270" s="261">
        <v>46170</v>
      </c>
      <c r="F270" s="261">
        <v>46170</v>
      </c>
      <c r="G270" s="264" t="s">
        <v>5583</v>
      </c>
      <c r="H270" s="264" t="s">
        <v>733</v>
      </c>
      <c r="I270" s="264" t="s">
        <v>4620</v>
      </c>
      <c r="J270" s="264"/>
      <c r="K270" s="404" t="s">
        <v>5496</v>
      </c>
    </row>
    <row r="271" spans="1:11" x14ac:dyDescent="0.25">
      <c r="A271" s="269"/>
      <c r="B271" s="264"/>
      <c r="C271" s="264" t="s">
        <v>1107</v>
      </c>
      <c r="D271" s="264" t="s">
        <v>4029</v>
      </c>
      <c r="E271" s="261">
        <v>46170</v>
      </c>
      <c r="F271" s="261">
        <v>46170</v>
      </c>
      <c r="G271" s="264" t="s">
        <v>5584</v>
      </c>
      <c r="H271" s="264" t="s">
        <v>1110</v>
      </c>
      <c r="I271" s="264" t="s">
        <v>4620</v>
      </c>
      <c r="J271" s="264" t="s">
        <v>5585</v>
      </c>
      <c r="K271" s="404" t="s">
        <v>5516</v>
      </c>
    </row>
    <row r="272" spans="1:11" x14ac:dyDescent="0.25">
      <c r="A272" s="269"/>
      <c r="B272" s="264"/>
      <c r="C272" s="264" t="s">
        <v>1274</v>
      </c>
      <c r="D272" s="264" t="s">
        <v>175</v>
      </c>
      <c r="E272" s="261">
        <v>46178</v>
      </c>
      <c r="F272" s="261">
        <v>46178</v>
      </c>
      <c r="G272" s="264" t="s">
        <v>4042</v>
      </c>
      <c r="H272" s="264" t="s">
        <v>1110</v>
      </c>
      <c r="I272" s="264" t="s">
        <v>5586</v>
      </c>
      <c r="J272" s="264" t="s">
        <v>5587</v>
      </c>
      <c r="K272" s="404" t="s">
        <v>5516</v>
      </c>
    </row>
    <row r="273" spans="1:11" x14ac:dyDescent="0.25">
      <c r="A273" s="269"/>
      <c r="B273" s="264"/>
      <c r="C273" s="264" t="s">
        <v>3730</v>
      </c>
      <c r="D273" s="264" t="s">
        <v>5588</v>
      </c>
      <c r="E273" s="261"/>
      <c r="F273" s="261">
        <v>42930</v>
      </c>
      <c r="G273" s="264" t="s">
        <v>3732</v>
      </c>
      <c r="H273" s="264" t="s">
        <v>1110</v>
      </c>
      <c r="I273" s="264" t="s">
        <v>5589</v>
      </c>
      <c r="J273" s="264"/>
      <c r="K273" s="404" t="s">
        <v>5590</v>
      </c>
    </row>
    <row r="274" spans="1:11" x14ac:dyDescent="0.25">
      <c r="A274" s="269"/>
      <c r="B274" s="264"/>
      <c r="C274" s="264" t="s">
        <v>4059</v>
      </c>
      <c r="D274" s="264" t="s">
        <v>4060</v>
      </c>
      <c r="E274" s="261"/>
      <c r="F274" s="261">
        <v>43353</v>
      </c>
      <c r="G274" s="264" t="s">
        <v>4061</v>
      </c>
      <c r="H274" s="264" t="s">
        <v>3509</v>
      </c>
      <c r="I274" s="264" t="s">
        <v>5591</v>
      </c>
      <c r="J274" s="264"/>
      <c r="K274" s="404" t="s">
        <v>5590</v>
      </c>
    </row>
    <row r="275" spans="1:11" x14ac:dyDescent="0.25">
      <c r="A275" s="269"/>
      <c r="B275" s="264"/>
      <c r="C275" s="264" t="s">
        <v>4059</v>
      </c>
      <c r="D275" s="264" t="s">
        <v>5592</v>
      </c>
      <c r="E275" s="261"/>
      <c r="F275" s="261">
        <v>43679</v>
      </c>
      <c r="G275" s="264" t="s">
        <v>4214</v>
      </c>
      <c r="H275" s="264" t="s">
        <v>5593</v>
      </c>
      <c r="I275" s="264" t="s">
        <v>5594</v>
      </c>
      <c r="J275" s="264"/>
      <c r="K275" s="404" t="s">
        <v>5590</v>
      </c>
    </row>
    <row r="276" spans="1:11" x14ac:dyDescent="0.25">
      <c r="A276" s="269"/>
      <c r="B276" s="264"/>
      <c r="C276" s="264" t="s">
        <v>4045</v>
      </c>
      <c r="D276" s="264" t="s">
        <v>5595</v>
      </c>
      <c r="E276" s="261"/>
      <c r="F276" s="261">
        <v>43754</v>
      </c>
      <c r="G276" s="264" t="s">
        <v>5596</v>
      </c>
      <c r="H276" s="264" t="s">
        <v>5597</v>
      </c>
      <c r="I276" s="264" t="s">
        <v>5598</v>
      </c>
      <c r="J276" s="264"/>
      <c r="K276" s="404" t="s">
        <v>5590</v>
      </c>
    </row>
    <row r="277" spans="1:11" x14ac:dyDescent="0.25">
      <c r="A277" s="269"/>
      <c r="B277" s="264"/>
      <c r="C277" s="264" t="s">
        <v>4067</v>
      </c>
      <c r="D277" s="264" t="s">
        <v>4068</v>
      </c>
      <c r="E277" s="261"/>
      <c r="F277" s="261">
        <v>43759</v>
      </c>
      <c r="G277" s="264" t="s">
        <v>4069</v>
      </c>
      <c r="H277" s="264" t="s">
        <v>3376</v>
      </c>
      <c r="I277" s="264" t="s">
        <v>5599</v>
      </c>
      <c r="J277" s="264"/>
      <c r="K277" s="404" t="s">
        <v>5590</v>
      </c>
    </row>
    <row r="278" spans="1:11" x14ac:dyDescent="0.25">
      <c r="A278" s="269"/>
      <c r="B278" s="264"/>
      <c r="C278" s="264" t="s">
        <v>4059</v>
      </c>
      <c r="D278" s="264" t="s">
        <v>4065</v>
      </c>
      <c r="E278" s="261"/>
      <c r="F278" s="261">
        <v>43759</v>
      </c>
      <c r="G278" s="264" t="s">
        <v>4066</v>
      </c>
      <c r="H278" s="264" t="s">
        <v>3376</v>
      </c>
      <c r="I278" s="264" t="s">
        <v>5600</v>
      </c>
      <c r="J278" s="264"/>
      <c r="K278" s="404" t="s">
        <v>5590</v>
      </c>
    </row>
    <row r="279" spans="1:11" x14ac:dyDescent="0.25">
      <c r="A279" s="269"/>
      <c r="B279" s="264"/>
      <c r="C279" s="264" t="s">
        <v>4050</v>
      </c>
      <c r="D279" s="264" t="s">
        <v>4073</v>
      </c>
      <c r="E279" s="261"/>
      <c r="F279" s="261">
        <v>43802</v>
      </c>
      <c r="G279" s="264" t="s">
        <v>4074</v>
      </c>
      <c r="H279" s="264" t="s">
        <v>4075</v>
      </c>
      <c r="I279" s="264" t="s">
        <v>4135</v>
      </c>
      <c r="J279" s="264"/>
      <c r="K279" s="404" t="s">
        <v>5590</v>
      </c>
    </row>
    <row r="280" spans="1:11" x14ac:dyDescent="0.25">
      <c r="A280" s="269"/>
      <c r="B280" s="264"/>
      <c r="C280" s="264" t="s">
        <v>4067</v>
      </c>
      <c r="D280" s="264" t="s">
        <v>4070</v>
      </c>
      <c r="E280" s="261"/>
      <c r="F280" s="261">
        <v>43802</v>
      </c>
      <c r="G280" s="264" t="s">
        <v>4071</v>
      </c>
      <c r="H280" s="264" t="s">
        <v>4072</v>
      </c>
      <c r="I280" s="264" t="s">
        <v>4135</v>
      </c>
      <c r="J280" s="264"/>
      <c r="K280" s="404" t="s">
        <v>5590</v>
      </c>
    </row>
    <row r="281" spans="1:11" x14ac:dyDescent="0.25">
      <c r="A281" s="269"/>
      <c r="B281" s="264"/>
      <c r="C281" s="264" t="s">
        <v>4062</v>
      </c>
      <c r="D281" s="264" t="s">
        <v>4076</v>
      </c>
      <c r="E281" s="261"/>
      <c r="F281" s="261">
        <v>43802</v>
      </c>
      <c r="G281" s="264" t="s">
        <v>4077</v>
      </c>
      <c r="H281" s="264" t="s">
        <v>4071</v>
      </c>
      <c r="I281" s="264" t="s">
        <v>5591</v>
      </c>
      <c r="J281" s="264"/>
      <c r="K281" s="404" t="s">
        <v>5590</v>
      </c>
    </row>
    <row r="282" spans="1:11" x14ac:dyDescent="0.25">
      <c r="A282" s="269"/>
      <c r="B282" s="264"/>
      <c r="C282" s="264" t="s">
        <v>4062</v>
      </c>
      <c r="D282" s="264" t="s">
        <v>4078</v>
      </c>
      <c r="E282" s="261"/>
      <c r="F282" s="261">
        <v>44060</v>
      </c>
      <c r="G282" s="264" t="s">
        <v>3376</v>
      </c>
      <c r="H282" s="264" t="s">
        <v>4079</v>
      </c>
      <c r="I282" s="264" t="s">
        <v>5601</v>
      </c>
      <c r="J282" s="264"/>
      <c r="K282" s="404" t="s">
        <v>5590</v>
      </c>
    </row>
    <row r="283" spans="1:11" x14ac:dyDescent="0.25">
      <c r="A283" s="269"/>
      <c r="B283" s="264"/>
      <c r="C283" s="264" t="s">
        <v>4050</v>
      </c>
      <c r="D283" s="264" t="s">
        <v>4080</v>
      </c>
      <c r="E283" s="261"/>
      <c r="F283" s="261">
        <v>44060</v>
      </c>
      <c r="G283" s="264" t="s">
        <v>3778</v>
      </c>
      <c r="H283" s="264" t="s">
        <v>4081</v>
      </c>
      <c r="I283" s="264" t="s">
        <v>5602</v>
      </c>
      <c r="J283" s="264"/>
      <c r="K283" s="404" t="s">
        <v>5590</v>
      </c>
    </row>
    <row r="284" spans="1:11" x14ac:dyDescent="0.25">
      <c r="A284" s="269"/>
      <c r="B284" s="264"/>
      <c r="C284" s="264" t="s">
        <v>4067</v>
      </c>
      <c r="D284" s="264" t="s">
        <v>4082</v>
      </c>
      <c r="E284" s="261"/>
      <c r="F284" s="261">
        <v>44060</v>
      </c>
      <c r="G284" s="264" t="s">
        <v>3778</v>
      </c>
      <c r="H284" s="264" t="s">
        <v>4081</v>
      </c>
      <c r="I284" s="264" t="s">
        <v>5602</v>
      </c>
      <c r="J284" s="264"/>
      <c r="K284" s="404" t="s">
        <v>5590</v>
      </c>
    </row>
    <row r="285" spans="1:11" x14ac:dyDescent="0.25">
      <c r="A285" s="269"/>
      <c r="B285" s="264"/>
      <c r="C285" s="264" t="s">
        <v>4083</v>
      </c>
      <c r="D285" s="264" t="s">
        <v>4084</v>
      </c>
      <c r="E285" s="261"/>
      <c r="F285" s="261">
        <v>44126</v>
      </c>
      <c r="G285" s="264" t="s">
        <v>4085</v>
      </c>
      <c r="H285" s="264" t="s">
        <v>3706</v>
      </c>
      <c r="I285" s="264" t="s">
        <v>4135</v>
      </c>
      <c r="J285" s="264"/>
      <c r="K285" s="404" t="s">
        <v>5590</v>
      </c>
    </row>
    <row r="286" spans="1:11" x14ac:dyDescent="0.25">
      <c r="A286" s="269"/>
      <c r="B286" s="264"/>
      <c r="C286" s="264" t="s">
        <v>4062</v>
      </c>
      <c r="D286" s="264" t="s">
        <v>4087</v>
      </c>
      <c r="E286" s="261"/>
      <c r="F286" s="261">
        <v>44272</v>
      </c>
      <c r="G286" s="264" t="s">
        <v>4085</v>
      </c>
      <c r="H286" s="264" t="s">
        <v>4088</v>
      </c>
      <c r="I286" s="264" t="s">
        <v>5603</v>
      </c>
      <c r="J286" s="264"/>
      <c r="K286" s="404" t="s">
        <v>5590</v>
      </c>
    </row>
    <row r="287" spans="1:11" x14ac:dyDescent="0.25">
      <c r="A287" s="269"/>
      <c r="B287" s="264"/>
      <c r="C287" s="264" t="s">
        <v>4083</v>
      </c>
      <c r="D287" s="264" t="s">
        <v>4086</v>
      </c>
      <c r="E287" s="261"/>
      <c r="F287" s="261">
        <v>44312</v>
      </c>
      <c r="G287" s="264" t="s">
        <v>4072</v>
      </c>
      <c r="H287" s="264" t="s">
        <v>3672</v>
      </c>
      <c r="I287" s="264" t="s">
        <v>5604</v>
      </c>
      <c r="J287" s="264"/>
      <c r="K287" s="404" t="s">
        <v>5590</v>
      </c>
    </row>
    <row r="288" spans="1:11" x14ac:dyDescent="0.25">
      <c r="A288" s="269"/>
      <c r="B288" s="264"/>
      <c r="C288" s="264" t="s">
        <v>4050</v>
      </c>
      <c r="D288" s="264" t="s">
        <v>4089</v>
      </c>
      <c r="E288" s="261"/>
      <c r="F288" s="261">
        <v>44462</v>
      </c>
      <c r="G288" s="264" t="s">
        <v>3959</v>
      </c>
      <c r="H288" s="264" t="s">
        <v>4090</v>
      </c>
      <c r="I288" s="264" t="s">
        <v>5605</v>
      </c>
      <c r="J288" s="264"/>
      <c r="K288" s="404" t="s">
        <v>5590</v>
      </c>
    </row>
    <row r="289" spans="1:11" x14ac:dyDescent="0.25">
      <c r="A289" s="269"/>
      <c r="B289" s="264"/>
      <c r="C289" s="264" t="s">
        <v>4050</v>
      </c>
      <c r="D289" s="264" t="s">
        <v>4091</v>
      </c>
      <c r="E289" s="261"/>
      <c r="F289" s="261">
        <v>44462</v>
      </c>
      <c r="G289" s="264" t="s">
        <v>3778</v>
      </c>
      <c r="H289" s="264" t="s">
        <v>3959</v>
      </c>
      <c r="I289" s="264" t="s">
        <v>5605</v>
      </c>
      <c r="J289" s="264"/>
      <c r="K289" s="404" t="s">
        <v>5590</v>
      </c>
    </row>
    <row r="290" spans="1:11" x14ac:dyDescent="0.25">
      <c r="A290" s="269"/>
      <c r="B290" s="264"/>
      <c r="C290" s="264" t="s">
        <v>4050</v>
      </c>
      <c r="D290" s="264" t="s">
        <v>5606</v>
      </c>
      <c r="E290" s="261"/>
      <c r="F290" s="261">
        <v>44477</v>
      </c>
      <c r="G290" s="264" t="s">
        <v>5607</v>
      </c>
      <c r="H290" s="264" t="s">
        <v>5608</v>
      </c>
      <c r="I290" s="264" t="s">
        <v>5605</v>
      </c>
      <c r="J290" s="264"/>
      <c r="K290" s="404" t="s">
        <v>5590</v>
      </c>
    </row>
    <row r="291" spans="1:11" x14ac:dyDescent="0.25">
      <c r="A291" s="269"/>
      <c r="B291" s="264"/>
      <c r="C291" s="264" t="s">
        <v>4067</v>
      </c>
      <c r="D291" s="264" t="s">
        <v>4098</v>
      </c>
      <c r="E291" s="261"/>
      <c r="F291" s="261">
        <v>44693</v>
      </c>
      <c r="G291" s="264" t="s">
        <v>4099</v>
      </c>
      <c r="H291" s="264" t="s">
        <v>4100</v>
      </c>
      <c r="I291" s="264" t="s">
        <v>5598</v>
      </c>
      <c r="J291" s="264"/>
      <c r="K291" s="404" t="s">
        <v>5590</v>
      </c>
    </row>
    <row r="292" spans="1:11" x14ac:dyDescent="0.25">
      <c r="A292" s="269"/>
      <c r="B292" s="264"/>
      <c r="C292" s="264" t="s">
        <v>4050</v>
      </c>
      <c r="D292" s="264" t="s">
        <v>4101</v>
      </c>
      <c r="E292" s="261"/>
      <c r="F292" s="261">
        <v>44693</v>
      </c>
      <c r="G292" s="264" t="s">
        <v>4099</v>
      </c>
      <c r="H292" s="264" t="s">
        <v>4100</v>
      </c>
      <c r="I292" s="264" t="s">
        <v>5598</v>
      </c>
      <c r="J292" s="264"/>
      <c r="K292" s="404" t="s">
        <v>5590</v>
      </c>
    </row>
    <row r="293" spans="1:11" x14ac:dyDescent="0.25">
      <c r="A293" s="269"/>
      <c r="B293" s="264"/>
      <c r="C293" s="264" t="s">
        <v>4102</v>
      </c>
      <c r="D293" s="264" t="s">
        <v>4103</v>
      </c>
      <c r="E293" s="261"/>
      <c r="F293" s="261">
        <v>44741</v>
      </c>
      <c r="G293" s="264" t="s">
        <v>4075</v>
      </c>
      <c r="H293" s="264" t="s">
        <v>4104</v>
      </c>
      <c r="I293" s="264" t="s">
        <v>4135</v>
      </c>
      <c r="J293" s="264"/>
      <c r="K293" s="404" t="s">
        <v>5590</v>
      </c>
    </row>
    <row r="294" spans="1:11" x14ac:dyDescent="0.25">
      <c r="A294" s="269"/>
      <c r="B294" s="264"/>
      <c r="C294" s="264" t="s">
        <v>4102</v>
      </c>
      <c r="D294" s="264" t="s">
        <v>4134</v>
      </c>
      <c r="E294" s="261"/>
      <c r="F294" s="261">
        <v>44936</v>
      </c>
      <c r="G294" s="264" t="s">
        <v>4100</v>
      </c>
      <c r="H294" s="264" t="s">
        <v>3706</v>
      </c>
      <c r="I294" s="264" t="s">
        <v>4135</v>
      </c>
      <c r="J294" s="264"/>
      <c r="K294" s="404" t="s">
        <v>5590</v>
      </c>
    </row>
    <row r="295" spans="1:11" x14ac:dyDescent="0.25">
      <c r="A295" s="269"/>
      <c r="B295" s="264"/>
      <c r="C295" s="264" t="s">
        <v>4050</v>
      </c>
      <c r="D295" s="264" t="s">
        <v>4108</v>
      </c>
      <c r="E295" s="261"/>
      <c r="F295" s="261">
        <v>45170</v>
      </c>
      <c r="G295" s="264" t="s">
        <v>3959</v>
      </c>
      <c r="H295" s="264" t="s">
        <v>4090</v>
      </c>
      <c r="I295" s="264" t="s">
        <v>5609</v>
      </c>
      <c r="J295" s="264"/>
      <c r="K295" s="404" t="s">
        <v>5590</v>
      </c>
    </row>
    <row r="296" spans="1:11" x14ac:dyDescent="0.25">
      <c r="A296" s="269"/>
      <c r="B296" s="264"/>
      <c r="C296" s="264" t="s">
        <v>4050</v>
      </c>
      <c r="D296" s="264" t="s">
        <v>4109</v>
      </c>
      <c r="E296" s="261"/>
      <c r="F296" s="261">
        <v>45247</v>
      </c>
      <c r="G296" s="264" t="s">
        <v>4110</v>
      </c>
      <c r="H296" s="264" t="s">
        <v>4111</v>
      </c>
      <c r="I296" s="264" t="s">
        <v>5610</v>
      </c>
      <c r="J296" s="264"/>
      <c r="K296" s="404" t="s">
        <v>5590</v>
      </c>
    </row>
    <row r="297" spans="1:11" x14ac:dyDescent="0.25">
      <c r="A297" s="269"/>
      <c r="B297" s="264"/>
      <c r="C297" s="264" t="s">
        <v>4045</v>
      </c>
      <c r="D297" s="264" t="s">
        <v>4136</v>
      </c>
      <c r="E297" s="261"/>
      <c r="F297" s="261">
        <v>45247</v>
      </c>
      <c r="G297" s="264" t="s">
        <v>4137</v>
      </c>
      <c r="H297" s="264" t="s">
        <v>4138</v>
      </c>
      <c r="I297" s="264" t="s">
        <v>4139</v>
      </c>
      <c r="J297" s="264"/>
      <c r="K297" s="404" t="s">
        <v>5590</v>
      </c>
    </row>
    <row r="298" spans="1:11" x14ac:dyDescent="0.25">
      <c r="A298" s="269"/>
      <c r="B298" s="264"/>
      <c r="C298" s="264" t="s">
        <v>4050</v>
      </c>
      <c r="D298" s="264" t="s">
        <v>4112</v>
      </c>
      <c r="E298" s="261"/>
      <c r="F298" s="261">
        <v>45247</v>
      </c>
      <c r="G298" s="264" t="s">
        <v>4099</v>
      </c>
      <c r="H298" s="264" t="s">
        <v>4113</v>
      </c>
      <c r="I298" s="264" t="s">
        <v>5610</v>
      </c>
      <c r="J298" s="264"/>
      <c r="K298" s="404" t="s">
        <v>5590</v>
      </c>
    </row>
    <row r="299" spans="1:11" x14ac:dyDescent="0.25">
      <c r="A299" s="269"/>
      <c r="B299" s="264"/>
      <c r="C299" s="264" t="s">
        <v>4059</v>
      </c>
      <c r="D299" s="264" t="s">
        <v>4114</v>
      </c>
      <c r="E299" s="261"/>
      <c r="F299" s="261">
        <v>45265</v>
      </c>
      <c r="G299" s="264" t="s">
        <v>4099</v>
      </c>
      <c r="H299" s="264" t="s">
        <v>4085</v>
      </c>
      <c r="I299" s="264" t="s">
        <v>5611</v>
      </c>
      <c r="J299" s="264"/>
      <c r="K299" s="404" t="s">
        <v>5590</v>
      </c>
    </row>
    <row r="300" spans="1:11" x14ac:dyDescent="0.25">
      <c r="A300" s="269"/>
      <c r="B300" s="264"/>
      <c r="C300" s="264" t="s">
        <v>4067</v>
      </c>
      <c r="D300" s="264" t="s">
        <v>4118</v>
      </c>
      <c r="E300" s="261"/>
      <c r="F300" s="261">
        <v>45336</v>
      </c>
      <c r="G300" s="264" t="s">
        <v>3814</v>
      </c>
      <c r="H300" s="264" t="s">
        <v>4119</v>
      </c>
      <c r="I300" s="264" t="s">
        <v>4139</v>
      </c>
      <c r="J300" s="264"/>
      <c r="K300" s="404" t="s">
        <v>5590</v>
      </c>
    </row>
    <row r="301" spans="1:11" x14ac:dyDescent="0.25">
      <c r="A301" s="269"/>
      <c r="B301" s="264"/>
      <c r="C301" s="264" t="s">
        <v>4067</v>
      </c>
      <c r="D301" s="264" t="s">
        <v>4120</v>
      </c>
      <c r="E301" s="261"/>
      <c r="F301" s="261">
        <v>45336</v>
      </c>
      <c r="G301" s="264" t="s">
        <v>4121</v>
      </c>
      <c r="H301" s="264" t="s">
        <v>4085</v>
      </c>
      <c r="I301" s="264" t="s">
        <v>4139</v>
      </c>
      <c r="J301" s="264"/>
      <c r="K301" s="404" t="s">
        <v>5590</v>
      </c>
    </row>
    <row r="302" spans="1:11" x14ac:dyDescent="0.25">
      <c r="A302" s="269"/>
      <c r="B302" s="264"/>
      <c r="C302" s="264" t="s">
        <v>4122</v>
      </c>
      <c r="D302" s="264" t="s">
        <v>4123</v>
      </c>
      <c r="E302" s="261"/>
      <c r="F302" s="261">
        <v>45478</v>
      </c>
      <c r="G302" s="264" t="s">
        <v>3706</v>
      </c>
      <c r="H302" s="264" t="s">
        <v>4085</v>
      </c>
      <c r="I302" s="264" t="s">
        <v>5612</v>
      </c>
      <c r="J302" s="264"/>
      <c r="K302" s="404" t="s">
        <v>5590</v>
      </c>
    </row>
    <row r="303" spans="1:11" x14ac:dyDescent="0.25">
      <c r="A303" s="269"/>
      <c r="B303" s="264"/>
      <c r="C303" s="264" t="s">
        <v>4083</v>
      </c>
      <c r="D303" s="264" t="s">
        <v>4124</v>
      </c>
      <c r="E303" s="261"/>
      <c r="F303" s="261">
        <v>45825</v>
      </c>
      <c r="G303" s="264" t="s">
        <v>4085</v>
      </c>
      <c r="H303" s="264" t="s">
        <v>4125</v>
      </c>
      <c r="I303" s="264" t="s">
        <v>5613</v>
      </c>
      <c r="J303" s="264"/>
      <c r="K303" s="404" t="s">
        <v>5590</v>
      </c>
    </row>
    <row r="304" spans="1:11" x14ac:dyDescent="0.25">
      <c r="A304" s="269"/>
      <c r="B304" s="264"/>
      <c r="C304" s="264" t="s">
        <v>4062</v>
      </c>
      <c r="D304" s="264" t="s">
        <v>4126</v>
      </c>
      <c r="E304" s="261"/>
      <c r="F304" s="261">
        <v>45915</v>
      </c>
      <c r="G304" s="264" t="s">
        <v>4127</v>
      </c>
      <c r="H304" s="264" t="s">
        <v>4128</v>
      </c>
      <c r="I304" s="264" t="s">
        <v>5609</v>
      </c>
      <c r="J304" s="264"/>
      <c r="K304" s="404" t="s">
        <v>5590</v>
      </c>
    </row>
    <row r="305" spans="1:11" x14ac:dyDescent="0.25">
      <c r="A305" s="269"/>
      <c r="B305" s="264"/>
      <c r="C305" s="264" t="s">
        <v>4050</v>
      </c>
      <c r="D305" s="264" t="s">
        <v>4140</v>
      </c>
      <c r="E305" s="261"/>
      <c r="F305" s="261">
        <v>45925</v>
      </c>
      <c r="G305" s="264" t="s">
        <v>4128</v>
      </c>
      <c r="H305" s="264" t="s">
        <v>4141</v>
      </c>
      <c r="I305" s="264" t="s">
        <v>4142</v>
      </c>
      <c r="J305" s="264"/>
      <c r="K305" s="404" t="s">
        <v>5590</v>
      </c>
    </row>
    <row r="306" spans="1:11" x14ac:dyDescent="0.25">
      <c r="A306" s="269"/>
      <c r="B306" s="264"/>
      <c r="C306" s="264" t="s">
        <v>4050</v>
      </c>
      <c r="D306" s="264" t="s">
        <v>4129</v>
      </c>
      <c r="E306" s="261"/>
      <c r="F306" s="261">
        <v>45954</v>
      </c>
      <c r="G306" s="264" t="s">
        <v>4130</v>
      </c>
      <c r="H306" s="264" t="s">
        <v>4131</v>
      </c>
      <c r="I306" s="264" t="s">
        <v>5614</v>
      </c>
      <c r="J306" s="264"/>
      <c r="K306" s="404" t="s">
        <v>5590</v>
      </c>
    </row>
    <row r="307" spans="1:11" x14ac:dyDescent="0.25">
      <c r="A307" s="269"/>
      <c r="B307" s="264"/>
      <c r="C307" s="264" t="s">
        <v>4045</v>
      </c>
      <c r="D307" s="264" t="s">
        <v>4132</v>
      </c>
      <c r="E307" s="261"/>
      <c r="F307" s="261">
        <v>45975</v>
      </c>
      <c r="G307" s="264" t="s">
        <v>4133</v>
      </c>
      <c r="H307" s="264" t="s">
        <v>3959</v>
      </c>
      <c r="I307" s="264" t="s">
        <v>5615</v>
      </c>
      <c r="J307" s="264"/>
      <c r="K307" s="404" t="s">
        <v>5590</v>
      </c>
    </row>
    <row r="308" spans="1:11" x14ac:dyDescent="0.25">
      <c r="A308" s="269"/>
      <c r="B308" s="264"/>
      <c r="C308" s="264" t="s">
        <v>3730</v>
      </c>
      <c r="D308" s="264" t="s">
        <v>5616</v>
      </c>
      <c r="E308" s="261"/>
      <c r="F308" s="261">
        <v>46160</v>
      </c>
      <c r="G308" s="264" t="s">
        <v>5617</v>
      </c>
      <c r="H308" s="264" t="s">
        <v>1110</v>
      </c>
      <c r="I308" s="264" t="s">
        <v>4018</v>
      </c>
      <c r="J308" s="264"/>
      <c r="K308" s="404" t="s">
        <v>5590</v>
      </c>
    </row>
    <row r="309" spans="1:11" x14ac:dyDescent="0.25">
      <c r="A309" s="270"/>
      <c r="B309" s="266"/>
      <c r="C309" s="266" t="s">
        <v>963</v>
      </c>
      <c r="D309" s="266" t="s">
        <v>5618</v>
      </c>
      <c r="E309" s="267"/>
      <c r="F309" s="267">
        <v>2063</v>
      </c>
      <c r="G309" s="266" t="s">
        <v>965</v>
      </c>
      <c r="H309" s="266" t="s">
        <v>966</v>
      </c>
      <c r="I309" s="266" t="s">
        <v>313</v>
      </c>
      <c r="J309" s="266"/>
      <c r="K309" s="405"/>
    </row>
    <row r="310" spans="1:11" x14ac:dyDescent="0.25">
      <c r="A310" s="270"/>
      <c r="B310" s="266"/>
      <c r="C310" s="266" t="s">
        <v>963</v>
      </c>
      <c r="D310" s="266" t="s">
        <v>5619</v>
      </c>
      <c r="E310" s="267"/>
      <c r="F310" s="267">
        <v>2601</v>
      </c>
      <c r="G310" s="266" t="s">
        <v>965</v>
      </c>
      <c r="H310" s="266" t="s">
        <v>979</v>
      </c>
      <c r="I310" s="266" t="s">
        <v>313</v>
      </c>
      <c r="J310" s="266"/>
      <c r="K310" s="405"/>
    </row>
    <row r="311" spans="1:11" x14ac:dyDescent="0.25">
      <c r="A311" s="270"/>
      <c r="B311" s="266"/>
      <c r="C311" s="266" t="s">
        <v>981</v>
      </c>
      <c r="D311" s="266" t="s">
        <v>5620</v>
      </c>
      <c r="E311" s="267"/>
      <c r="F311" s="267">
        <v>2752</v>
      </c>
      <c r="G311" s="266" t="s">
        <v>983</v>
      </c>
      <c r="H311" s="266" t="s">
        <v>971</v>
      </c>
      <c r="I311" s="266" t="s">
        <v>313</v>
      </c>
      <c r="J311" s="266"/>
      <c r="K311" s="405"/>
    </row>
    <row r="312" spans="1:11" x14ac:dyDescent="0.25">
      <c r="A312" s="270"/>
      <c r="B312" s="266"/>
      <c r="C312" s="266" t="s">
        <v>963</v>
      </c>
      <c r="D312" s="266" t="s">
        <v>5621</v>
      </c>
      <c r="E312" s="267"/>
      <c r="F312" s="267">
        <v>2754</v>
      </c>
      <c r="G312" s="266" t="s">
        <v>965</v>
      </c>
      <c r="H312" s="266" t="s">
        <v>987</v>
      </c>
      <c r="I312" s="266" t="s">
        <v>313</v>
      </c>
      <c r="J312" s="266"/>
      <c r="K312" s="405"/>
    </row>
    <row r="313" spans="1:11" x14ac:dyDescent="0.25">
      <c r="A313" s="270"/>
      <c r="B313" s="266"/>
      <c r="C313" s="266" t="s">
        <v>963</v>
      </c>
      <c r="D313" s="266" t="s">
        <v>5622</v>
      </c>
      <c r="E313" s="267"/>
      <c r="F313" s="267">
        <v>2754</v>
      </c>
      <c r="G313" s="266" t="s">
        <v>965</v>
      </c>
      <c r="H313" s="266" t="s">
        <v>989</v>
      </c>
      <c r="I313" s="266" t="s">
        <v>313</v>
      </c>
      <c r="J313" s="266"/>
      <c r="K313" s="405"/>
    </row>
    <row r="314" spans="1:11" x14ac:dyDescent="0.25">
      <c r="A314" s="270"/>
      <c r="B314" s="266"/>
      <c r="C314" s="266" t="s">
        <v>963</v>
      </c>
      <c r="D314" s="266" t="s">
        <v>5623</v>
      </c>
      <c r="E314" s="267"/>
      <c r="F314" s="267">
        <v>3121</v>
      </c>
      <c r="G314" s="266" t="s">
        <v>965</v>
      </c>
      <c r="H314" s="266" t="s">
        <v>1002</v>
      </c>
      <c r="I314" s="266" t="s">
        <v>308</v>
      </c>
      <c r="J314" s="266"/>
      <c r="K314" s="405"/>
    </row>
    <row r="315" spans="1:11" x14ac:dyDescent="0.25">
      <c r="A315" s="270"/>
      <c r="B315" s="266"/>
      <c r="C315" s="266" t="s">
        <v>981</v>
      </c>
      <c r="D315" s="266" t="s">
        <v>5624</v>
      </c>
      <c r="E315" s="267"/>
      <c r="F315" s="267">
        <v>3652</v>
      </c>
      <c r="G315" s="266" t="s">
        <v>983</v>
      </c>
      <c r="H315" s="266" t="s">
        <v>989</v>
      </c>
      <c r="I315" s="266" t="s">
        <v>313</v>
      </c>
      <c r="J315" s="266"/>
      <c r="K315" s="405"/>
    </row>
    <row r="316" spans="1:11" x14ac:dyDescent="0.25">
      <c r="A316" s="270"/>
      <c r="B316" s="266"/>
      <c r="C316" s="266" t="s">
        <v>981</v>
      </c>
      <c r="D316" s="266" t="s">
        <v>5625</v>
      </c>
      <c r="E316" s="267"/>
      <c r="F316" s="267">
        <v>11021</v>
      </c>
      <c r="G316" s="266" t="s">
        <v>983</v>
      </c>
      <c r="H316" s="266" t="s">
        <v>1002</v>
      </c>
      <c r="I316" s="266" t="s">
        <v>308</v>
      </c>
      <c r="J316" s="266"/>
      <c r="K316" s="405"/>
    </row>
    <row r="317" spans="1:11" x14ac:dyDescent="0.25">
      <c r="A317" s="270"/>
      <c r="B317" s="266"/>
      <c r="C317" s="266" t="s">
        <v>981</v>
      </c>
      <c r="D317" s="266" t="s">
        <v>5626</v>
      </c>
      <c r="E317" s="267"/>
      <c r="F317" s="267">
        <v>11450</v>
      </c>
      <c r="G317" s="266" t="s">
        <v>983</v>
      </c>
      <c r="H317" s="266" t="s">
        <v>1222</v>
      </c>
      <c r="I317" s="266" t="s">
        <v>313</v>
      </c>
      <c r="J317" s="266"/>
      <c r="K317" s="405"/>
    </row>
    <row r="318" spans="1:11" x14ac:dyDescent="0.25">
      <c r="A318" s="270"/>
      <c r="B318" s="266"/>
      <c r="C318" s="266" t="s">
        <v>969</v>
      </c>
      <c r="D318" s="266" t="s">
        <v>5627</v>
      </c>
      <c r="E318" s="267"/>
      <c r="F318" s="267">
        <v>27121</v>
      </c>
      <c r="G318" s="266" t="s">
        <v>364</v>
      </c>
      <c r="H318" s="266" t="s">
        <v>1563</v>
      </c>
      <c r="I318" s="266" t="s">
        <v>313</v>
      </c>
      <c r="J318" s="266"/>
      <c r="K318" s="405"/>
    </row>
    <row r="319" spans="1:11" x14ac:dyDescent="0.25">
      <c r="A319" s="270"/>
      <c r="B319" s="266"/>
      <c r="C319" s="266" t="s">
        <v>969</v>
      </c>
      <c r="D319" s="266" t="s">
        <v>5628</v>
      </c>
      <c r="E319" s="267"/>
      <c r="F319" s="267">
        <v>27163</v>
      </c>
      <c r="G319" s="266" t="s">
        <v>1568</v>
      </c>
      <c r="H319" s="266" t="s">
        <v>1569</v>
      </c>
      <c r="I319" s="266" t="s">
        <v>308</v>
      </c>
      <c r="J319" s="266"/>
      <c r="K319" s="405"/>
    </row>
    <row r="320" spans="1:11" x14ac:dyDescent="0.25">
      <c r="A320" s="270"/>
      <c r="B320" s="266"/>
      <c r="C320" s="266" t="s">
        <v>969</v>
      </c>
      <c r="D320" s="266" t="s">
        <v>5629</v>
      </c>
      <c r="E320" s="267"/>
      <c r="F320" s="267">
        <v>27171</v>
      </c>
      <c r="G320" s="266" t="s">
        <v>1569</v>
      </c>
      <c r="H320" s="266" t="s">
        <v>1572</v>
      </c>
      <c r="I320" s="266" t="s">
        <v>308</v>
      </c>
      <c r="J320" s="266"/>
      <c r="K320" s="405"/>
    </row>
    <row r="321" spans="1:11" x14ac:dyDescent="0.25">
      <c r="A321" s="270"/>
      <c r="B321" s="266"/>
      <c r="C321" s="266" t="s">
        <v>969</v>
      </c>
      <c r="D321" s="266" t="s">
        <v>5630</v>
      </c>
      <c r="E321" s="267"/>
      <c r="F321" s="267">
        <v>27207</v>
      </c>
      <c r="G321" s="266" t="s">
        <v>1569</v>
      </c>
      <c r="H321" s="266" t="s">
        <v>5631</v>
      </c>
      <c r="I321" s="266" t="s">
        <v>308</v>
      </c>
      <c r="J321" s="266"/>
      <c r="K321" s="405"/>
    </row>
    <row r="322" spans="1:11" x14ac:dyDescent="0.25">
      <c r="A322" s="270"/>
      <c r="B322" s="266"/>
      <c r="C322" s="266" t="s">
        <v>969</v>
      </c>
      <c r="D322" s="266" t="s">
        <v>5632</v>
      </c>
      <c r="E322" s="267"/>
      <c r="F322" s="267">
        <v>27481</v>
      </c>
      <c r="G322" s="266" t="s">
        <v>1569</v>
      </c>
      <c r="H322" s="266" t="s">
        <v>416</v>
      </c>
      <c r="I322" s="266" t="s">
        <v>308</v>
      </c>
      <c r="J322" s="266"/>
      <c r="K322" s="405"/>
    </row>
    <row r="323" spans="1:11" x14ac:dyDescent="0.25">
      <c r="A323" s="270"/>
      <c r="B323" s="266"/>
      <c r="C323" s="266" t="s">
        <v>969</v>
      </c>
      <c r="D323" s="266" t="s">
        <v>5633</v>
      </c>
      <c r="E323" s="267"/>
      <c r="F323" s="267">
        <v>28005</v>
      </c>
      <c r="G323" s="266" t="s">
        <v>1563</v>
      </c>
      <c r="H323" s="266" t="s">
        <v>1582</v>
      </c>
      <c r="I323" s="266" t="s">
        <v>313</v>
      </c>
      <c r="J323" s="266"/>
      <c r="K323" s="405"/>
    </row>
    <row r="324" spans="1:11" x14ac:dyDescent="0.25">
      <c r="A324" s="270"/>
      <c r="B324" s="266"/>
      <c r="C324" s="266" t="s">
        <v>969</v>
      </c>
      <c r="D324" s="266" t="s">
        <v>5634</v>
      </c>
      <c r="E324" s="267"/>
      <c r="F324" s="267">
        <v>28445</v>
      </c>
      <c r="G324" s="266" t="s">
        <v>1582</v>
      </c>
      <c r="H324" s="266" t="s">
        <v>411</v>
      </c>
      <c r="I324" s="266" t="s">
        <v>313</v>
      </c>
      <c r="J324" s="266"/>
      <c r="K324" s="405"/>
    </row>
    <row r="325" spans="1:11" x14ac:dyDescent="0.25">
      <c r="A325" s="270"/>
      <c r="B325" s="266"/>
      <c r="C325" s="266" t="s">
        <v>969</v>
      </c>
      <c r="D325" s="266" t="s">
        <v>5635</v>
      </c>
      <c r="E325" s="267"/>
      <c r="F325" s="267">
        <v>28583</v>
      </c>
      <c r="G325" s="266" t="s">
        <v>1603</v>
      </c>
      <c r="H325" s="266" t="s">
        <v>396</v>
      </c>
      <c r="I325" s="266" t="s">
        <v>308</v>
      </c>
      <c r="J325" s="266"/>
      <c r="K325" s="405"/>
    </row>
    <row r="326" spans="1:11" x14ac:dyDescent="0.25">
      <c r="A326" s="270"/>
      <c r="B326" s="266"/>
      <c r="C326" s="266" t="s">
        <v>969</v>
      </c>
      <c r="D326" s="266" t="s">
        <v>5636</v>
      </c>
      <c r="E326" s="267"/>
      <c r="F326" s="267">
        <v>28583</v>
      </c>
      <c r="G326" s="266" t="s">
        <v>1603</v>
      </c>
      <c r="H326" s="266" t="s">
        <v>397</v>
      </c>
      <c r="I326" s="266" t="s">
        <v>308</v>
      </c>
      <c r="J326" s="266"/>
      <c r="K326" s="405"/>
    </row>
    <row r="327" spans="1:11" x14ac:dyDescent="0.25">
      <c r="A327" s="270"/>
      <c r="B327" s="266"/>
      <c r="C327" s="266" t="s">
        <v>969</v>
      </c>
      <c r="D327" s="266" t="s">
        <v>5637</v>
      </c>
      <c r="E327" s="267"/>
      <c r="F327" s="267">
        <v>28583</v>
      </c>
      <c r="G327" s="266" t="s">
        <v>1603</v>
      </c>
      <c r="H327" s="266" t="s">
        <v>5638</v>
      </c>
      <c r="I327" s="266" t="s">
        <v>308</v>
      </c>
      <c r="J327" s="266"/>
      <c r="K327" s="405"/>
    </row>
    <row r="328" spans="1:11" x14ac:dyDescent="0.25">
      <c r="A328" s="270"/>
      <c r="B328" s="266"/>
      <c r="C328" s="266" t="s">
        <v>969</v>
      </c>
      <c r="D328" s="266" t="s">
        <v>4426</v>
      </c>
      <c r="E328" s="267"/>
      <c r="F328" s="267">
        <v>28583</v>
      </c>
      <c r="G328" s="266" t="s">
        <v>1603</v>
      </c>
      <c r="H328" s="266" t="s">
        <v>395</v>
      </c>
      <c r="I328" s="266" t="s">
        <v>308</v>
      </c>
      <c r="J328" s="266"/>
      <c r="K328" s="405"/>
    </row>
    <row r="329" spans="1:11" x14ac:dyDescent="0.25">
      <c r="A329" s="270"/>
      <c r="B329" s="266"/>
      <c r="C329" s="266" t="s">
        <v>969</v>
      </c>
      <c r="D329" s="266" t="s">
        <v>5639</v>
      </c>
      <c r="E329" s="267"/>
      <c r="F329" s="267">
        <v>28583</v>
      </c>
      <c r="G329" s="266" t="s">
        <v>1603</v>
      </c>
      <c r="H329" s="266" t="s">
        <v>392</v>
      </c>
      <c r="I329" s="266" t="s">
        <v>308</v>
      </c>
      <c r="J329" s="266"/>
      <c r="K329" s="405"/>
    </row>
    <row r="330" spans="1:11" x14ac:dyDescent="0.25">
      <c r="A330" s="270"/>
      <c r="B330" s="266"/>
      <c r="C330" s="266" t="s">
        <v>969</v>
      </c>
      <c r="D330" s="266" t="s">
        <v>5640</v>
      </c>
      <c r="E330" s="267"/>
      <c r="F330" s="267">
        <v>28583</v>
      </c>
      <c r="G330" s="266" t="s">
        <v>1603</v>
      </c>
      <c r="H330" s="266" t="s">
        <v>5641</v>
      </c>
      <c r="I330" s="266" t="s">
        <v>308</v>
      </c>
      <c r="J330" s="266"/>
      <c r="K330" s="405"/>
    </row>
    <row r="331" spans="1:11" x14ac:dyDescent="0.25">
      <c r="A331" s="270"/>
      <c r="B331" s="266"/>
      <c r="C331" s="266" t="s">
        <v>969</v>
      </c>
      <c r="D331" s="266" t="s">
        <v>5642</v>
      </c>
      <c r="E331" s="267"/>
      <c r="F331" s="267">
        <v>28583</v>
      </c>
      <c r="G331" s="266" t="s">
        <v>1603</v>
      </c>
      <c r="H331" s="266" t="s">
        <v>573</v>
      </c>
      <c r="I331" s="266" t="s">
        <v>308</v>
      </c>
      <c r="J331" s="266"/>
      <c r="K331" s="405"/>
    </row>
    <row r="332" spans="1:11" x14ac:dyDescent="0.25">
      <c r="A332" s="270"/>
      <c r="B332" s="266"/>
      <c r="C332" s="266" t="s">
        <v>969</v>
      </c>
      <c r="D332" s="266" t="s">
        <v>5643</v>
      </c>
      <c r="E332" s="267"/>
      <c r="F332" s="267">
        <v>28583</v>
      </c>
      <c r="G332" s="266" t="s">
        <v>1620</v>
      </c>
      <c r="H332" s="266" t="s">
        <v>1621</v>
      </c>
      <c r="I332" s="266" t="s">
        <v>308</v>
      </c>
      <c r="J332" s="266"/>
      <c r="K332" s="405"/>
    </row>
    <row r="333" spans="1:11" x14ac:dyDescent="0.25">
      <c r="A333" s="270"/>
      <c r="B333" s="266"/>
      <c r="C333" s="266" t="s">
        <v>1623</v>
      </c>
      <c r="D333" s="266" t="s">
        <v>5644</v>
      </c>
      <c r="E333" s="267"/>
      <c r="F333" s="267">
        <v>28584</v>
      </c>
      <c r="G333" s="266" t="s">
        <v>1603</v>
      </c>
      <c r="H333" s="266" t="s">
        <v>400</v>
      </c>
      <c r="I333" s="266" t="s">
        <v>308</v>
      </c>
      <c r="J333" s="266"/>
      <c r="K333" s="405"/>
    </row>
    <row r="334" spans="1:11" x14ac:dyDescent="0.25">
      <c r="A334" s="270"/>
      <c r="B334" s="266"/>
      <c r="C334" s="266" t="s">
        <v>969</v>
      </c>
      <c r="D334" s="266" t="s">
        <v>5645</v>
      </c>
      <c r="E334" s="267"/>
      <c r="F334" s="267">
        <v>28923</v>
      </c>
      <c r="G334" s="266" t="s">
        <v>1696</v>
      </c>
      <c r="H334" s="266" t="s">
        <v>1697</v>
      </c>
      <c r="I334" s="266" t="s">
        <v>313</v>
      </c>
      <c r="J334" s="266"/>
      <c r="K334" s="405"/>
    </row>
    <row r="335" spans="1:11" x14ac:dyDescent="0.25">
      <c r="A335" s="270"/>
      <c r="B335" s="266"/>
      <c r="C335" s="266" t="s">
        <v>1274</v>
      </c>
      <c r="D335" s="266" t="s">
        <v>5646</v>
      </c>
      <c r="E335" s="267"/>
      <c r="F335" s="267">
        <v>28961</v>
      </c>
      <c r="G335" s="266" t="s">
        <v>1700</v>
      </c>
      <c r="H335" s="266" t="s">
        <v>1701</v>
      </c>
      <c r="I335" s="266" t="s">
        <v>308</v>
      </c>
      <c r="J335" s="266"/>
      <c r="K335" s="405"/>
    </row>
    <row r="336" spans="1:11" x14ac:dyDescent="0.25">
      <c r="A336" s="270"/>
      <c r="B336" s="266"/>
      <c r="C336" s="266" t="s">
        <v>1274</v>
      </c>
      <c r="D336" s="266" t="s">
        <v>5647</v>
      </c>
      <c r="E336" s="267"/>
      <c r="F336" s="267">
        <v>29049</v>
      </c>
      <c r="G336" s="266" t="s">
        <v>1713</v>
      </c>
      <c r="H336" s="266" t="s">
        <v>1714</v>
      </c>
      <c r="I336" s="266" t="s">
        <v>313</v>
      </c>
      <c r="J336" s="266"/>
      <c r="K336" s="405"/>
    </row>
    <row r="337" spans="1:11" x14ac:dyDescent="0.25">
      <c r="A337" s="270"/>
      <c r="B337" s="266"/>
      <c r="C337" s="266" t="s">
        <v>969</v>
      </c>
      <c r="D337" s="266" t="s">
        <v>5648</v>
      </c>
      <c r="E337" s="267"/>
      <c r="F337" s="267">
        <v>29049</v>
      </c>
      <c r="G337" s="266" t="s">
        <v>1697</v>
      </c>
      <c r="H337" s="266" t="s">
        <v>1717</v>
      </c>
      <c r="I337" s="266" t="s">
        <v>313</v>
      </c>
      <c r="J337" s="266"/>
      <c r="K337" s="405"/>
    </row>
    <row r="338" spans="1:11" x14ac:dyDescent="0.25">
      <c r="A338" s="270"/>
      <c r="B338" s="266"/>
      <c r="C338" s="266" t="s">
        <v>969</v>
      </c>
      <c r="D338" s="266" t="s">
        <v>5649</v>
      </c>
      <c r="E338" s="267"/>
      <c r="F338" s="267">
        <v>29063</v>
      </c>
      <c r="G338" s="266" t="s">
        <v>1697</v>
      </c>
      <c r="H338" s="266" t="s">
        <v>1723</v>
      </c>
      <c r="I338" s="266" t="s">
        <v>313</v>
      </c>
      <c r="J338" s="266"/>
      <c r="K338" s="405"/>
    </row>
    <row r="339" spans="1:11" x14ac:dyDescent="0.25">
      <c r="A339" s="270"/>
      <c r="B339" s="266"/>
      <c r="C339" s="266" t="s">
        <v>1623</v>
      </c>
      <c r="D339" s="266" t="s">
        <v>5650</v>
      </c>
      <c r="E339" s="267"/>
      <c r="F339" s="267">
        <v>29094</v>
      </c>
      <c r="G339" s="266" t="s">
        <v>400</v>
      </c>
      <c r="H339" s="266" t="s">
        <v>1726</v>
      </c>
      <c r="I339" s="266" t="s">
        <v>308</v>
      </c>
      <c r="J339" s="266"/>
      <c r="K339" s="405"/>
    </row>
    <row r="340" spans="1:11" x14ac:dyDescent="0.25">
      <c r="A340" s="270"/>
      <c r="B340" s="266"/>
      <c r="C340" s="266" t="s">
        <v>1623</v>
      </c>
      <c r="D340" s="266" t="s">
        <v>5651</v>
      </c>
      <c r="E340" s="267">
        <v>29126</v>
      </c>
      <c r="F340" s="267">
        <v>29132</v>
      </c>
      <c r="G340" s="266" t="s">
        <v>5652</v>
      </c>
      <c r="H340" s="266" t="s">
        <v>5653</v>
      </c>
      <c r="I340" s="266" t="s">
        <v>308</v>
      </c>
      <c r="J340" s="266"/>
      <c r="K340" s="405"/>
    </row>
    <row r="341" spans="1:11" x14ac:dyDescent="0.25">
      <c r="A341" s="270"/>
      <c r="B341" s="266"/>
      <c r="C341" s="266" t="s">
        <v>969</v>
      </c>
      <c r="D341" s="266" t="s">
        <v>5654</v>
      </c>
      <c r="E341" s="267"/>
      <c r="F341" s="267">
        <v>29438</v>
      </c>
      <c r="G341" s="266" t="s">
        <v>1753</v>
      </c>
      <c r="H341" s="266" t="s">
        <v>1696</v>
      </c>
      <c r="I341" s="266" t="s">
        <v>313</v>
      </c>
      <c r="J341" s="266"/>
      <c r="K341" s="405"/>
    </row>
    <row r="342" spans="1:11" x14ac:dyDescent="0.25">
      <c r="A342" s="270"/>
      <c r="B342" s="266"/>
      <c r="C342" s="266" t="s">
        <v>969</v>
      </c>
      <c r="D342" s="266" t="s">
        <v>5655</v>
      </c>
      <c r="E342" s="267"/>
      <c r="F342" s="267">
        <v>29438</v>
      </c>
      <c r="G342" s="266" t="s">
        <v>1696</v>
      </c>
      <c r="H342" s="266" t="s">
        <v>1582</v>
      </c>
      <c r="I342" s="266" t="s">
        <v>313</v>
      </c>
      <c r="J342" s="266"/>
      <c r="K342" s="405"/>
    </row>
    <row r="343" spans="1:11" x14ac:dyDescent="0.25">
      <c r="A343" s="270"/>
      <c r="B343" s="266"/>
      <c r="C343" s="266" t="s">
        <v>969</v>
      </c>
      <c r="D343" s="266" t="s">
        <v>5656</v>
      </c>
      <c r="E343" s="267"/>
      <c r="F343" s="267">
        <v>29675</v>
      </c>
      <c r="G343" s="266" t="s">
        <v>372</v>
      </c>
      <c r="H343" s="266" t="s">
        <v>5657</v>
      </c>
      <c r="I343" s="266" t="s">
        <v>313</v>
      </c>
      <c r="J343" s="266"/>
      <c r="K343" s="405"/>
    </row>
    <row r="344" spans="1:11" x14ac:dyDescent="0.25">
      <c r="A344" s="270"/>
      <c r="B344" s="266"/>
      <c r="C344" s="266" t="s">
        <v>969</v>
      </c>
      <c r="D344" s="266" t="s">
        <v>5658</v>
      </c>
      <c r="E344" s="267"/>
      <c r="F344" s="267">
        <v>29714</v>
      </c>
      <c r="G344" s="266" t="s">
        <v>1765</v>
      </c>
      <c r="H344" s="266" t="s">
        <v>5659</v>
      </c>
      <c r="I344" s="266" t="s">
        <v>308</v>
      </c>
      <c r="J344" s="266"/>
      <c r="K344" s="405"/>
    </row>
    <row r="345" spans="1:11" x14ac:dyDescent="0.25">
      <c r="A345" s="270"/>
      <c r="B345" s="266"/>
      <c r="C345" s="266" t="s">
        <v>969</v>
      </c>
      <c r="D345" s="266" t="s">
        <v>5660</v>
      </c>
      <c r="E345" s="267"/>
      <c r="F345" s="267">
        <v>29714</v>
      </c>
      <c r="G345" s="266" t="s">
        <v>5659</v>
      </c>
      <c r="H345" s="266" t="s">
        <v>5661</v>
      </c>
      <c r="I345" s="266" t="s">
        <v>308</v>
      </c>
      <c r="J345" s="266"/>
      <c r="K345" s="405"/>
    </row>
    <row r="346" spans="1:11" x14ac:dyDescent="0.25">
      <c r="A346" s="270"/>
      <c r="B346" s="266"/>
      <c r="C346" s="266" t="s">
        <v>969</v>
      </c>
      <c r="D346" s="266" t="s">
        <v>5662</v>
      </c>
      <c r="E346" s="267"/>
      <c r="F346" s="267">
        <v>29767</v>
      </c>
      <c r="G346" s="266" t="s">
        <v>5657</v>
      </c>
      <c r="H346" s="266" t="s">
        <v>1772</v>
      </c>
      <c r="I346" s="266" t="s">
        <v>313</v>
      </c>
      <c r="J346" s="266"/>
      <c r="K346" s="405"/>
    </row>
    <row r="347" spans="1:11" x14ac:dyDescent="0.25">
      <c r="A347" s="270"/>
      <c r="B347" s="266"/>
      <c r="C347" s="266" t="s">
        <v>969</v>
      </c>
      <c r="D347" s="266" t="s">
        <v>5663</v>
      </c>
      <c r="E347" s="267"/>
      <c r="F347" s="267">
        <v>29812</v>
      </c>
      <c r="G347" s="266" t="s">
        <v>5657</v>
      </c>
      <c r="H347" s="266" t="s">
        <v>1775</v>
      </c>
      <c r="I347" s="266" t="s">
        <v>313</v>
      </c>
      <c r="J347" s="266"/>
      <c r="K347" s="405"/>
    </row>
    <row r="348" spans="1:11" x14ac:dyDescent="0.25">
      <c r="A348" s="270"/>
      <c r="B348" s="266"/>
      <c r="C348" s="266" t="s">
        <v>969</v>
      </c>
      <c r="D348" s="266" t="s">
        <v>5664</v>
      </c>
      <c r="E348" s="267"/>
      <c r="F348" s="267">
        <v>30015</v>
      </c>
      <c r="G348" s="266" t="s">
        <v>1582</v>
      </c>
      <c r="H348" s="266" t="s">
        <v>411</v>
      </c>
      <c r="I348" s="266" t="s">
        <v>313</v>
      </c>
      <c r="J348" s="266"/>
      <c r="K348" s="405"/>
    </row>
    <row r="349" spans="1:11" x14ac:dyDescent="0.25">
      <c r="A349" s="270"/>
      <c r="B349" s="266"/>
      <c r="C349" s="266" t="s">
        <v>969</v>
      </c>
      <c r="D349" s="266" t="s">
        <v>5665</v>
      </c>
      <c r="E349" s="267"/>
      <c r="F349" s="267">
        <v>30054</v>
      </c>
      <c r="G349" s="266" t="s">
        <v>1572</v>
      </c>
      <c r="H349" s="266" t="s">
        <v>5666</v>
      </c>
      <c r="I349" s="266" t="s">
        <v>313</v>
      </c>
      <c r="J349" s="266"/>
      <c r="K349" s="405"/>
    </row>
    <row r="350" spans="1:11" x14ac:dyDescent="0.25">
      <c r="A350" s="270"/>
      <c r="B350" s="266"/>
      <c r="C350" s="266" t="s">
        <v>969</v>
      </c>
      <c r="D350" s="266" t="s">
        <v>5667</v>
      </c>
      <c r="E350" s="267"/>
      <c r="F350" s="267">
        <v>30081</v>
      </c>
      <c r="G350" s="266" t="s">
        <v>410</v>
      </c>
      <c r="H350" s="266" t="s">
        <v>1772</v>
      </c>
      <c r="I350" s="266" t="s">
        <v>313</v>
      </c>
      <c r="J350" s="266"/>
      <c r="K350" s="405"/>
    </row>
    <row r="351" spans="1:11" x14ac:dyDescent="0.25">
      <c r="A351" s="270"/>
      <c r="B351" s="266"/>
      <c r="C351" s="266" t="s">
        <v>969</v>
      </c>
      <c r="D351" s="266" t="s">
        <v>5668</v>
      </c>
      <c r="E351" s="267"/>
      <c r="F351" s="267">
        <v>30088</v>
      </c>
      <c r="G351" s="266" t="s">
        <v>411</v>
      </c>
      <c r="H351" s="266" t="s">
        <v>436</v>
      </c>
      <c r="I351" s="266" t="s">
        <v>313</v>
      </c>
      <c r="J351" s="266"/>
      <c r="K351" s="405"/>
    </row>
    <row r="352" spans="1:11" x14ac:dyDescent="0.25">
      <c r="A352" s="270"/>
      <c r="B352" s="266"/>
      <c r="C352" s="266" t="s">
        <v>969</v>
      </c>
      <c r="D352" s="266" t="s">
        <v>5669</v>
      </c>
      <c r="E352" s="267"/>
      <c r="F352" s="267">
        <v>30124</v>
      </c>
      <c r="G352" s="266" t="s">
        <v>404</v>
      </c>
      <c r="H352" s="266" t="s">
        <v>286</v>
      </c>
      <c r="I352" s="266" t="s">
        <v>313</v>
      </c>
      <c r="J352" s="266"/>
      <c r="K352" s="405"/>
    </row>
    <row r="353" spans="1:11" x14ac:dyDescent="0.25">
      <c r="A353" s="270"/>
      <c r="B353" s="266"/>
      <c r="C353" s="266" t="s">
        <v>969</v>
      </c>
      <c r="D353" s="266" t="s">
        <v>5670</v>
      </c>
      <c r="E353" s="267"/>
      <c r="F353" s="267">
        <v>30250</v>
      </c>
      <c r="G353" s="266" t="s">
        <v>1845</v>
      </c>
      <c r="H353" s="266" t="s">
        <v>240</v>
      </c>
      <c r="I353" s="266" t="s">
        <v>308</v>
      </c>
      <c r="J353" s="266"/>
      <c r="K353" s="405"/>
    </row>
    <row r="354" spans="1:11" x14ac:dyDescent="0.25">
      <c r="A354" s="270"/>
      <c r="B354" s="266"/>
      <c r="C354" s="266" t="s">
        <v>969</v>
      </c>
      <c r="D354" s="266" t="s">
        <v>5671</v>
      </c>
      <c r="E354" s="267"/>
      <c r="F354" s="267">
        <v>30250</v>
      </c>
      <c r="G354" s="266" t="s">
        <v>1845</v>
      </c>
      <c r="H354" s="266" t="s">
        <v>263</v>
      </c>
      <c r="I354" s="266" t="s">
        <v>308</v>
      </c>
      <c r="J354" s="266"/>
      <c r="K354" s="405"/>
    </row>
    <row r="355" spans="1:11" x14ac:dyDescent="0.25">
      <c r="A355" s="270"/>
      <c r="B355" s="266"/>
      <c r="C355" s="266" t="s">
        <v>969</v>
      </c>
      <c r="D355" s="266" t="s">
        <v>5672</v>
      </c>
      <c r="E355" s="267"/>
      <c r="F355" s="267">
        <v>30250</v>
      </c>
      <c r="G355" s="266" t="s">
        <v>1845</v>
      </c>
      <c r="H355" s="266" t="s">
        <v>252</v>
      </c>
      <c r="I355" s="266" t="s">
        <v>308</v>
      </c>
      <c r="J355" s="266"/>
      <c r="K355" s="405"/>
    </row>
    <row r="356" spans="1:11" x14ac:dyDescent="0.25">
      <c r="A356" s="270"/>
      <c r="B356" s="266"/>
      <c r="C356" s="266" t="s">
        <v>1274</v>
      </c>
      <c r="D356" s="266" t="s">
        <v>5673</v>
      </c>
      <c r="E356" s="267"/>
      <c r="F356" s="267">
        <v>30369</v>
      </c>
      <c r="G356" s="266" t="s">
        <v>1858</v>
      </c>
      <c r="H356" s="266" t="s">
        <v>1859</v>
      </c>
      <c r="I356" s="266" t="s">
        <v>308</v>
      </c>
      <c r="J356" s="266"/>
      <c r="K356" s="405"/>
    </row>
    <row r="357" spans="1:11" x14ac:dyDescent="0.25">
      <c r="A357" s="270"/>
      <c r="B357" s="266"/>
      <c r="C357" s="266" t="s">
        <v>969</v>
      </c>
      <c r="D357" s="266" t="s">
        <v>5674</v>
      </c>
      <c r="E357" s="267"/>
      <c r="F357" s="267">
        <v>30369</v>
      </c>
      <c r="G357" s="266" t="s">
        <v>432</v>
      </c>
      <c r="H357" s="266" t="s">
        <v>5675</v>
      </c>
      <c r="I357" s="266" t="s">
        <v>308</v>
      </c>
      <c r="J357" s="266"/>
      <c r="K357" s="405"/>
    </row>
    <row r="358" spans="1:11" x14ac:dyDescent="0.25">
      <c r="A358" s="270"/>
      <c r="B358" s="266"/>
      <c r="C358" s="266" t="s">
        <v>969</v>
      </c>
      <c r="D358" s="266" t="s">
        <v>5676</v>
      </c>
      <c r="E358" s="267"/>
      <c r="F358" s="267">
        <v>30388</v>
      </c>
      <c r="G358" s="266" t="s">
        <v>5675</v>
      </c>
      <c r="H358" s="266" t="s">
        <v>438</v>
      </c>
      <c r="I358" s="266" t="s">
        <v>308</v>
      </c>
      <c r="J358" s="266"/>
      <c r="K358" s="405"/>
    </row>
    <row r="359" spans="1:11" x14ac:dyDescent="0.25">
      <c r="A359" s="270"/>
      <c r="B359" s="266"/>
      <c r="C359" s="266" t="s">
        <v>969</v>
      </c>
      <c r="D359" s="266" t="s">
        <v>5677</v>
      </c>
      <c r="E359" s="267"/>
      <c r="F359" s="267">
        <v>30388</v>
      </c>
      <c r="G359" s="266" t="s">
        <v>5675</v>
      </c>
      <c r="H359" s="266" t="s">
        <v>1866</v>
      </c>
      <c r="I359" s="266" t="s">
        <v>308</v>
      </c>
      <c r="J359" s="266"/>
      <c r="K359" s="405"/>
    </row>
    <row r="360" spans="1:11" x14ac:dyDescent="0.25">
      <c r="A360" s="270"/>
      <c r="B360" s="266"/>
      <c r="C360" s="266" t="s">
        <v>969</v>
      </c>
      <c r="D360" s="266" t="s">
        <v>5678</v>
      </c>
      <c r="E360" s="267"/>
      <c r="F360" s="267">
        <v>30388</v>
      </c>
      <c r="G360" s="266" t="s">
        <v>5675</v>
      </c>
      <c r="H360" s="266" t="s">
        <v>430</v>
      </c>
      <c r="I360" s="266" t="s">
        <v>308</v>
      </c>
      <c r="J360" s="266"/>
      <c r="K360" s="405"/>
    </row>
    <row r="361" spans="1:11" x14ac:dyDescent="0.25">
      <c r="A361" s="270"/>
      <c r="B361" s="266"/>
      <c r="C361" s="266" t="s">
        <v>969</v>
      </c>
      <c r="D361" s="266" t="s">
        <v>5679</v>
      </c>
      <c r="E361" s="267"/>
      <c r="F361" s="267">
        <v>30388</v>
      </c>
      <c r="G361" s="266" t="s">
        <v>5675</v>
      </c>
      <c r="H361" s="266" t="s">
        <v>427</v>
      </c>
      <c r="I361" s="266" t="s">
        <v>308</v>
      </c>
      <c r="J361" s="266"/>
      <c r="K361" s="405"/>
    </row>
    <row r="362" spans="1:11" x14ac:dyDescent="0.25">
      <c r="A362" s="270"/>
      <c r="B362" s="266"/>
      <c r="C362" s="266" t="s">
        <v>969</v>
      </c>
      <c r="D362" s="266" t="s">
        <v>5680</v>
      </c>
      <c r="E362" s="267"/>
      <c r="F362" s="267">
        <v>30388</v>
      </c>
      <c r="G362" s="266" t="s">
        <v>5675</v>
      </c>
      <c r="H362" s="266" t="s">
        <v>437</v>
      </c>
      <c r="I362" s="266" t="s">
        <v>308</v>
      </c>
      <c r="J362" s="266"/>
      <c r="K362" s="405"/>
    </row>
    <row r="363" spans="1:11" x14ac:dyDescent="0.25">
      <c r="A363" s="270"/>
      <c r="B363" s="266"/>
      <c r="C363" s="266" t="s">
        <v>1623</v>
      </c>
      <c r="D363" s="266" t="s">
        <v>5681</v>
      </c>
      <c r="E363" s="267">
        <v>30741</v>
      </c>
      <c r="F363" s="267">
        <v>30770</v>
      </c>
      <c r="G363" s="266" t="s">
        <v>1772</v>
      </c>
      <c r="H363" s="266" t="s">
        <v>5682</v>
      </c>
      <c r="I363" s="266" t="s">
        <v>4721</v>
      </c>
      <c r="J363" s="266"/>
      <c r="K363" s="405"/>
    </row>
    <row r="364" spans="1:11" x14ac:dyDescent="0.25">
      <c r="A364" s="270"/>
      <c r="B364" s="266"/>
      <c r="C364" s="266" t="s">
        <v>1623</v>
      </c>
      <c r="D364" s="266" t="s">
        <v>5683</v>
      </c>
      <c r="E364" s="267"/>
      <c r="F364" s="267">
        <v>30770</v>
      </c>
      <c r="G364" s="266" t="s">
        <v>1772</v>
      </c>
      <c r="H364" s="266" t="s">
        <v>5684</v>
      </c>
      <c r="I364" s="266" t="s">
        <v>4721</v>
      </c>
      <c r="J364" s="266"/>
      <c r="K364" s="405"/>
    </row>
    <row r="365" spans="1:11" x14ac:dyDescent="0.25">
      <c r="A365" s="270"/>
      <c r="B365" s="266"/>
      <c r="C365" s="266" t="s">
        <v>1623</v>
      </c>
      <c r="D365" s="266" t="s">
        <v>5685</v>
      </c>
      <c r="E365" s="267"/>
      <c r="F365" s="267">
        <v>30791</v>
      </c>
      <c r="G365" s="266" t="s">
        <v>400</v>
      </c>
      <c r="H365" s="266" t="s">
        <v>1986</v>
      </c>
      <c r="I365" s="266" t="s">
        <v>308</v>
      </c>
      <c r="J365" s="266"/>
      <c r="K365" s="405"/>
    </row>
    <row r="366" spans="1:11" x14ac:dyDescent="0.25">
      <c r="A366" s="270"/>
      <c r="B366" s="266"/>
      <c r="C366" s="266" t="s">
        <v>969</v>
      </c>
      <c r="D366" s="266" t="s">
        <v>5686</v>
      </c>
      <c r="E366" s="267"/>
      <c r="F366" s="267">
        <v>31100</v>
      </c>
      <c r="G366" s="266" t="s">
        <v>5687</v>
      </c>
      <c r="H366" s="266" t="s">
        <v>5688</v>
      </c>
      <c r="I366" s="266" t="s">
        <v>313</v>
      </c>
      <c r="J366" s="266"/>
      <c r="K366" s="405"/>
    </row>
    <row r="367" spans="1:11" x14ac:dyDescent="0.25">
      <c r="A367" s="270"/>
      <c r="B367" s="266"/>
      <c r="C367" s="266" t="s">
        <v>969</v>
      </c>
      <c r="D367" s="266" t="s">
        <v>5689</v>
      </c>
      <c r="E367" s="267"/>
      <c r="F367" s="267">
        <v>31158</v>
      </c>
      <c r="G367" s="266" t="s">
        <v>5661</v>
      </c>
      <c r="H367" s="266" t="s">
        <v>5690</v>
      </c>
      <c r="I367" s="266" t="s">
        <v>308</v>
      </c>
      <c r="J367" s="266"/>
      <c r="K367" s="405"/>
    </row>
    <row r="368" spans="1:11" x14ac:dyDescent="0.25">
      <c r="A368" s="270"/>
      <c r="B368" s="266"/>
      <c r="C368" s="266" t="s">
        <v>969</v>
      </c>
      <c r="D368" s="266" t="s">
        <v>5691</v>
      </c>
      <c r="E368" s="267"/>
      <c r="F368" s="267">
        <v>31279</v>
      </c>
      <c r="G368" s="266" t="s">
        <v>2047</v>
      </c>
      <c r="H368" s="266" t="s">
        <v>2048</v>
      </c>
      <c r="I368" s="266" t="s">
        <v>313</v>
      </c>
      <c r="J368" s="266"/>
      <c r="K368" s="405"/>
    </row>
    <row r="369" spans="1:11" x14ac:dyDescent="0.25">
      <c r="A369" s="270"/>
      <c r="B369" s="266"/>
      <c r="C369" s="266" t="s">
        <v>969</v>
      </c>
      <c r="D369" s="266" t="s">
        <v>5692</v>
      </c>
      <c r="E369" s="267"/>
      <c r="F369" s="267">
        <v>31308</v>
      </c>
      <c r="G369" s="266" t="s">
        <v>573</v>
      </c>
      <c r="H369" s="266" t="s">
        <v>249</v>
      </c>
      <c r="I369" s="266" t="s">
        <v>308</v>
      </c>
      <c r="J369" s="266"/>
      <c r="K369" s="405"/>
    </row>
    <row r="370" spans="1:11" x14ac:dyDescent="0.25">
      <c r="A370" s="270"/>
      <c r="B370" s="266"/>
      <c r="C370" s="266" t="s">
        <v>969</v>
      </c>
      <c r="D370" s="266" t="s">
        <v>5693</v>
      </c>
      <c r="E370" s="267"/>
      <c r="F370" s="267">
        <v>31329</v>
      </c>
      <c r="G370" s="266" t="s">
        <v>5694</v>
      </c>
      <c r="H370" s="266" t="s">
        <v>2054</v>
      </c>
      <c r="I370" s="266" t="s">
        <v>308</v>
      </c>
      <c r="J370" s="266"/>
      <c r="K370" s="405"/>
    </row>
    <row r="371" spans="1:11" x14ac:dyDescent="0.25">
      <c r="A371" s="270"/>
      <c r="B371" s="266"/>
      <c r="C371" s="266" t="s">
        <v>969</v>
      </c>
      <c r="D371" s="266" t="s">
        <v>5695</v>
      </c>
      <c r="E371" s="267"/>
      <c r="F371" s="267">
        <v>31330</v>
      </c>
      <c r="G371" s="266" t="s">
        <v>1582</v>
      </c>
      <c r="H371" s="266" t="s">
        <v>1723</v>
      </c>
      <c r="I371" s="266" t="s">
        <v>308</v>
      </c>
      <c r="J371" s="266"/>
      <c r="K371" s="405"/>
    </row>
    <row r="372" spans="1:11" x14ac:dyDescent="0.25">
      <c r="A372" s="270"/>
      <c r="B372" s="266"/>
      <c r="C372" s="266" t="s">
        <v>1623</v>
      </c>
      <c r="D372" s="266" t="s">
        <v>5696</v>
      </c>
      <c r="E372" s="267"/>
      <c r="F372" s="267">
        <v>31408</v>
      </c>
      <c r="G372" s="266" t="s">
        <v>400</v>
      </c>
      <c r="H372" s="266" t="s">
        <v>435</v>
      </c>
      <c r="I372" s="266" t="s">
        <v>308</v>
      </c>
      <c r="J372" s="266"/>
      <c r="K372" s="405"/>
    </row>
    <row r="373" spans="1:11" x14ac:dyDescent="0.25">
      <c r="A373" s="270"/>
      <c r="B373" s="266"/>
      <c r="C373" s="266" t="s">
        <v>1623</v>
      </c>
      <c r="D373" s="266" t="s">
        <v>5697</v>
      </c>
      <c r="E373" s="267"/>
      <c r="F373" s="267">
        <v>31408</v>
      </c>
      <c r="G373" s="266" t="s">
        <v>400</v>
      </c>
      <c r="H373" s="266" t="s">
        <v>434</v>
      </c>
      <c r="I373" s="266" t="s">
        <v>308</v>
      </c>
      <c r="J373" s="266"/>
      <c r="K373" s="405"/>
    </row>
    <row r="374" spans="1:11" x14ac:dyDescent="0.25">
      <c r="A374" s="270"/>
      <c r="B374" s="266"/>
      <c r="C374" s="266" t="s">
        <v>969</v>
      </c>
      <c r="D374" s="266" t="s">
        <v>5698</v>
      </c>
      <c r="E374" s="267"/>
      <c r="F374" s="267">
        <v>31418</v>
      </c>
      <c r="G374" s="266" t="s">
        <v>417</v>
      </c>
      <c r="H374" s="266" t="s">
        <v>2065</v>
      </c>
      <c r="I374" s="266" t="s">
        <v>308</v>
      </c>
      <c r="J374" s="266"/>
      <c r="K374" s="405"/>
    </row>
    <row r="375" spans="1:11" x14ac:dyDescent="0.25">
      <c r="A375" s="270"/>
      <c r="B375" s="266"/>
      <c r="C375" s="266" t="s">
        <v>969</v>
      </c>
      <c r="D375" s="266" t="s">
        <v>5699</v>
      </c>
      <c r="E375" s="267"/>
      <c r="F375" s="267">
        <v>31434</v>
      </c>
      <c r="G375" s="266" t="s">
        <v>5682</v>
      </c>
      <c r="H375" s="266" t="s">
        <v>2068</v>
      </c>
      <c r="I375" s="266" t="s">
        <v>313</v>
      </c>
      <c r="J375" s="266"/>
      <c r="K375" s="405"/>
    </row>
    <row r="376" spans="1:11" x14ac:dyDescent="0.25">
      <c r="A376" s="270"/>
      <c r="B376" s="266"/>
      <c r="C376" s="266" t="s">
        <v>969</v>
      </c>
      <c r="D376" s="266" t="s">
        <v>5700</v>
      </c>
      <c r="E376" s="267"/>
      <c r="F376" s="267">
        <v>31582</v>
      </c>
      <c r="G376" s="266" t="s">
        <v>573</v>
      </c>
      <c r="H376" s="266" t="s">
        <v>434</v>
      </c>
      <c r="I376" s="266" t="s">
        <v>308</v>
      </c>
      <c r="J376" s="266"/>
      <c r="K376" s="405"/>
    </row>
    <row r="377" spans="1:11" x14ac:dyDescent="0.25">
      <c r="A377" s="270"/>
      <c r="B377" s="266"/>
      <c r="C377" s="266" t="s">
        <v>969</v>
      </c>
      <c r="D377" s="266" t="s">
        <v>5701</v>
      </c>
      <c r="E377" s="267"/>
      <c r="F377" s="267">
        <v>31657</v>
      </c>
      <c r="G377" s="266" t="s">
        <v>573</v>
      </c>
      <c r="H377" s="266" t="s">
        <v>394</v>
      </c>
      <c r="I377" s="266" t="s">
        <v>308</v>
      </c>
      <c r="J377" s="266"/>
      <c r="K377" s="405"/>
    </row>
    <row r="378" spans="1:11" x14ac:dyDescent="0.25">
      <c r="A378" s="270"/>
      <c r="B378" s="266"/>
      <c r="C378" s="266" t="s">
        <v>969</v>
      </c>
      <c r="D378" s="266" t="s">
        <v>5702</v>
      </c>
      <c r="E378" s="267"/>
      <c r="F378" s="267">
        <v>31684</v>
      </c>
      <c r="G378" s="266" t="s">
        <v>433</v>
      </c>
      <c r="H378" s="266" t="s">
        <v>2079</v>
      </c>
      <c r="I378" s="266" t="s">
        <v>308</v>
      </c>
      <c r="J378" s="266"/>
      <c r="K378" s="405"/>
    </row>
    <row r="379" spans="1:11" x14ac:dyDescent="0.25">
      <c r="A379" s="270"/>
      <c r="B379" s="266"/>
      <c r="C379" s="266" t="s">
        <v>969</v>
      </c>
      <c r="D379" s="266" t="s">
        <v>5703</v>
      </c>
      <c r="E379" s="267"/>
      <c r="F379" s="267">
        <v>31723</v>
      </c>
      <c r="G379" s="266" t="s">
        <v>2068</v>
      </c>
      <c r="H379" s="266" t="s">
        <v>5704</v>
      </c>
      <c r="I379" s="266" t="s">
        <v>313</v>
      </c>
      <c r="J379" s="266"/>
      <c r="K379" s="405"/>
    </row>
    <row r="380" spans="1:11" x14ac:dyDescent="0.25">
      <c r="A380" s="270"/>
      <c r="B380" s="266"/>
      <c r="C380" s="266" t="s">
        <v>969</v>
      </c>
      <c r="D380" s="266" t="s">
        <v>5705</v>
      </c>
      <c r="E380" s="267"/>
      <c r="F380" s="267">
        <v>31917</v>
      </c>
      <c r="G380" s="266" t="s">
        <v>573</v>
      </c>
      <c r="H380" s="266" t="s">
        <v>2089</v>
      </c>
      <c r="I380" s="266" t="s">
        <v>308</v>
      </c>
      <c r="J380" s="266"/>
      <c r="K380" s="405"/>
    </row>
    <row r="381" spans="1:11" x14ac:dyDescent="0.25">
      <c r="A381" s="270"/>
      <c r="B381" s="266"/>
      <c r="C381" s="266" t="s">
        <v>969</v>
      </c>
      <c r="D381" s="266" t="s">
        <v>5706</v>
      </c>
      <c r="E381" s="267"/>
      <c r="F381" s="267">
        <v>32031</v>
      </c>
      <c r="G381" s="266" t="s">
        <v>2108</v>
      </c>
      <c r="H381" s="266" t="s">
        <v>2109</v>
      </c>
      <c r="I381" s="266" t="s">
        <v>308</v>
      </c>
      <c r="J381" s="266"/>
      <c r="K381" s="405"/>
    </row>
    <row r="382" spans="1:11" x14ac:dyDescent="0.25">
      <c r="A382" s="270"/>
      <c r="B382" s="266"/>
      <c r="C382" s="266" t="s">
        <v>1107</v>
      </c>
      <c r="D382" s="266" t="s">
        <v>5707</v>
      </c>
      <c r="E382" s="267"/>
      <c r="F382" s="267">
        <v>32072</v>
      </c>
      <c r="G382" s="266" t="s">
        <v>2112</v>
      </c>
      <c r="H382" s="266" t="s">
        <v>1110</v>
      </c>
      <c r="I382" s="266" t="s">
        <v>308</v>
      </c>
      <c r="J382" s="266"/>
      <c r="K382" s="405"/>
    </row>
    <row r="383" spans="1:11" x14ac:dyDescent="0.25">
      <c r="A383" s="270"/>
      <c r="B383" s="266"/>
      <c r="C383" s="266" t="s">
        <v>969</v>
      </c>
      <c r="D383" s="266" t="s">
        <v>5708</v>
      </c>
      <c r="E383" s="267"/>
      <c r="F383" s="267">
        <v>32072</v>
      </c>
      <c r="G383" s="266" t="s">
        <v>240</v>
      </c>
      <c r="H383" s="266" t="s">
        <v>2115</v>
      </c>
      <c r="I383" s="266" t="s">
        <v>308</v>
      </c>
      <c r="J383" s="266"/>
      <c r="K383" s="405"/>
    </row>
    <row r="384" spans="1:11" x14ac:dyDescent="0.25">
      <c r="A384" s="270"/>
      <c r="B384" s="266"/>
      <c r="C384" s="266" t="s">
        <v>969</v>
      </c>
      <c r="D384" s="266" t="s">
        <v>5709</v>
      </c>
      <c r="E384" s="267"/>
      <c r="F384" s="267">
        <v>32072</v>
      </c>
      <c r="G384" s="266" t="s">
        <v>240</v>
      </c>
      <c r="H384" s="266" t="s">
        <v>2115</v>
      </c>
      <c r="I384" s="266" t="s">
        <v>308</v>
      </c>
      <c r="J384" s="266"/>
      <c r="K384" s="405"/>
    </row>
    <row r="385" spans="1:11" x14ac:dyDescent="0.25">
      <c r="A385" s="270"/>
      <c r="B385" s="266"/>
      <c r="C385" s="266" t="s">
        <v>969</v>
      </c>
      <c r="D385" s="266" t="s">
        <v>5710</v>
      </c>
      <c r="E385" s="267"/>
      <c r="F385" s="267">
        <v>32118</v>
      </c>
      <c r="G385" s="266" t="s">
        <v>394</v>
      </c>
      <c r="H385" s="266" t="s">
        <v>433</v>
      </c>
      <c r="I385" s="266" t="s">
        <v>308</v>
      </c>
      <c r="J385" s="266"/>
      <c r="K385" s="405"/>
    </row>
    <row r="386" spans="1:11" x14ac:dyDescent="0.25">
      <c r="A386" s="270"/>
      <c r="B386" s="266"/>
      <c r="C386" s="266" t="s">
        <v>969</v>
      </c>
      <c r="D386" s="266" t="s">
        <v>5711</v>
      </c>
      <c r="E386" s="267"/>
      <c r="F386" s="267">
        <v>32177</v>
      </c>
      <c r="G386" s="266" t="s">
        <v>1775</v>
      </c>
      <c r="H386" s="266" t="s">
        <v>5712</v>
      </c>
      <c r="I386" s="266" t="s">
        <v>308</v>
      </c>
      <c r="J386" s="266"/>
      <c r="K386" s="405"/>
    </row>
    <row r="387" spans="1:11" x14ac:dyDescent="0.25">
      <c r="A387" s="270"/>
      <c r="B387" s="266"/>
      <c r="C387" s="266" t="s">
        <v>969</v>
      </c>
      <c r="D387" s="266" t="s">
        <v>5713</v>
      </c>
      <c r="E387" s="267">
        <v>32216</v>
      </c>
      <c r="F387" s="267">
        <v>32329</v>
      </c>
      <c r="G387" s="266" t="s">
        <v>5714</v>
      </c>
      <c r="H387" s="266" t="s">
        <v>5715</v>
      </c>
      <c r="I387" s="266" t="s">
        <v>5716</v>
      </c>
      <c r="J387" s="266"/>
      <c r="K387" s="405"/>
    </row>
    <row r="388" spans="1:11" x14ac:dyDescent="0.25">
      <c r="A388" s="270"/>
      <c r="B388" s="266"/>
      <c r="C388" s="266" t="s">
        <v>969</v>
      </c>
      <c r="D388" s="266" t="s">
        <v>5717</v>
      </c>
      <c r="E388" s="267"/>
      <c r="F388" s="267">
        <v>32255</v>
      </c>
      <c r="G388" s="266" t="s">
        <v>1391</v>
      </c>
      <c r="H388" s="266" t="s">
        <v>436</v>
      </c>
      <c r="I388" s="266" t="s">
        <v>308</v>
      </c>
      <c r="J388" s="266"/>
      <c r="K388" s="405"/>
    </row>
    <row r="389" spans="1:11" x14ac:dyDescent="0.25">
      <c r="A389" s="270"/>
      <c r="B389" s="266"/>
      <c r="C389" s="266" t="s">
        <v>969</v>
      </c>
      <c r="D389" s="266" t="s">
        <v>5718</v>
      </c>
      <c r="E389" s="267"/>
      <c r="F389" s="267">
        <v>32344</v>
      </c>
      <c r="G389" s="266" t="s">
        <v>394</v>
      </c>
      <c r="H389" s="266" t="s">
        <v>591</v>
      </c>
      <c r="I389" s="266" t="s">
        <v>308</v>
      </c>
      <c r="J389" s="266"/>
      <c r="K389" s="405"/>
    </row>
    <row r="390" spans="1:11" x14ac:dyDescent="0.25">
      <c r="A390" s="270"/>
      <c r="B390" s="266"/>
      <c r="C390" s="266" t="s">
        <v>969</v>
      </c>
      <c r="D390" s="266" t="s">
        <v>5719</v>
      </c>
      <c r="E390" s="267"/>
      <c r="F390" s="267">
        <v>32344</v>
      </c>
      <c r="G390" s="266" t="s">
        <v>394</v>
      </c>
      <c r="H390" s="266" t="s">
        <v>2157</v>
      </c>
      <c r="I390" s="266" t="s">
        <v>308</v>
      </c>
      <c r="J390" s="266"/>
      <c r="K390" s="405"/>
    </row>
    <row r="391" spans="1:11" x14ac:dyDescent="0.25">
      <c r="A391" s="270"/>
      <c r="B391" s="266"/>
      <c r="C391" s="266" t="s">
        <v>969</v>
      </c>
      <c r="D391" s="266" t="s">
        <v>5720</v>
      </c>
      <c r="E391" s="267"/>
      <c r="F391" s="267">
        <v>32344</v>
      </c>
      <c r="G391" s="266" t="s">
        <v>394</v>
      </c>
      <c r="H391" s="266" t="s">
        <v>589</v>
      </c>
      <c r="I391" s="266" t="s">
        <v>308</v>
      </c>
      <c r="J391" s="266"/>
      <c r="K391" s="405"/>
    </row>
    <row r="392" spans="1:11" x14ac:dyDescent="0.25">
      <c r="A392" s="270"/>
      <c r="B392" s="266"/>
      <c r="C392" s="266" t="s">
        <v>969</v>
      </c>
      <c r="D392" s="266" t="s">
        <v>5721</v>
      </c>
      <c r="E392" s="267"/>
      <c r="F392" s="267">
        <v>32344</v>
      </c>
      <c r="G392" s="266" t="s">
        <v>394</v>
      </c>
      <c r="H392" s="266" t="s">
        <v>2152</v>
      </c>
      <c r="I392" s="266" t="s">
        <v>308</v>
      </c>
      <c r="J392" s="266"/>
      <c r="K392" s="405"/>
    </row>
    <row r="393" spans="1:11" x14ac:dyDescent="0.25">
      <c r="A393" s="270"/>
      <c r="B393" s="266"/>
      <c r="C393" s="266" t="s">
        <v>1274</v>
      </c>
      <c r="D393" s="266" t="s">
        <v>5722</v>
      </c>
      <c r="E393" s="267"/>
      <c r="F393" s="267">
        <v>32350</v>
      </c>
      <c r="G393" s="266" t="s">
        <v>2160</v>
      </c>
      <c r="H393" s="266" t="s">
        <v>5723</v>
      </c>
      <c r="I393" s="266" t="s">
        <v>308</v>
      </c>
      <c r="J393" s="266"/>
      <c r="K393" s="405"/>
    </row>
    <row r="394" spans="1:11" x14ac:dyDescent="0.25">
      <c r="A394" s="270"/>
      <c r="B394" s="266"/>
      <c r="C394" s="266" t="s">
        <v>969</v>
      </c>
      <c r="D394" s="266" t="s">
        <v>5724</v>
      </c>
      <c r="E394" s="267"/>
      <c r="F394" s="267">
        <v>32405</v>
      </c>
      <c r="G394" s="266" t="s">
        <v>2170</v>
      </c>
      <c r="H394" s="266" t="s">
        <v>5725</v>
      </c>
      <c r="I394" s="266" t="s">
        <v>308</v>
      </c>
      <c r="J394" s="266"/>
      <c r="K394" s="405"/>
    </row>
    <row r="395" spans="1:11" x14ac:dyDescent="0.25">
      <c r="A395" s="271"/>
      <c r="B395" s="264">
        <v>1</v>
      </c>
      <c r="C395" s="264" t="s">
        <v>309</v>
      </c>
      <c r="D395" s="264">
        <v>36564</v>
      </c>
      <c r="E395" s="261">
        <v>36564</v>
      </c>
      <c r="F395" s="261" t="s">
        <v>508</v>
      </c>
      <c r="G395" s="264" t="s">
        <v>2586</v>
      </c>
      <c r="H395" s="264" t="s">
        <v>496</v>
      </c>
      <c r="I395" s="264" t="s">
        <v>5481</v>
      </c>
      <c r="J395" s="264" t="s">
        <v>2640</v>
      </c>
      <c r="K395" s="405" t="s">
        <v>5726</v>
      </c>
    </row>
    <row r="396" spans="1:11" x14ac:dyDescent="0.25">
      <c r="A396" s="271"/>
      <c r="B396" s="264">
        <v>4</v>
      </c>
      <c r="C396" s="264" t="s">
        <v>309</v>
      </c>
      <c r="D396" s="264">
        <v>36565</v>
      </c>
      <c r="E396" s="261">
        <v>36565</v>
      </c>
      <c r="F396" s="261" t="s">
        <v>514</v>
      </c>
      <c r="G396" s="264" t="s">
        <v>515</v>
      </c>
      <c r="H396" s="264" t="s">
        <v>266</v>
      </c>
      <c r="I396" s="264" t="s">
        <v>516</v>
      </c>
      <c r="J396" s="264" t="s">
        <v>2640</v>
      </c>
      <c r="K396" s="405" t="s">
        <v>5727</v>
      </c>
    </row>
    <row r="397" spans="1:11" x14ac:dyDescent="0.25">
      <c r="A397" s="271"/>
      <c r="B397" s="264">
        <v>11</v>
      </c>
      <c r="C397" s="264" t="s">
        <v>309</v>
      </c>
      <c r="D397" s="264">
        <v>36566</v>
      </c>
      <c r="E397" s="261">
        <v>36566</v>
      </c>
      <c r="F397" s="261" t="s">
        <v>530</v>
      </c>
      <c r="G397" s="264" t="s">
        <v>531</v>
      </c>
      <c r="H397" s="264" t="s">
        <v>5728</v>
      </c>
      <c r="I397" s="264" t="s">
        <v>2667</v>
      </c>
      <c r="J397" s="264" t="s">
        <v>2640</v>
      </c>
      <c r="K397" s="405" t="s">
        <v>5729</v>
      </c>
    </row>
    <row r="398" spans="1:11" x14ac:dyDescent="0.25">
      <c r="A398" s="271"/>
      <c r="B398" s="264">
        <v>12</v>
      </c>
      <c r="C398" s="264" t="s">
        <v>309</v>
      </c>
      <c r="D398" s="264">
        <v>36572</v>
      </c>
      <c r="E398" s="261">
        <v>36572</v>
      </c>
      <c r="F398" s="261" t="s">
        <v>532</v>
      </c>
      <c r="G398" s="264" t="s">
        <v>533</v>
      </c>
      <c r="H398" s="264" t="s">
        <v>496</v>
      </c>
      <c r="I398" s="264" t="s">
        <v>717</v>
      </c>
      <c r="J398" s="264" t="s">
        <v>2640</v>
      </c>
      <c r="K398" s="405" t="s">
        <v>5730</v>
      </c>
    </row>
    <row r="399" spans="1:11" x14ac:dyDescent="0.25">
      <c r="A399" s="271"/>
      <c r="B399" s="264">
        <v>13</v>
      </c>
      <c r="C399" s="264" t="s">
        <v>309</v>
      </c>
      <c r="D399" s="264">
        <v>37372</v>
      </c>
      <c r="E399" s="261">
        <v>37348</v>
      </c>
      <c r="F399" s="261" t="s">
        <v>594</v>
      </c>
      <c r="G399" s="264" t="s">
        <v>2834</v>
      </c>
      <c r="H399" s="264" t="s">
        <v>2835</v>
      </c>
      <c r="I399" s="264" t="s">
        <v>313</v>
      </c>
      <c r="J399" s="264" t="s">
        <v>2640</v>
      </c>
      <c r="K399" s="405" t="s">
        <v>5731</v>
      </c>
    </row>
    <row r="400" spans="1:11" x14ac:dyDescent="0.25">
      <c r="A400" s="271"/>
      <c r="B400" s="264">
        <v>15</v>
      </c>
      <c r="C400" s="264" t="s">
        <v>309</v>
      </c>
      <c r="D400" s="264">
        <v>37503</v>
      </c>
      <c r="E400" s="261">
        <v>37354</v>
      </c>
      <c r="F400" s="261" t="s">
        <v>599</v>
      </c>
      <c r="G400" s="264" t="s">
        <v>247</v>
      </c>
      <c r="H400" s="264" t="s">
        <v>2835</v>
      </c>
      <c r="I400" s="264" t="s">
        <v>313</v>
      </c>
      <c r="J400" s="264" t="s">
        <v>2640</v>
      </c>
      <c r="K400" s="405" t="s">
        <v>5731</v>
      </c>
    </row>
    <row r="401" spans="1:11" x14ac:dyDescent="0.25">
      <c r="A401" s="271"/>
      <c r="B401" s="264">
        <v>16</v>
      </c>
      <c r="C401" s="264" t="s">
        <v>309</v>
      </c>
      <c r="D401" s="264">
        <v>37389</v>
      </c>
      <c r="E401" s="261">
        <v>37361</v>
      </c>
      <c r="F401" s="261" t="s">
        <v>600</v>
      </c>
      <c r="G401" s="264" t="s">
        <v>2840</v>
      </c>
      <c r="H401" s="264" t="s">
        <v>2666</v>
      </c>
      <c r="I401" s="264" t="s">
        <v>313</v>
      </c>
      <c r="J401" s="264" t="s">
        <v>2640</v>
      </c>
      <c r="K401" s="405" t="s">
        <v>5731</v>
      </c>
    </row>
    <row r="402" spans="1:11" x14ac:dyDescent="0.25">
      <c r="A402" s="271"/>
      <c r="B402" s="264">
        <v>18</v>
      </c>
      <c r="C402" s="264" t="s">
        <v>309</v>
      </c>
      <c r="D402" s="264">
        <v>37433</v>
      </c>
      <c r="E402" s="261">
        <v>37381</v>
      </c>
      <c r="F402" s="261" t="s">
        <v>608</v>
      </c>
      <c r="G402" s="264" t="s">
        <v>2863</v>
      </c>
      <c r="H402" s="264" t="s">
        <v>2864</v>
      </c>
      <c r="I402" s="264" t="s">
        <v>313</v>
      </c>
      <c r="J402" s="264" t="s">
        <v>2640</v>
      </c>
      <c r="K402" s="405" t="s">
        <v>5731</v>
      </c>
    </row>
    <row r="403" spans="1:11" x14ac:dyDescent="0.25">
      <c r="A403" s="271"/>
      <c r="B403" s="264">
        <v>20</v>
      </c>
      <c r="C403" s="264" t="s">
        <v>309</v>
      </c>
      <c r="D403" s="264">
        <v>37484</v>
      </c>
      <c r="E403" s="261">
        <v>37425</v>
      </c>
      <c r="F403" s="261" t="s">
        <v>613</v>
      </c>
      <c r="G403" s="264" t="s">
        <v>2870</v>
      </c>
      <c r="H403" s="264" t="s">
        <v>2864</v>
      </c>
      <c r="I403" s="264" t="s">
        <v>313</v>
      </c>
      <c r="J403" s="264" t="s">
        <v>2640</v>
      </c>
      <c r="K403" s="405" t="s">
        <v>5731</v>
      </c>
    </row>
    <row r="404" spans="1:11" x14ac:dyDescent="0.25">
      <c r="A404" s="271"/>
      <c r="B404" s="264">
        <v>21</v>
      </c>
      <c r="C404" s="264" t="s">
        <v>309</v>
      </c>
      <c r="D404" s="264">
        <v>37525</v>
      </c>
      <c r="E404" s="261">
        <v>37496</v>
      </c>
      <c r="F404" s="261" t="s">
        <v>627</v>
      </c>
      <c r="G404" s="264" t="s">
        <v>2878</v>
      </c>
      <c r="H404" s="264" t="s">
        <v>2864</v>
      </c>
      <c r="I404" s="264" t="s">
        <v>313</v>
      </c>
      <c r="J404" s="264" t="s">
        <v>2640</v>
      </c>
      <c r="K404" s="405" t="s">
        <v>5731</v>
      </c>
    </row>
    <row r="405" spans="1:11" x14ac:dyDescent="0.25">
      <c r="A405" s="271"/>
      <c r="B405" s="264">
        <v>22</v>
      </c>
      <c r="C405" s="264" t="s">
        <v>309</v>
      </c>
      <c r="D405" s="264">
        <v>38029</v>
      </c>
      <c r="E405" s="261">
        <v>38000</v>
      </c>
      <c r="F405" s="261" t="s">
        <v>628</v>
      </c>
      <c r="G405" s="264" t="s">
        <v>2964</v>
      </c>
      <c r="H405" s="264" t="s">
        <v>266</v>
      </c>
      <c r="I405" s="264" t="s">
        <v>313</v>
      </c>
      <c r="J405" s="264" t="s">
        <v>2640</v>
      </c>
      <c r="K405" s="405" t="s">
        <v>5731</v>
      </c>
    </row>
    <row r="406" spans="1:11" x14ac:dyDescent="0.25">
      <c r="A406" s="271"/>
      <c r="B406" s="264">
        <v>24</v>
      </c>
      <c r="C406" s="264" t="s">
        <v>309</v>
      </c>
      <c r="D406" s="264">
        <v>38049</v>
      </c>
      <c r="E406" s="261">
        <v>38023</v>
      </c>
      <c r="F406" s="261" t="s">
        <v>647</v>
      </c>
      <c r="G406" s="264" t="s">
        <v>2983</v>
      </c>
      <c r="H406" s="264" t="s">
        <v>266</v>
      </c>
      <c r="I406" s="264" t="s">
        <v>313</v>
      </c>
      <c r="J406" s="264" t="s">
        <v>2640</v>
      </c>
      <c r="K406" s="405" t="s">
        <v>5731</v>
      </c>
    </row>
    <row r="407" spans="1:11" x14ac:dyDescent="0.25">
      <c r="A407" s="271"/>
      <c r="B407" s="264">
        <v>25</v>
      </c>
      <c r="C407" s="264" t="s">
        <v>309</v>
      </c>
      <c r="D407" s="264">
        <v>38027</v>
      </c>
      <c r="E407" s="261">
        <v>38026</v>
      </c>
      <c r="F407" s="261" t="s">
        <v>648</v>
      </c>
      <c r="G407" s="264" t="s">
        <v>2953</v>
      </c>
      <c r="H407" s="264" t="s">
        <v>266</v>
      </c>
      <c r="I407" s="264" t="s">
        <v>313</v>
      </c>
      <c r="J407" s="264" t="s">
        <v>2640</v>
      </c>
      <c r="K407" s="405" t="s">
        <v>5731</v>
      </c>
    </row>
    <row r="408" spans="1:11" x14ac:dyDescent="0.25">
      <c r="A408" s="271"/>
      <c r="B408" s="264">
        <v>26</v>
      </c>
      <c r="C408" s="264" t="s">
        <v>309</v>
      </c>
      <c r="D408" s="264">
        <v>38504</v>
      </c>
      <c r="E408" s="261">
        <v>38441</v>
      </c>
      <c r="F408" s="261" t="s">
        <v>669</v>
      </c>
      <c r="G408" s="264" t="s">
        <v>3086</v>
      </c>
      <c r="H408" s="264" t="s">
        <v>2666</v>
      </c>
      <c r="I408" s="264" t="s">
        <v>313</v>
      </c>
      <c r="J408" s="264" t="s">
        <v>2640</v>
      </c>
      <c r="K408" s="405" t="s">
        <v>5731</v>
      </c>
    </row>
    <row r="409" spans="1:11" x14ac:dyDescent="0.25">
      <c r="A409" s="271"/>
      <c r="B409" s="264">
        <v>27</v>
      </c>
      <c r="C409" s="264" t="s">
        <v>309</v>
      </c>
      <c r="D409" s="264">
        <v>38551</v>
      </c>
      <c r="E409" s="261">
        <v>38468</v>
      </c>
      <c r="F409" s="261" t="s">
        <v>680</v>
      </c>
      <c r="G409" s="264" t="s">
        <v>3105</v>
      </c>
      <c r="H409" s="264" t="s">
        <v>2835</v>
      </c>
      <c r="I409" s="264" t="s">
        <v>313</v>
      </c>
      <c r="J409" s="264" t="s">
        <v>2640</v>
      </c>
      <c r="K409" s="405" t="s">
        <v>5731</v>
      </c>
    </row>
    <row r="410" spans="1:11" x14ac:dyDescent="0.25">
      <c r="A410" s="271"/>
      <c r="B410" s="264">
        <v>28</v>
      </c>
      <c r="C410" s="264" t="s">
        <v>309</v>
      </c>
      <c r="D410" s="264">
        <v>38541</v>
      </c>
      <c r="E410" s="261">
        <v>38482</v>
      </c>
      <c r="F410" s="261" t="s">
        <v>690</v>
      </c>
      <c r="G410" s="264" t="s">
        <v>3098</v>
      </c>
      <c r="H410" s="264" t="s">
        <v>2666</v>
      </c>
      <c r="I410" s="264" t="s">
        <v>313</v>
      </c>
      <c r="J410" s="264" t="s">
        <v>2640</v>
      </c>
      <c r="K410" s="405" t="s">
        <v>5731</v>
      </c>
    </row>
    <row r="411" spans="1:11" x14ac:dyDescent="0.25">
      <c r="A411" s="271"/>
      <c r="B411" s="264">
        <v>29</v>
      </c>
      <c r="C411" s="264" t="s">
        <v>309</v>
      </c>
      <c r="D411" s="264">
        <v>38709</v>
      </c>
      <c r="E411" s="261">
        <v>38621</v>
      </c>
      <c r="F411" s="261" t="s">
        <v>699</v>
      </c>
      <c r="G411" s="264" t="s">
        <v>3177</v>
      </c>
      <c r="H411" s="264" t="s">
        <v>755</v>
      </c>
      <c r="I411" s="264" t="s">
        <v>313</v>
      </c>
      <c r="J411" s="264" t="s">
        <v>2640</v>
      </c>
      <c r="K411" s="405" t="s">
        <v>5731</v>
      </c>
    </row>
    <row r="412" spans="1:11" x14ac:dyDescent="0.25">
      <c r="A412" s="271"/>
      <c r="B412" s="264">
        <v>30</v>
      </c>
      <c r="C412" s="264" t="s">
        <v>309</v>
      </c>
      <c r="D412" s="264">
        <v>38701</v>
      </c>
      <c r="E412" s="261">
        <v>38636</v>
      </c>
      <c r="F412" s="261" t="s">
        <v>704</v>
      </c>
      <c r="G412" s="264" t="s">
        <v>3163</v>
      </c>
      <c r="H412" s="264" t="s">
        <v>3164</v>
      </c>
      <c r="I412" s="264" t="s">
        <v>313</v>
      </c>
      <c r="J412" s="264" t="s">
        <v>2640</v>
      </c>
      <c r="K412" s="405" t="s">
        <v>5731</v>
      </c>
    </row>
    <row r="413" spans="1:11" x14ac:dyDescent="0.25">
      <c r="A413" s="271"/>
      <c r="B413" s="264">
        <v>33</v>
      </c>
      <c r="C413" s="264" t="s">
        <v>309</v>
      </c>
      <c r="D413" s="264">
        <v>38754</v>
      </c>
      <c r="E413" s="261">
        <v>38658</v>
      </c>
      <c r="F413" s="261" t="s">
        <v>710</v>
      </c>
      <c r="G413" s="264" t="s">
        <v>2840</v>
      </c>
      <c r="H413" s="264" t="s">
        <v>5732</v>
      </c>
      <c r="I413" s="264" t="s">
        <v>313</v>
      </c>
      <c r="J413" s="264" t="s">
        <v>2640</v>
      </c>
      <c r="K413" s="405" t="s">
        <v>5731</v>
      </c>
    </row>
    <row r="414" spans="1:11" x14ac:dyDescent="0.25">
      <c r="A414" s="271"/>
      <c r="B414" s="264">
        <v>36</v>
      </c>
      <c r="C414" s="264" t="s">
        <v>309</v>
      </c>
      <c r="D414" s="264">
        <v>38733</v>
      </c>
      <c r="E414" s="261">
        <v>38709</v>
      </c>
      <c r="F414" s="261" t="s">
        <v>719</v>
      </c>
      <c r="G414" s="264" t="s">
        <v>2834</v>
      </c>
      <c r="H414" s="264" t="s">
        <v>3192</v>
      </c>
      <c r="I414" s="264" t="s">
        <v>313</v>
      </c>
      <c r="J414" s="264" t="s">
        <v>2640</v>
      </c>
      <c r="K414" s="405" t="s">
        <v>5731</v>
      </c>
    </row>
    <row r="415" spans="1:11" x14ac:dyDescent="0.25">
      <c r="A415" s="271"/>
      <c r="B415" s="264">
        <v>37</v>
      </c>
      <c r="C415" s="264" t="s">
        <v>309</v>
      </c>
      <c r="D415" s="264">
        <v>38742</v>
      </c>
      <c r="E415" s="261">
        <v>38726</v>
      </c>
      <c r="F415" s="261" t="s">
        <v>723</v>
      </c>
      <c r="G415" s="264" t="s">
        <v>3195</v>
      </c>
      <c r="H415" s="264" t="s">
        <v>299</v>
      </c>
      <c r="I415" s="264" t="s">
        <v>313</v>
      </c>
      <c r="J415" s="264" t="s">
        <v>2640</v>
      </c>
      <c r="K415" s="405" t="s">
        <v>5731</v>
      </c>
    </row>
    <row r="416" spans="1:11" x14ac:dyDescent="0.25">
      <c r="A416" s="271"/>
      <c r="B416" s="264">
        <v>38</v>
      </c>
      <c r="C416" s="264" t="s">
        <v>309</v>
      </c>
      <c r="D416" s="264">
        <v>38747</v>
      </c>
      <c r="E416" s="261">
        <v>38733</v>
      </c>
      <c r="F416" s="261" t="s">
        <v>724</v>
      </c>
      <c r="G416" s="264" t="s">
        <v>3198</v>
      </c>
      <c r="H416" s="264" t="s">
        <v>302</v>
      </c>
      <c r="I416" s="264" t="s">
        <v>313</v>
      </c>
      <c r="J416" s="264" t="s">
        <v>2640</v>
      </c>
      <c r="K416" s="405" t="s">
        <v>5731</v>
      </c>
    </row>
    <row r="417" spans="1:11" x14ac:dyDescent="0.25">
      <c r="A417" s="271"/>
      <c r="B417" s="264">
        <v>39</v>
      </c>
      <c r="C417" s="264" t="s">
        <v>309</v>
      </c>
      <c r="D417" s="264">
        <v>38792</v>
      </c>
      <c r="E417" s="261">
        <v>38761</v>
      </c>
      <c r="F417" s="261" t="s">
        <v>731</v>
      </c>
      <c r="G417" s="264" t="s">
        <v>304</v>
      </c>
      <c r="H417" s="264" t="s">
        <v>299</v>
      </c>
      <c r="I417" s="264" t="s">
        <v>313</v>
      </c>
      <c r="J417" s="264" t="s">
        <v>2640</v>
      </c>
      <c r="K417" s="405" t="s">
        <v>5731</v>
      </c>
    </row>
    <row r="418" spans="1:11" x14ac:dyDescent="0.25">
      <c r="A418" s="271"/>
      <c r="B418" s="264">
        <v>40</v>
      </c>
      <c r="C418" s="264" t="s">
        <v>114</v>
      </c>
      <c r="D418" s="264">
        <v>39336</v>
      </c>
      <c r="E418" s="261">
        <v>39336</v>
      </c>
      <c r="F418" s="261" t="s">
        <v>4444</v>
      </c>
      <c r="G418" s="264" t="s">
        <v>5733</v>
      </c>
      <c r="H418" s="264" t="s">
        <v>5734</v>
      </c>
      <c r="I418" s="264" t="s">
        <v>717</v>
      </c>
      <c r="J418" s="264" t="s">
        <v>2688</v>
      </c>
      <c r="K418" s="405" t="s">
        <v>5735</v>
      </c>
    </row>
    <row r="419" spans="1:11" x14ac:dyDescent="0.25">
      <c r="A419" s="271"/>
      <c r="B419" s="264">
        <v>41</v>
      </c>
      <c r="C419" s="264" t="s">
        <v>3284</v>
      </c>
      <c r="D419" s="264">
        <v>41190</v>
      </c>
      <c r="E419" s="261">
        <v>41190</v>
      </c>
      <c r="F419" s="261" t="s">
        <v>5736</v>
      </c>
      <c r="G419" s="264" t="s">
        <v>3376</v>
      </c>
      <c r="H419" s="264" t="s">
        <v>3539</v>
      </c>
      <c r="I419" s="264" t="s">
        <v>3540</v>
      </c>
      <c r="J419" s="264" t="s">
        <v>3541</v>
      </c>
      <c r="K419" s="405" t="s">
        <v>5737</v>
      </c>
    </row>
    <row r="420" spans="1:11" x14ac:dyDescent="0.25">
      <c r="A420" s="271"/>
      <c r="B420" s="264">
        <v>42</v>
      </c>
      <c r="C420" s="264" t="s">
        <v>3284</v>
      </c>
      <c r="D420" s="264">
        <v>41387</v>
      </c>
      <c r="E420" s="261">
        <v>41387</v>
      </c>
      <c r="F420" s="261" t="s">
        <v>5738</v>
      </c>
      <c r="G420" s="264" t="s">
        <v>3556</v>
      </c>
      <c r="H420" s="264" t="s">
        <v>3557</v>
      </c>
      <c r="I420" s="264" t="s">
        <v>3558</v>
      </c>
      <c r="J420" s="264" t="s">
        <v>3541</v>
      </c>
      <c r="K420" s="405" t="s">
        <v>5739</v>
      </c>
    </row>
    <row r="421" spans="1:11" x14ac:dyDescent="0.25">
      <c r="A421" s="271"/>
      <c r="B421" s="264">
        <v>43</v>
      </c>
      <c r="C421" s="264" t="s">
        <v>82</v>
      </c>
      <c r="D421" s="264">
        <v>42593</v>
      </c>
      <c r="E421" s="261">
        <v>42593</v>
      </c>
      <c r="F421" s="261" t="s">
        <v>4175</v>
      </c>
      <c r="G421" s="264" t="s">
        <v>299</v>
      </c>
      <c r="H421" s="264" t="s">
        <v>3702</v>
      </c>
      <c r="I421" s="264" t="s">
        <v>5740</v>
      </c>
      <c r="J421" s="264" t="s">
        <v>3703</v>
      </c>
      <c r="K421" s="405" t="s">
        <v>5741</v>
      </c>
    </row>
    <row r="422" spans="1:11" x14ac:dyDescent="0.25">
      <c r="A422" s="271"/>
      <c r="B422" s="264">
        <v>46</v>
      </c>
      <c r="C422" s="264" t="s">
        <v>114</v>
      </c>
      <c r="D422" s="264">
        <v>42719</v>
      </c>
      <c r="E422" s="261">
        <v>42719</v>
      </c>
      <c r="F422" s="261" t="s">
        <v>4446</v>
      </c>
      <c r="G422" s="264" t="s">
        <v>5742</v>
      </c>
      <c r="H422" s="264" t="s">
        <v>3454</v>
      </c>
      <c r="I422" s="264" t="s">
        <v>2667</v>
      </c>
      <c r="J422" s="264" t="s">
        <v>2688</v>
      </c>
      <c r="K422" s="405" t="s">
        <v>5743</v>
      </c>
    </row>
    <row r="423" spans="1:11" x14ac:dyDescent="0.25">
      <c r="A423" s="271"/>
      <c r="B423" s="264">
        <v>47</v>
      </c>
      <c r="C423" s="264" t="s">
        <v>114</v>
      </c>
      <c r="D423" s="264">
        <v>42723</v>
      </c>
      <c r="E423" s="261">
        <v>42723</v>
      </c>
      <c r="F423" s="261" t="s">
        <v>5744</v>
      </c>
      <c r="G423" s="264" t="s">
        <v>3713</v>
      </c>
      <c r="H423" s="264" t="s">
        <v>3714</v>
      </c>
      <c r="I423" s="264" t="s">
        <v>3715</v>
      </c>
      <c r="J423" s="264" t="s">
        <v>2688</v>
      </c>
      <c r="K423" s="405" t="s">
        <v>5745</v>
      </c>
    </row>
    <row r="424" spans="1:11" x14ac:dyDescent="0.25">
      <c r="A424" s="271"/>
      <c r="B424" s="264">
        <v>48</v>
      </c>
      <c r="C424" s="264" t="s">
        <v>114</v>
      </c>
      <c r="D424" s="264">
        <v>42752</v>
      </c>
      <c r="E424" s="261">
        <v>42752</v>
      </c>
      <c r="F424" s="261" t="s">
        <v>120</v>
      </c>
      <c r="G424" s="264" t="s">
        <v>5746</v>
      </c>
      <c r="H424" s="264" t="s">
        <v>3721</v>
      </c>
      <c r="I424" s="264" t="s">
        <v>5747</v>
      </c>
      <c r="J424" s="264" t="s">
        <v>2688</v>
      </c>
      <c r="K424" s="405" t="s">
        <v>5748</v>
      </c>
    </row>
    <row r="425" spans="1:11" x14ac:dyDescent="0.25">
      <c r="A425" s="271"/>
      <c r="B425" s="264">
        <v>49</v>
      </c>
      <c r="C425" s="264" t="s">
        <v>1623</v>
      </c>
      <c r="D425" s="264">
        <v>42858</v>
      </c>
      <c r="E425" s="261">
        <v>42858</v>
      </c>
      <c r="F425" s="261" t="s">
        <v>85</v>
      </c>
      <c r="G425" s="264" t="s">
        <v>3724</v>
      </c>
      <c r="H425" s="264" t="s">
        <v>3725</v>
      </c>
      <c r="I425" s="264" t="s">
        <v>2596</v>
      </c>
      <c r="J425" s="264" t="s">
        <v>3726</v>
      </c>
      <c r="K425" s="405" t="s">
        <v>5749</v>
      </c>
    </row>
    <row r="426" spans="1:11" x14ac:dyDescent="0.25">
      <c r="A426" s="271"/>
      <c r="B426" s="264">
        <v>50</v>
      </c>
      <c r="C426" s="264" t="s">
        <v>2437</v>
      </c>
      <c r="D426" s="264">
        <v>43088</v>
      </c>
      <c r="E426" s="261">
        <v>43088</v>
      </c>
      <c r="F426" s="261" t="s">
        <v>5750</v>
      </c>
      <c r="G426" s="264" t="s">
        <v>3706</v>
      </c>
      <c r="H426" s="264" t="s">
        <v>3738</v>
      </c>
      <c r="I426" s="264" t="s">
        <v>2667</v>
      </c>
      <c r="J426" s="264" t="s">
        <v>3739</v>
      </c>
      <c r="K426" s="405" t="s">
        <v>5751</v>
      </c>
    </row>
    <row r="427" spans="1:11" x14ac:dyDescent="0.25">
      <c r="A427" s="271"/>
      <c r="B427" s="264">
        <v>51</v>
      </c>
      <c r="C427" s="264" t="s">
        <v>114</v>
      </c>
      <c r="D427" s="264">
        <v>43119</v>
      </c>
      <c r="E427" s="261">
        <v>43119</v>
      </c>
      <c r="F427" s="261" t="s">
        <v>113</v>
      </c>
      <c r="G427" s="264" t="s">
        <v>3479</v>
      </c>
      <c r="H427" s="264" t="s">
        <v>3634</v>
      </c>
      <c r="I427" s="264" t="s">
        <v>3741</v>
      </c>
      <c r="J427" s="264" t="s">
        <v>2688</v>
      </c>
      <c r="K427" s="405" t="s">
        <v>5749</v>
      </c>
    </row>
    <row r="428" spans="1:11" x14ac:dyDescent="0.25">
      <c r="A428" s="271"/>
      <c r="B428" s="264">
        <v>52</v>
      </c>
      <c r="C428" s="264" t="s">
        <v>3284</v>
      </c>
      <c r="D428" s="264">
        <v>43327</v>
      </c>
      <c r="E428" s="261">
        <v>43327</v>
      </c>
      <c r="F428" s="261" t="s">
        <v>5752</v>
      </c>
      <c r="G428" s="264" t="s">
        <v>5753</v>
      </c>
      <c r="H428" s="264" t="s">
        <v>5754</v>
      </c>
      <c r="I428" s="264" t="s">
        <v>5755</v>
      </c>
      <c r="J428" s="264" t="s">
        <v>3541</v>
      </c>
      <c r="K428" s="405" t="s">
        <v>5756</v>
      </c>
    </row>
    <row r="429" spans="1:11" x14ac:dyDescent="0.25">
      <c r="A429" s="271"/>
      <c r="B429" s="264">
        <v>53</v>
      </c>
      <c r="C429" s="264" t="s">
        <v>82</v>
      </c>
      <c r="D429" s="264">
        <v>43382</v>
      </c>
      <c r="E429" s="261">
        <v>43382</v>
      </c>
      <c r="F429" s="261" t="s">
        <v>81</v>
      </c>
      <c r="G429" s="264" t="s">
        <v>3754</v>
      </c>
      <c r="H429" s="264" t="s">
        <v>3755</v>
      </c>
      <c r="I429" s="264" t="s">
        <v>1980</v>
      </c>
      <c r="J429" s="264" t="s">
        <v>3703</v>
      </c>
      <c r="K429" s="405" t="s">
        <v>5749</v>
      </c>
    </row>
    <row r="430" spans="1:11" x14ac:dyDescent="0.25">
      <c r="A430" s="271"/>
      <c r="B430" s="264">
        <v>54</v>
      </c>
      <c r="C430" s="264" t="s">
        <v>114</v>
      </c>
      <c r="D430" s="264">
        <v>43698</v>
      </c>
      <c r="E430" s="261">
        <v>43698</v>
      </c>
      <c r="F430" s="261" t="s">
        <v>4447</v>
      </c>
      <c r="G430" s="264" t="s">
        <v>3768</v>
      </c>
      <c r="H430" s="264" t="s">
        <v>3769</v>
      </c>
      <c r="I430" s="264" t="s">
        <v>313</v>
      </c>
      <c r="J430" s="264" t="s">
        <v>2688</v>
      </c>
      <c r="K430" s="405" t="s">
        <v>5757</v>
      </c>
    </row>
    <row r="431" spans="1:11" x14ac:dyDescent="0.25">
      <c r="A431" s="271"/>
      <c r="B431" s="264">
        <v>55</v>
      </c>
      <c r="C431" s="264" t="s">
        <v>1623</v>
      </c>
      <c r="D431" s="264">
        <v>43711</v>
      </c>
      <c r="E431" s="261">
        <v>43711</v>
      </c>
      <c r="F431" s="261" t="s">
        <v>78</v>
      </c>
      <c r="G431" s="264" t="s">
        <v>3771</v>
      </c>
      <c r="H431" s="264" t="s">
        <v>3772</v>
      </c>
      <c r="I431" s="264" t="s">
        <v>717</v>
      </c>
      <c r="J431" s="264" t="s">
        <v>3726</v>
      </c>
      <c r="K431" s="405" t="s">
        <v>5749</v>
      </c>
    </row>
    <row r="432" spans="1:11" x14ac:dyDescent="0.25">
      <c r="A432" s="271"/>
      <c r="B432" s="264">
        <v>56</v>
      </c>
      <c r="C432" s="264" t="s">
        <v>114</v>
      </c>
      <c r="D432" s="264">
        <v>44060</v>
      </c>
      <c r="E432" s="261">
        <v>44060</v>
      </c>
      <c r="F432" s="261" t="s">
        <v>4448</v>
      </c>
      <c r="G432" s="264" t="s">
        <v>5758</v>
      </c>
      <c r="H432" s="264" t="s">
        <v>3778</v>
      </c>
      <c r="I432" s="264" t="s">
        <v>2667</v>
      </c>
      <c r="J432" s="264" t="s">
        <v>2688</v>
      </c>
      <c r="K432" s="405" t="s">
        <v>5759</v>
      </c>
    </row>
    <row r="433" spans="1:11" x14ac:dyDescent="0.25">
      <c r="A433" s="271"/>
      <c r="B433" s="264">
        <v>57</v>
      </c>
      <c r="C433" s="264" t="s">
        <v>114</v>
      </c>
      <c r="D433" s="264">
        <v>44118</v>
      </c>
      <c r="E433" s="261">
        <v>44118</v>
      </c>
      <c r="F433" s="261" t="s">
        <v>4449</v>
      </c>
      <c r="G433" s="264" t="s">
        <v>5760</v>
      </c>
      <c r="H433" s="264" t="s">
        <v>3794</v>
      </c>
      <c r="I433" s="264" t="s">
        <v>2667</v>
      </c>
      <c r="J433" s="264" t="s">
        <v>2688</v>
      </c>
      <c r="K433" s="405" t="s">
        <v>5761</v>
      </c>
    </row>
    <row r="434" spans="1:11" x14ac:dyDescent="0.25">
      <c r="A434" s="271"/>
      <c r="B434" s="264">
        <v>58</v>
      </c>
      <c r="C434" s="264" t="s">
        <v>1623</v>
      </c>
      <c r="D434" s="264">
        <v>44144</v>
      </c>
      <c r="E434" s="261">
        <v>44144</v>
      </c>
      <c r="F434" s="261" t="s">
        <v>5762</v>
      </c>
      <c r="G434" s="264" t="s">
        <v>3802</v>
      </c>
      <c r="H434" s="264" t="s">
        <v>3803</v>
      </c>
      <c r="I434" s="264" t="s">
        <v>2667</v>
      </c>
      <c r="J434" s="264" t="s">
        <v>3726</v>
      </c>
      <c r="K434" s="405" t="s">
        <v>5763</v>
      </c>
    </row>
    <row r="435" spans="1:11" x14ac:dyDescent="0.25">
      <c r="A435" s="271"/>
      <c r="B435" s="264">
        <v>59</v>
      </c>
      <c r="C435" s="264" t="s">
        <v>114</v>
      </c>
      <c r="D435" s="264">
        <v>44175</v>
      </c>
      <c r="E435" s="261">
        <v>44175</v>
      </c>
      <c r="F435" s="261" t="s">
        <v>117</v>
      </c>
      <c r="G435" s="264" t="s">
        <v>3805</v>
      </c>
      <c r="H435" s="264" t="s">
        <v>3806</v>
      </c>
      <c r="I435" s="264" t="s">
        <v>3807</v>
      </c>
      <c r="J435" s="264" t="s">
        <v>2688</v>
      </c>
      <c r="K435" s="405" t="s">
        <v>5749</v>
      </c>
    </row>
    <row r="436" spans="1:11" x14ac:dyDescent="0.25">
      <c r="A436" s="271"/>
      <c r="B436" s="264">
        <v>60</v>
      </c>
      <c r="C436" s="264" t="s">
        <v>3812</v>
      </c>
      <c r="D436" s="264">
        <v>44314</v>
      </c>
      <c r="E436" s="261">
        <v>44314</v>
      </c>
      <c r="F436" s="261" t="s">
        <v>5764</v>
      </c>
      <c r="G436" s="264" t="s">
        <v>3672</v>
      </c>
      <c r="H436" s="264" t="s">
        <v>3814</v>
      </c>
      <c r="I436" s="264" t="s">
        <v>2667</v>
      </c>
      <c r="J436" s="264" t="s">
        <v>3815</v>
      </c>
      <c r="K436" s="405" t="s">
        <v>5765</v>
      </c>
    </row>
    <row r="437" spans="1:11" x14ac:dyDescent="0.25">
      <c r="A437" s="271"/>
      <c r="B437" s="264">
        <v>61</v>
      </c>
      <c r="C437" s="264" t="s">
        <v>1107</v>
      </c>
      <c r="D437" s="264">
        <v>44462</v>
      </c>
      <c r="E437" s="261">
        <v>44462</v>
      </c>
      <c r="F437" s="261" t="s">
        <v>5766</v>
      </c>
      <c r="G437" s="264" t="s">
        <v>3829</v>
      </c>
      <c r="H437" s="264" t="s">
        <v>5754</v>
      </c>
      <c r="I437" s="264" t="s">
        <v>2667</v>
      </c>
      <c r="J437" s="264" t="s">
        <v>3830</v>
      </c>
      <c r="K437" s="405" t="s">
        <v>5767</v>
      </c>
    </row>
    <row r="438" spans="1:11" x14ac:dyDescent="0.25">
      <c r="A438" s="271"/>
      <c r="B438" s="264">
        <v>63</v>
      </c>
      <c r="C438" s="264" t="s">
        <v>114</v>
      </c>
      <c r="D438" s="264">
        <v>44463</v>
      </c>
      <c r="E438" s="261">
        <v>44463</v>
      </c>
      <c r="F438" s="261" t="s">
        <v>4450</v>
      </c>
      <c r="G438" s="264" t="s">
        <v>5768</v>
      </c>
      <c r="H438" s="264" t="s">
        <v>3794</v>
      </c>
      <c r="I438" s="264" t="s">
        <v>717</v>
      </c>
      <c r="J438" s="264" t="s">
        <v>2688</v>
      </c>
      <c r="K438" s="405" t="s">
        <v>5769</v>
      </c>
    </row>
    <row r="439" spans="1:11" x14ac:dyDescent="0.25">
      <c r="A439" s="271"/>
      <c r="B439" s="264">
        <v>64</v>
      </c>
      <c r="C439" s="264" t="s">
        <v>114</v>
      </c>
      <c r="D439" s="264">
        <v>44476</v>
      </c>
      <c r="E439" s="261">
        <v>44476</v>
      </c>
      <c r="F439" s="261" t="s">
        <v>4451</v>
      </c>
      <c r="G439" s="264" t="s">
        <v>3843</v>
      </c>
      <c r="H439" s="264" t="s">
        <v>3844</v>
      </c>
      <c r="I439" s="264" t="s">
        <v>2667</v>
      </c>
      <c r="J439" s="264" t="s">
        <v>2688</v>
      </c>
      <c r="K439" s="405" t="s">
        <v>5770</v>
      </c>
    </row>
    <row r="440" spans="1:11" x14ac:dyDescent="0.25">
      <c r="A440" s="271"/>
      <c r="B440" s="264">
        <v>65</v>
      </c>
      <c r="C440" s="264" t="s">
        <v>1623</v>
      </c>
      <c r="D440" s="264">
        <v>44491</v>
      </c>
      <c r="E440" s="261">
        <v>44491</v>
      </c>
      <c r="F440" s="261" t="s">
        <v>48</v>
      </c>
      <c r="G440" s="264" t="s">
        <v>3849</v>
      </c>
      <c r="H440" s="264" t="s">
        <v>5771</v>
      </c>
      <c r="I440" s="264" t="s">
        <v>3851</v>
      </c>
      <c r="J440" s="264" t="s">
        <v>3726</v>
      </c>
      <c r="K440" s="405" t="s">
        <v>5749</v>
      </c>
    </row>
    <row r="441" spans="1:11" x14ac:dyDescent="0.25">
      <c r="A441" s="271"/>
      <c r="B441" s="264">
        <v>66</v>
      </c>
      <c r="C441" s="264" t="s">
        <v>3873</v>
      </c>
      <c r="D441" s="264">
        <v>45247</v>
      </c>
      <c r="E441" s="261">
        <v>45247</v>
      </c>
      <c r="F441" s="261" t="s">
        <v>4452</v>
      </c>
      <c r="G441" s="264" t="s">
        <v>3814</v>
      </c>
      <c r="H441" s="264" t="s">
        <v>3875</v>
      </c>
      <c r="I441" s="264" t="s">
        <v>5755</v>
      </c>
      <c r="J441" s="264" t="s">
        <v>3876</v>
      </c>
      <c r="K441" s="405" t="s">
        <v>5772</v>
      </c>
    </row>
    <row r="442" spans="1:11" x14ac:dyDescent="0.25">
      <c r="A442" s="271"/>
      <c r="B442" s="264">
        <v>67</v>
      </c>
      <c r="C442" s="264" t="s">
        <v>114</v>
      </c>
      <c r="D442" s="264">
        <v>45401</v>
      </c>
      <c r="E442" s="261">
        <v>45401</v>
      </c>
      <c r="F442" s="261" t="s">
        <v>4453</v>
      </c>
      <c r="G442" s="264" t="s">
        <v>440</v>
      </c>
      <c r="H442" s="264" t="s">
        <v>3890</v>
      </c>
      <c r="I442" s="264" t="s">
        <v>313</v>
      </c>
      <c r="J442" s="264" t="s">
        <v>2688</v>
      </c>
      <c r="K442" s="405" t="s">
        <v>5773</v>
      </c>
    </row>
    <row r="443" spans="1:11" x14ac:dyDescent="0.25">
      <c r="A443" s="271"/>
      <c r="B443" s="264">
        <v>68</v>
      </c>
      <c r="C443" s="264" t="s">
        <v>114</v>
      </c>
      <c r="D443" s="264">
        <v>45432</v>
      </c>
      <c r="E443" s="261">
        <v>45432</v>
      </c>
      <c r="F443" s="261" t="s">
        <v>4454</v>
      </c>
      <c r="G443" s="264" t="s">
        <v>440</v>
      </c>
      <c r="H443" s="264" t="s">
        <v>5774</v>
      </c>
      <c r="I443" s="264" t="s">
        <v>5755</v>
      </c>
      <c r="J443" s="264" t="s">
        <v>2688</v>
      </c>
      <c r="K443" s="405" t="s">
        <v>5775</v>
      </c>
    </row>
    <row r="444" spans="1:11" x14ac:dyDescent="0.25">
      <c r="A444" s="271"/>
      <c r="B444" s="264">
        <v>69</v>
      </c>
      <c r="C444" s="264" t="s">
        <v>114</v>
      </c>
      <c r="D444" s="264">
        <v>45509</v>
      </c>
      <c r="E444" s="261">
        <v>45509</v>
      </c>
      <c r="F444" s="261" t="s">
        <v>4455</v>
      </c>
      <c r="G444" s="264" t="s">
        <v>3864</v>
      </c>
      <c r="H444" s="264" t="s">
        <v>3896</v>
      </c>
      <c r="I444" s="264" t="s">
        <v>313</v>
      </c>
      <c r="J444" s="264" t="s">
        <v>2688</v>
      </c>
      <c r="K444" s="405" t="s">
        <v>5776</v>
      </c>
    </row>
    <row r="445" spans="1:11" x14ac:dyDescent="0.25">
      <c r="A445" s="271"/>
      <c r="B445" s="264">
        <v>70</v>
      </c>
      <c r="C445" s="264" t="s">
        <v>2437</v>
      </c>
      <c r="D445" s="264">
        <v>45614</v>
      </c>
      <c r="E445" s="261">
        <v>45614</v>
      </c>
      <c r="F445" s="261" t="s">
        <v>5777</v>
      </c>
      <c r="G445" s="264" t="s">
        <v>3901</v>
      </c>
      <c r="H445" s="264" t="s">
        <v>5778</v>
      </c>
      <c r="I445" s="264" t="s">
        <v>313</v>
      </c>
      <c r="J445" s="264" t="s">
        <v>3739</v>
      </c>
      <c r="K445" s="405" t="s">
        <v>5779</v>
      </c>
    </row>
    <row r="446" spans="1:11" x14ac:dyDescent="0.25">
      <c r="A446" s="271"/>
      <c r="B446" s="264">
        <v>72</v>
      </c>
      <c r="C446" s="264" t="s">
        <v>1623</v>
      </c>
      <c r="D446" s="264">
        <v>45621</v>
      </c>
      <c r="E446" s="261">
        <v>45621</v>
      </c>
      <c r="F446" s="261" t="s">
        <v>4681</v>
      </c>
      <c r="G446" s="264" t="s">
        <v>3908</v>
      </c>
      <c r="H446" s="264" t="s">
        <v>3909</v>
      </c>
      <c r="I446" s="264" t="s">
        <v>1003</v>
      </c>
      <c r="J446" s="264" t="s">
        <v>3726</v>
      </c>
      <c r="K446" s="405" t="s">
        <v>5749</v>
      </c>
    </row>
    <row r="447" spans="1:11" x14ac:dyDescent="0.25">
      <c r="A447" s="271"/>
      <c r="B447" s="264">
        <v>73</v>
      </c>
      <c r="C447" s="264" t="s">
        <v>114</v>
      </c>
      <c r="D447" s="264">
        <v>45642</v>
      </c>
      <c r="E447" s="261">
        <v>45642</v>
      </c>
      <c r="F447" s="261" t="s">
        <v>4456</v>
      </c>
      <c r="G447" s="264" t="s">
        <v>3914</v>
      </c>
      <c r="H447" s="264" t="s">
        <v>3915</v>
      </c>
      <c r="I447" s="264" t="s">
        <v>1003</v>
      </c>
      <c r="J447" s="264" t="s">
        <v>2688</v>
      </c>
      <c r="K447" s="405" t="s">
        <v>5749</v>
      </c>
    </row>
    <row r="448" spans="1:11" x14ac:dyDescent="0.25">
      <c r="A448" s="271"/>
      <c r="B448" s="264">
        <v>74</v>
      </c>
      <c r="C448" s="264" t="s">
        <v>1623</v>
      </c>
      <c r="D448" s="264">
        <v>45771</v>
      </c>
      <c r="E448" s="261">
        <v>45771</v>
      </c>
      <c r="F448" s="261" t="s">
        <v>46</v>
      </c>
      <c r="G448" s="264" t="s">
        <v>3931</v>
      </c>
      <c r="H448" s="264" t="s">
        <v>3932</v>
      </c>
      <c r="I448" s="264" t="s">
        <v>3851</v>
      </c>
      <c r="J448" s="264" t="s">
        <v>3726</v>
      </c>
      <c r="K448" s="405" t="s">
        <v>5749</v>
      </c>
    </row>
    <row r="449" spans="1:11" x14ac:dyDescent="0.25">
      <c r="A449" s="271"/>
      <c r="B449" s="264">
        <v>76</v>
      </c>
      <c r="C449" s="264" t="s">
        <v>1107</v>
      </c>
      <c r="D449" s="264">
        <v>45792</v>
      </c>
      <c r="E449" s="261">
        <v>45792</v>
      </c>
      <c r="F449" s="261" t="s">
        <v>5780</v>
      </c>
      <c r="G449" s="264" t="s">
        <v>3940</v>
      </c>
      <c r="H449" s="264" t="s">
        <v>3941</v>
      </c>
      <c r="I449" s="264" t="s">
        <v>313</v>
      </c>
      <c r="J449" s="264" t="s">
        <v>3830</v>
      </c>
      <c r="K449" s="405" t="s">
        <v>5781</v>
      </c>
    </row>
    <row r="450" spans="1:11" x14ac:dyDescent="0.25">
      <c r="A450" s="271"/>
      <c r="B450" s="264">
        <v>77</v>
      </c>
      <c r="C450" s="264" t="s">
        <v>3284</v>
      </c>
      <c r="D450" s="264">
        <v>45954</v>
      </c>
      <c r="E450" s="261">
        <v>45954</v>
      </c>
      <c r="F450" s="261" t="s">
        <v>5782</v>
      </c>
      <c r="G450" s="264" t="s">
        <v>5783</v>
      </c>
      <c r="H450" s="264" t="s">
        <v>5784</v>
      </c>
      <c r="I450" s="264" t="s">
        <v>313</v>
      </c>
      <c r="J450" s="264" t="s">
        <v>3541</v>
      </c>
      <c r="K450" s="405" t="s">
        <v>5785</v>
      </c>
    </row>
    <row r="451" spans="1:11" x14ac:dyDescent="0.25">
      <c r="A451" s="271"/>
      <c r="B451" s="264">
        <v>78</v>
      </c>
      <c r="C451" s="264" t="s">
        <v>3873</v>
      </c>
      <c r="D451" s="264">
        <v>45975</v>
      </c>
      <c r="E451" s="261">
        <v>45975</v>
      </c>
      <c r="F451" s="261" t="s">
        <v>4457</v>
      </c>
      <c r="G451" s="264" t="s">
        <v>3959</v>
      </c>
      <c r="H451" s="264" t="s">
        <v>3960</v>
      </c>
      <c r="I451" s="264" t="s">
        <v>313</v>
      </c>
      <c r="J451" s="264" t="s">
        <v>3876</v>
      </c>
      <c r="K451" s="405" t="s">
        <v>5786</v>
      </c>
    </row>
    <row r="452" spans="1:11" x14ac:dyDescent="0.25">
      <c r="A452" s="271"/>
      <c r="B452" s="264">
        <v>79</v>
      </c>
      <c r="C452" s="264" t="s">
        <v>1107</v>
      </c>
      <c r="D452" s="264">
        <v>46119</v>
      </c>
      <c r="E452" s="261">
        <v>46119</v>
      </c>
      <c r="F452" s="261" t="s">
        <v>5787</v>
      </c>
      <c r="G452" s="264" t="s">
        <v>5788</v>
      </c>
      <c r="H452" s="264" t="s">
        <v>5754</v>
      </c>
      <c r="I452" s="264" t="s">
        <v>313</v>
      </c>
      <c r="J452" s="264" t="s">
        <v>3830</v>
      </c>
      <c r="K452" s="405" t="s">
        <v>5789</v>
      </c>
    </row>
    <row r="453" spans="1:11" x14ac:dyDescent="0.25">
      <c r="A453" s="271"/>
      <c r="B453" s="264">
        <v>81</v>
      </c>
      <c r="C453" s="264" t="s">
        <v>309</v>
      </c>
      <c r="D453" s="264">
        <v>46122</v>
      </c>
      <c r="E453" s="261">
        <v>46122</v>
      </c>
      <c r="F453" s="261" t="s">
        <v>17</v>
      </c>
      <c r="G453" s="264" t="s">
        <v>3984</v>
      </c>
      <c r="H453" s="264" t="s">
        <v>733</v>
      </c>
      <c r="I453" s="264" t="s">
        <v>3985</v>
      </c>
      <c r="J453" s="264" t="s">
        <v>2640</v>
      </c>
      <c r="K453" s="405" t="s">
        <v>5749</v>
      </c>
    </row>
    <row r="454" spans="1:11" x14ac:dyDescent="0.25">
      <c r="A454" s="271"/>
      <c r="B454" s="264">
        <v>84</v>
      </c>
      <c r="C454" s="264" t="s">
        <v>3379</v>
      </c>
      <c r="D454" s="264">
        <v>46143</v>
      </c>
      <c r="E454" s="261">
        <v>46143</v>
      </c>
      <c r="F454" s="261" t="s">
        <v>4644</v>
      </c>
      <c r="G454" s="264" t="s">
        <v>3908</v>
      </c>
      <c r="H454" s="264" t="s">
        <v>4646</v>
      </c>
      <c r="I454" s="264" t="s">
        <v>1003</v>
      </c>
      <c r="J454" s="264" t="s">
        <v>3999</v>
      </c>
      <c r="K454" s="405" t="s">
        <v>5749</v>
      </c>
    </row>
    <row r="455" spans="1:11" x14ac:dyDescent="0.25">
      <c r="A455" s="271"/>
      <c r="B455" s="264">
        <v>87</v>
      </c>
      <c r="C455" s="264" t="s">
        <v>1274</v>
      </c>
      <c r="D455" s="264">
        <v>46160</v>
      </c>
      <c r="E455" s="261">
        <v>46160</v>
      </c>
      <c r="F455" s="261" t="s">
        <v>4385</v>
      </c>
      <c r="G455" s="264" t="s">
        <v>4020</v>
      </c>
      <c r="H455" s="264" t="s">
        <v>1110</v>
      </c>
      <c r="I455" s="264" t="s">
        <v>4021</v>
      </c>
      <c r="J455" s="264" t="s">
        <v>4022</v>
      </c>
      <c r="K455" s="405" t="s">
        <v>5749</v>
      </c>
    </row>
    <row r="456" spans="1:11" x14ac:dyDescent="0.25">
      <c r="A456" s="271"/>
      <c r="B456" s="264">
        <v>88</v>
      </c>
      <c r="C456" s="264" t="s">
        <v>3379</v>
      </c>
      <c r="D456" s="264">
        <v>46170</v>
      </c>
      <c r="E456" s="261">
        <v>46170</v>
      </c>
      <c r="F456" s="261" t="s">
        <v>4615</v>
      </c>
      <c r="G456" s="264" t="s">
        <v>3908</v>
      </c>
      <c r="H456" s="264" t="s">
        <v>4616</v>
      </c>
      <c r="I456" s="264" t="s">
        <v>1003</v>
      </c>
      <c r="J456" s="264" t="s">
        <v>3999</v>
      </c>
      <c r="K456" s="405" t="s">
        <v>5749</v>
      </c>
    </row>
    <row r="457" spans="1:11" x14ac:dyDescent="0.25">
      <c r="A457" s="271"/>
      <c r="B457" s="264">
        <v>92</v>
      </c>
      <c r="C457" s="264" t="s">
        <v>1274</v>
      </c>
      <c r="D457" s="264">
        <v>46178</v>
      </c>
      <c r="E457" s="261">
        <v>46178</v>
      </c>
      <c r="F457" s="261" t="s">
        <v>4272</v>
      </c>
      <c r="G457" s="264" t="s">
        <v>4042</v>
      </c>
      <c r="H457" s="264" t="s">
        <v>1110</v>
      </c>
      <c r="I457" s="264" t="s">
        <v>4043</v>
      </c>
      <c r="J457" s="264" t="s">
        <v>4022</v>
      </c>
      <c r="K457" s="405" t="s">
        <v>5749</v>
      </c>
    </row>
    <row r="458" spans="1:11" x14ac:dyDescent="0.25">
      <c r="A458" s="271"/>
      <c r="B458" s="264">
        <v>93</v>
      </c>
      <c r="C458" s="264" t="s">
        <v>114</v>
      </c>
      <c r="D458" s="264">
        <v>36600</v>
      </c>
      <c r="E458" s="261" t="s">
        <v>13</v>
      </c>
      <c r="F458" s="261" t="s">
        <v>4443</v>
      </c>
      <c r="G458" s="264" t="s">
        <v>266</v>
      </c>
      <c r="H458" s="264" t="s">
        <v>5790</v>
      </c>
      <c r="I458" s="264" t="s">
        <v>2667</v>
      </c>
      <c r="J458" s="264" t="s">
        <v>2688</v>
      </c>
      <c r="K458" s="405" t="s">
        <v>5791</v>
      </c>
    </row>
    <row r="459" spans="1:11" x14ac:dyDescent="0.25">
      <c r="A459" s="271"/>
      <c r="B459" s="264">
        <v>94</v>
      </c>
      <c r="C459" s="264" t="s">
        <v>309</v>
      </c>
      <c r="D459" s="264">
        <v>36612</v>
      </c>
      <c r="E459" s="261" t="s">
        <v>13</v>
      </c>
      <c r="F459" s="261" t="s">
        <v>546</v>
      </c>
      <c r="G459" s="264" t="s">
        <v>547</v>
      </c>
      <c r="H459" s="264" t="s">
        <v>266</v>
      </c>
      <c r="I459" s="264" t="s">
        <v>2696</v>
      </c>
      <c r="J459" s="264" t="s">
        <v>2640</v>
      </c>
      <c r="K459" s="405" t="s">
        <v>5791</v>
      </c>
    </row>
    <row r="460" spans="1:11" x14ac:dyDescent="0.25">
      <c r="A460" s="271"/>
      <c r="B460" s="264">
        <v>95</v>
      </c>
      <c r="C460" s="264" t="s">
        <v>309</v>
      </c>
      <c r="D460" s="264">
        <v>36613</v>
      </c>
      <c r="E460" s="261" t="s">
        <v>13</v>
      </c>
      <c r="F460" s="261" t="s">
        <v>549</v>
      </c>
      <c r="G460" s="264" t="s">
        <v>550</v>
      </c>
      <c r="H460" s="264" t="s">
        <v>5728</v>
      </c>
      <c r="I460" s="264" t="s">
        <v>2700</v>
      </c>
      <c r="J460" s="264" t="s">
        <v>2640</v>
      </c>
      <c r="K460" s="405" t="s">
        <v>5791</v>
      </c>
    </row>
    <row r="461" spans="1:11" x14ac:dyDescent="0.25">
      <c r="A461" s="271"/>
      <c r="B461" s="264">
        <v>98</v>
      </c>
      <c r="C461" s="264" t="s">
        <v>3873</v>
      </c>
      <c r="D461" s="264">
        <v>46146</v>
      </c>
      <c r="E461" s="261" t="s">
        <v>13</v>
      </c>
      <c r="F461" s="261" t="s">
        <v>4634</v>
      </c>
      <c r="G461" s="264" t="s">
        <v>4014</v>
      </c>
      <c r="H461" s="264" t="s">
        <v>4015</v>
      </c>
      <c r="I461" s="264" t="s">
        <v>5576</v>
      </c>
      <c r="J461" s="264" t="s">
        <v>3876</v>
      </c>
      <c r="K461" s="405" t="s">
        <v>5792</v>
      </c>
    </row>
    <row r="462" spans="1:11" x14ac:dyDescent="0.25">
      <c r="A462" s="271"/>
      <c r="B462" s="264">
        <v>41</v>
      </c>
      <c r="C462" s="264" t="s">
        <v>3284</v>
      </c>
      <c r="D462" s="264" t="s">
        <v>5736</v>
      </c>
      <c r="E462" s="261"/>
      <c r="F462" s="261">
        <v>41190</v>
      </c>
      <c r="G462" s="264" t="s">
        <v>3376</v>
      </c>
      <c r="H462" s="264" t="s">
        <v>3539</v>
      </c>
      <c r="I462" s="264" t="s">
        <v>3540</v>
      </c>
      <c r="J462" s="264" t="s">
        <v>5793</v>
      </c>
      <c r="K462" s="405" t="s">
        <v>4831</v>
      </c>
    </row>
    <row r="463" spans="1:11" x14ac:dyDescent="0.25">
      <c r="A463" s="271"/>
      <c r="B463" s="264">
        <v>42</v>
      </c>
      <c r="C463" s="264" t="s">
        <v>3284</v>
      </c>
      <c r="D463" s="264" t="s">
        <v>5738</v>
      </c>
      <c r="E463" s="261"/>
      <c r="F463" s="261">
        <v>41387</v>
      </c>
      <c r="G463" s="264" t="s">
        <v>3556</v>
      </c>
      <c r="H463" s="264" t="s">
        <v>3557</v>
      </c>
      <c r="I463" s="264" t="s">
        <v>3558</v>
      </c>
      <c r="J463" s="264" t="s">
        <v>5794</v>
      </c>
      <c r="K463" s="405" t="s">
        <v>4831</v>
      </c>
    </row>
    <row r="464" spans="1:11" x14ac:dyDescent="0.25">
      <c r="A464" s="271"/>
      <c r="B464" s="264">
        <v>45</v>
      </c>
      <c r="C464" s="264" t="s">
        <v>114</v>
      </c>
      <c r="D464" s="264" t="s">
        <v>5744</v>
      </c>
      <c r="E464" s="261"/>
      <c r="F464" s="261">
        <v>42723</v>
      </c>
      <c r="G464" s="264" t="s">
        <v>3713</v>
      </c>
      <c r="H464" s="264" t="s">
        <v>3714</v>
      </c>
      <c r="I464" s="264" t="s">
        <v>3715</v>
      </c>
      <c r="J464" s="264" t="s">
        <v>5795</v>
      </c>
      <c r="K464" s="405" t="s">
        <v>4831</v>
      </c>
    </row>
    <row r="465" spans="1:11" x14ac:dyDescent="0.25">
      <c r="A465" s="270" t="s">
        <v>968</v>
      </c>
      <c r="B465" s="266"/>
      <c r="C465" s="266" t="s">
        <v>969</v>
      </c>
      <c r="D465" s="266" t="s">
        <v>4339</v>
      </c>
      <c r="E465" s="267" t="s">
        <v>5796</v>
      </c>
      <c r="F465" s="267">
        <v>2063</v>
      </c>
      <c r="G465" s="266" t="s">
        <v>971</v>
      </c>
      <c r="H465" s="266" t="s">
        <v>972</v>
      </c>
      <c r="I465" s="266" t="s">
        <v>242</v>
      </c>
      <c r="J465" s="266" t="s">
        <v>985</v>
      </c>
      <c r="K465" s="406" t="s">
        <v>5797</v>
      </c>
    </row>
    <row r="466" spans="1:11" x14ac:dyDescent="0.25">
      <c r="A466" s="270" t="s">
        <v>974</v>
      </c>
      <c r="B466" s="266"/>
      <c r="C466" s="266" t="s">
        <v>969</v>
      </c>
      <c r="D466" s="266" t="s">
        <v>4423</v>
      </c>
      <c r="E466" s="267" t="s">
        <v>5798</v>
      </c>
      <c r="F466" s="267">
        <v>2601</v>
      </c>
      <c r="G466" s="266" t="s">
        <v>976</v>
      </c>
      <c r="H466" s="266" t="s">
        <v>977</v>
      </c>
      <c r="I466" s="266" t="s">
        <v>242</v>
      </c>
      <c r="J466" s="266" t="s">
        <v>985</v>
      </c>
      <c r="K466" s="406" t="s">
        <v>5799</v>
      </c>
    </row>
    <row r="467" spans="1:11" x14ac:dyDescent="0.25">
      <c r="A467" s="270" t="s">
        <v>980</v>
      </c>
      <c r="B467" s="266"/>
      <c r="C467" s="266" t="s">
        <v>981</v>
      </c>
      <c r="D467" s="266" t="s">
        <v>4338</v>
      </c>
      <c r="E467" s="267" t="s">
        <v>5800</v>
      </c>
      <c r="F467" s="267">
        <v>2752</v>
      </c>
      <c r="G467" s="266" t="s">
        <v>983</v>
      </c>
      <c r="H467" s="266" t="s">
        <v>971</v>
      </c>
      <c r="I467" s="266" t="s">
        <v>242</v>
      </c>
      <c r="J467" s="266" t="s">
        <v>985</v>
      </c>
      <c r="K467" s="406" t="s">
        <v>5801</v>
      </c>
    </row>
    <row r="468" spans="1:11" x14ac:dyDescent="0.25">
      <c r="A468" s="270" t="s">
        <v>990</v>
      </c>
      <c r="B468" s="266"/>
      <c r="C468" s="266" t="s">
        <v>969</v>
      </c>
      <c r="D468" s="266" t="s">
        <v>5802</v>
      </c>
      <c r="E468" s="267" t="s">
        <v>5803</v>
      </c>
      <c r="F468" s="267">
        <v>2755</v>
      </c>
      <c r="G468" s="266" t="s">
        <v>314</v>
      </c>
      <c r="H468" s="266" t="s">
        <v>328</v>
      </c>
      <c r="I468" s="266" t="s">
        <v>242</v>
      </c>
      <c r="J468" s="266" t="s">
        <v>985</v>
      </c>
      <c r="K468" s="406" t="s">
        <v>5804</v>
      </c>
    </row>
    <row r="469" spans="1:11" x14ac:dyDescent="0.25">
      <c r="A469" s="270" t="s">
        <v>992</v>
      </c>
      <c r="B469" s="266"/>
      <c r="C469" s="266" t="s">
        <v>993</v>
      </c>
      <c r="D469" s="266" t="s">
        <v>5805</v>
      </c>
      <c r="E469" s="267" t="s">
        <v>5806</v>
      </c>
      <c r="F469" s="267">
        <v>2761</v>
      </c>
      <c r="G469" s="266" t="s">
        <v>995</v>
      </c>
      <c r="H469" s="266" t="s">
        <v>328</v>
      </c>
      <c r="I469" s="266" t="s">
        <v>242</v>
      </c>
      <c r="J469" s="266" t="s">
        <v>996</v>
      </c>
      <c r="K469" s="406" t="s">
        <v>5807</v>
      </c>
    </row>
    <row r="470" spans="1:11" x14ac:dyDescent="0.25">
      <c r="A470" s="270" t="s">
        <v>997</v>
      </c>
      <c r="B470" s="266"/>
      <c r="C470" s="266" t="s">
        <v>114</v>
      </c>
      <c r="D470" s="266" t="s">
        <v>5808</v>
      </c>
      <c r="E470" s="267" t="s">
        <v>5809</v>
      </c>
      <c r="F470" s="267">
        <v>2893</v>
      </c>
      <c r="G470" s="266" t="s">
        <v>999</v>
      </c>
      <c r="H470" s="266" t="s">
        <v>1000</v>
      </c>
      <c r="I470" s="266" t="s">
        <v>242</v>
      </c>
      <c r="J470" s="266" t="s">
        <v>996</v>
      </c>
      <c r="K470" s="406" t="s">
        <v>5810</v>
      </c>
    </row>
    <row r="471" spans="1:11" x14ac:dyDescent="0.25">
      <c r="A471" s="270" t="s">
        <v>1004</v>
      </c>
      <c r="B471" s="266"/>
      <c r="C471" s="266" t="s">
        <v>969</v>
      </c>
      <c r="D471" s="266" t="s">
        <v>4424</v>
      </c>
      <c r="E471" s="267" t="s">
        <v>5811</v>
      </c>
      <c r="F471" s="267">
        <v>3189</v>
      </c>
      <c r="G471" s="266" t="s">
        <v>1006</v>
      </c>
      <c r="H471" s="266" t="s">
        <v>1007</v>
      </c>
      <c r="I471" s="266" t="s">
        <v>5812</v>
      </c>
      <c r="J471" s="266" t="s">
        <v>985</v>
      </c>
      <c r="K471" s="406" t="s">
        <v>5813</v>
      </c>
    </row>
    <row r="472" spans="1:11" x14ac:dyDescent="0.25">
      <c r="A472" s="270" t="s">
        <v>1008</v>
      </c>
      <c r="B472" s="266"/>
      <c r="C472" s="266" t="s">
        <v>993</v>
      </c>
      <c r="D472" s="266" t="s">
        <v>5814</v>
      </c>
      <c r="E472" s="267" t="s">
        <v>5815</v>
      </c>
      <c r="F472" s="267">
        <v>3191</v>
      </c>
      <c r="G472" s="266" t="s">
        <v>1010</v>
      </c>
      <c r="H472" s="266" t="s">
        <v>1011</v>
      </c>
      <c r="I472" s="266" t="s">
        <v>5812</v>
      </c>
      <c r="J472" s="266" t="s">
        <v>996</v>
      </c>
      <c r="K472" s="406" t="s">
        <v>5816</v>
      </c>
    </row>
    <row r="473" spans="1:11" x14ac:dyDescent="0.25">
      <c r="A473" s="270" t="s">
        <v>1013</v>
      </c>
      <c r="B473" s="266"/>
      <c r="C473" s="266" t="s">
        <v>993</v>
      </c>
      <c r="D473" s="266" t="s">
        <v>5817</v>
      </c>
      <c r="E473" s="267" t="s">
        <v>5815</v>
      </c>
      <c r="F473" s="267">
        <v>3191</v>
      </c>
      <c r="G473" s="266" t="s">
        <v>1010</v>
      </c>
      <c r="H473" s="266" t="s">
        <v>1011</v>
      </c>
      <c r="I473" s="266" t="s">
        <v>5812</v>
      </c>
      <c r="J473" s="266" t="s">
        <v>996</v>
      </c>
      <c r="K473" s="406" t="s">
        <v>5818</v>
      </c>
    </row>
    <row r="474" spans="1:11" x14ac:dyDescent="0.25">
      <c r="A474" s="270" t="s">
        <v>1015</v>
      </c>
      <c r="B474" s="266"/>
      <c r="C474" s="266" t="s">
        <v>114</v>
      </c>
      <c r="D474" s="266" t="s">
        <v>5819</v>
      </c>
      <c r="E474" s="267" t="s">
        <v>5820</v>
      </c>
      <c r="F474" s="267">
        <v>3313</v>
      </c>
      <c r="G474" s="266" t="s">
        <v>999</v>
      </c>
      <c r="H474" s="266" t="s">
        <v>1017</v>
      </c>
      <c r="I474" s="266" t="s">
        <v>5812</v>
      </c>
      <c r="J474" s="266" t="s">
        <v>996</v>
      </c>
      <c r="K474" s="406" t="s">
        <v>5821</v>
      </c>
    </row>
    <row r="475" spans="1:11" x14ac:dyDescent="0.25">
      <c r="A475" s="270" t="s">
        <v>1018</v>
      </c>
      <c r="B475" s="266"/>
      <c r="C475" s="266" t="s">
        <v>981</v>
      </c>
      <c r="D475" s="266" t="s">
        <v>4326</v>
      </c>
      <c r="E475" s="267" t="s">
        <v>5822</v>
      </c>
      <c r="F475" s="267">
        <v>3652</v>
      </c>
      <c r="G475" s="266" t="s">
        <v>983</v>
      </c>
      <c r="H475" s="266" t="s">
        <v>989</v>
      </c>
      <c r="I475" s="266" t="s">
        <v>242</v>
      </c>
      <c r="J475" s="266" t="s">
        <v>985</v>
      </c>
      <c r="K475" s="406" t="s">
        <v>5823</v>
      </c>
    </row>
    <row r="476" spans="1:11" x14ac:dyDescent="0.25">
      <c r="A476" s="270" t="s">
        <v>1020</v>
      </c>
      <c r="B476" s="266"/>
      <c r="C476" s="266" t="s">
        <v>114</v>
      </c>
      <c r="D476" s="266" t="s">
        <v>5824</v>
      </c>
      <c r="E476" s="267" t="s">
        <v>5825</v>
      </c>
      <c r="F476" s="267">
        <v>3737</v>
      </c>
      <c r="G476" s="266" t="s">
        <v>1022</v>
      </c>
      <c r="H476" s="266" t="s">
        <v>1023</v>
      </c>
      <c r="I476" s="266" t="s">
        <v>5812</v>
      </c>
      <c r="J476" s="266" t="s">
        <v>996</v>
      </c>
      <c r="K476" s="406" t="s">
        <v>5826</v>
      </c>
    </row>
    <row r="477" spans="1:11" x14ac:dyDescent="0.25">
      <c r="A477" s="270" t="s">
        <v>1024</v>
      </c>
      <c r="B477" s="266"/>
      <c r="C477" s="266" t="s">
        <v>114</v>
      </c>
      <c r="D477" s="266" t="s">
        <v>5827</v>
      </c>
      <c r="E477" s="267" t="s">
        <v>5828</v>
      </c>
      <c r="F477" s="267">
        <v>4163</v>
      </c>
      <c r="G477" s="266" t="s">
        <v>1026</v>
      </c>
      <c r="H477" s="266" t="s">
        <v>1027</v>
      </c>
      <c r="I477" s="266" t="s">
        <v>5812</v>
      </c>
      <c r="J477" s="266" t="s">
        <v>996</v>
      </c>
      <c r="K477" s="406" t="s">
        <v>5829</v>
      </c>
    </row>
    <row r="478" spans="1:11" x14ac:dyDescent="0.25">
      <c r="A478" s="270" t="s">
        <v>1028</v>
      </c>
      <c r="B478" s="266"/>
      <c r="C478" s="266" t="s">
        <v>969</v>
      </c>
      <c r="D478" s="266" t="s">
        <v>5830</v>
      </c>
      <c r="E478" s="267" t="s">
        <v>5831</v>
      </c>
      <c r="F478" s="267">
        <v>4759</v>
      </c>
      <c r="G478" s="266" t="s">
        <v>1030</v>
      </c>
      <c r="H478" s="266" t="s">
        <v>317</v>
      </c>
      <c r="I478" s="266" t="s">
        <v>242</v>
      </c>
      <c r="J478" s="266" t="s">
        <v>985</v>
      </c>
      <c r="K478" s="406" t="s">
        <v>5832</v>
      </c>
    </row>
    <row r="479" spans="1:11" x14ac:dyDescent="0.25">
      <c r="A479" s="270" t="s">
        <v>1031</v>
      </c>
      <c r="B479" s="266"/>
      <c r="C479" s="266" t="s">
        <v>114</v>
      </c>
      <c r="D479" s="266" t="s">
        <v>5833</v>
      </c>
      <c r="E479" s="267" t="s">
        <v>5834</v>
      </c>
      <c r="F479" s="267">
        <v>4820</v>
      </c>
      <c r="G479" s="266" t="s">
        <v>1022</v>
      </c>
      <c r="H479" s="266" t="s">
        <v>1033</v>
      </c>
      <c r="I479" s="266" t="s">
        <v>242</v>
      </c>
      <c r="J479" s="266" t="s">
        <v>996</v>
      </c>
      <c r="K479" s="406" t="s">
        <v>5835</v>
      </c>
    </row>
    <row r="480" spans="1:11" x14ac:dyDescent="0.25">
      <c r="A480" s="270" t="s">
        <v>1034</v>
      </c>
      <c r="B480" s="266"/>
      <c r="C480" s="266" t="s">
        <v>114</v>
      </c>
      <c r="D480" s="266" t="s">
        <v>5836</v>
      </c>
      <c r="E480" s="267" t="s">
        <v>5837</v>
      </c>
      <c r="F480" s="267">
        <v>4839</v>
      </c>
      <c r="G480" s="266" t="s">
        <v>1036</v>
      </c>
      <c r="H480" s="266" t="s">
        <v>306</v>
      </c>
      <c r="I480" s="266" t="s">
        <v>5812</v>
      </c>
      <c r="J480" s="266" t="s">
        <v>996</v>
      </c>
      <c r="K480" s="406" t="s">
        <v>5838</v>
      </c>
    </row>
    <row r="481" spans="1:11" x14ac:dyDescent="0.25">
      <c r="A481" s="270" t="s">
        <v>1037</v>
      </c>
      <c r="B481" s="266"/>
      <c r="C481" s="266" t="s">
        <v>114</v>
      </c>
      <c r="D481" s="266" t="s">
        <v>5839</v>
      </c>
      <c r="E481" s="267" t="s">
        <v>5840</v>
      </c>
      <c r="F481" s="267">
        <v>4852</v>
      </c>
      <c r="G481" s="266" t="s">
        <v>1022</v>
      </c>
      <c r="H481" s="266" t="s">
        <v>1039</v>
      </c>
      <c r="I481" s="266" t="s">
        <v>242</v>
      </c>
      <c r="J481" s="266" t="s">
        <v>996</v>
      </c>
      <c r="K481" s="406" t="s">
        <v>5841</v>
      </c>
    </row>
    <row r="482" spans="1:11" x14ac:dyDescent="0.25">
      <c r="A482" s="270" t="s">
        <v>1040</v>
      </c>
      <c r="B482" s="266"/>
      <c r="C482" s="266" t="s">
        <v>993</v>
      </c>
      <c r="D482" s="266" t="s">
        <v>5842</v>
      </c>
      <c r="E482" s="267" t="s">
        <v>5843</v>
      </c>
      <c r="F482" s="267">
        <v>5287</v>
      </c>
      <c r="G482" s="266" t="s">
        <v>1042</v>
      </c>
      <c r="H482" s="266" t="s">
        <v>1043</v>
      </c>
      <c r="I482" s="266" t="s">
        <v>5812</v>
      </c>
      <c r="J482" s="266" t="s">
        <v>996</v>
      </c>
      <c r="K482" s="406" t="s">
        <v>5844</v>
      </c>
    </row>
    <row r="483" spans="1:11" x14ac:dyDescent="0.25">
      <c r="A483" s="270" t="s">
        <v>1044</v>
      </c>
      <c r="B483" s="266"/>
      <c r="C483" s="266" t="s">
        <v>993</v>
      </c>
      <c r="D483" s="266" t="s">
        <v>5845</v>
      </c>
      <c r="E483" s="267" t="s">
        <v>5846</v>
      </c>
      <c r="F483" s="267">
        <v>5328</v>
      </c>
      <c r="G483" s="266" t="s">
        <v>1022</v>
      </c>
      <c r="H483" s="266" t="s">
        <v>1046</v>
      </c>
      <c r="I483" s="266" t="s">
        <v>5812</v>
      </c>
      <c r="J483" s="266" t="s">
        <v>996</v>
      </c>
      <c r="K483" s="406" t="s">
        <v>5847</v>
      </c>
    </row>
    <row r="484" spans="1:11" x14ac:dyDescent="0.25">
      <c r="A484" s="270" t="s">
        <v>1047</v>
      </c>
      <c r="B484" s="266"/>
      <c r="C484" s="266" t="s">
        <v>993</v>
      </c>
      <c r="D484" s="266" t="s">
        <v>5848</v>
      </c>
      <c r="E484" s="267" t="s">
        <v>5849</v>
      </c>
      <c r="F484" s="267">
        <v>5340</v>
      </c>
      <c r="G484" s="266" t="s">
        <v>1049</v>
      </c>
      <c r="H484" s="266" t="s">
        <v>314</v>
      </c>
      <c r="I484" s="266" t="s">
        <v>242</v>
      </c>
      <c r="J484" s="266" t="s">
        <v>996</v>
      </c>
      <c r="K484" s="406" t="s">
        <v>5850</v>
      </c>
    </row>
    <row r="485" spans="1:11" x14ac:dyDescent="0.25">
      <c r="A485" s="270" t="s">
        <v>1050</v>
      </c>
      <c r="B485" s="266"/>
      <c r="C485" s="266" t="s">
        <v>114</v>
      </c>
      <c r="D485" s="266" t="s">
        <v>5851</v>
      </c>
      <c r="E485" s="267" t="s">
        <v>5852</v>
      </c>
      <c r="F485" s="267">
        <v>5439</v>
      </c>
      <c r="G485" s="266" t="s">
        <v>1052</v>
      </c>
      <c r="H485" s="266" t="s">
        <v>1053</v>
      </c>
      <c r="I485" s="266" t="s">
        <v>242</v>
      </c>
      <c r="J485" s="266" t="s">
        <v>996</v>
      </c>
      <c r="K485" s="406" t="s">
        <v>5853</v>
      </c>
    </row>
    <row r="486" spans="1:11" x14ac:dyDescent="0.25">
      <c r="A486" s="270" t="s">
        <v>1054</v>
      </c>
      <c r="B486" s="266"/>
      <c r="C486" s="266" t="s">
        <v>993</v>
      </c>
      <c r="D486" s="266" t="s">
        <v>5854</v>
      </c>
      <c r="E486" s="267" t="s">
        <v>5852</v>
      </c>
      <c r="F486" s="267">
        <v>5439</v>
      </c>
      <c r="G486" s="266" t="s">
        <v>1000</v>
      </c>
      <c r="H486" s="266" t="s">
        <v>1056</v>
      </c>
      <c r="I486" s="266" t="s">
        <v>242</v>
      </c>
      <c r="J486" s="266" t="s">
        <v>996</v>
      </c>
      <c r="K486" s="406" t="s">
        <v>5855</v>
      </c>
    </row>
    <row r="487" spans="1:11" x14ac:dyDescent="0.25">
      <c r="A487" s="270" t="s">
        <v>1057</v>
      </c>
      <c r="B487" s="266"/>
      <c r="C487" s="266" t="s">
        <v>238</v>
      </c>
      <c r="D487" s="266" t="s">
        <v>305</v>
      </c>
      <c r="E487" s="267" t="s">
        <v>5856</v>
      </c>
      <c r="F487" s="267">
        <v>5913</v>
      </c>
      <c r="G487" s="266" t="s">
        <v>306</v>
      </c>
      <c r="H487" s="266" t="s">
        <v>307</v>
      </c>
      <c r="I487" s="266" t="s">
        <v>5812</v>
      </c>
      <c r="J487" s="266" t="s">
        <v>996</v>
      </c>
      <c r="K487" s="406" t="s">
        <v>5857</v>
      </c>
    </row>
    <row r="488" spans="1:11" x14ac:dyDescent="0.25">
      <c r="A488" s="270" t="s">
        <v>1059</v>
      </c>
      <c r="B488" s="266"/>
      <c r="C488" s="266" t="s">
        <v>969</v>
      </c>
      <c r="D488" s="266" t="s">
        <v>5858</v>
      </c>
      <c r="E488" s="267" t="s">
        <v>5859</v>
      </c>
      <c r="F488" s="267">
        <v>5925</v>
      </c>
      <c r="G488" s="266" t="s">
        <v>1061</v>
      </c>
      <c r="H488" s="266" t="s">
        <v>1062</v>
      </c>
      <c r="I488" s="266" t="s">
        <v>5812</v>
      </c>
      <c r="J488" s="266" t="s">
        <v>985</v>
      </c>
      <c r="K488" s="406" t="s">
        <v>5860</v>
      </c>
    </row>
    <row r="489" spans="1:11" x14ac:dyDescent="0.25">
      <c r="A489" s="270" t="s">
        <v>1063</v>
      </c>
      <c r="B489" s="266"/>
      <c r="C489" s="266" t="s">
        <v>993</v>
      </c>
      <c r="D489" s="266" t="s">
        <v>5861</v>
      </c>
      <c r="E489" s="267" t="s">
        <v>5862</v>
      </c>
      <c r="F489" s="267">
        <v>6271</v>
      </c>
      <c r="G489" s="266" t="s">
        <v>1000</v>
      </c>
      <c r="H489" s="266" t="s">
        <v>1065</v>
      </c>
      <c r="I489" s="266" t="s">
        <v>242</v>
      </c>
      <c r="J489" s="266" t="s">
        <v>996</v>
      </c>
      <c r="K489" s="406" t="s">
        <v>5863</v>
      </c>
    </row>
    <row r="490" spans="1:11" x14ac:dyDescent="0.25">
      <c r="A490" s="270" t="s">
        <v>1066</v>
      </c>
      <c r="B490" s="266"/>
      <c r="C490" s="266" t="s">
        <v>309</v>
      </c>
      <c r="D490" s="266" t="s">
        <v>5864</v>
      </c>
      <c r="E490" s="267" t="s">
        <v>5865</v>
      </c>
      <c r="F490" s="267">
        <v>6333</v>
      </c>
      <c r="G490" s="266" t="s">
        <v>310</v>
      </c>
      <c r="H490" s="266" t="s">
        <v>1068</v>
      </c>
      <c r="I490" s="266" t="s">
        <v>5812</v>
      </c>
      <c r="J490" s="266" t="s">
        <v>996</v>
      </c>
      <c r="K490" s="406" t="s">
        <v>5866</v>
      </c>
    </row>
    <row r="491" spans="1:11" x14ac:dyDescent="0.25">
      <c r="A491" s="270" t="s">
        <v>1069</v>
      </c>
      <c r="B491" s="266"/>
      <c r="C491" s="266" t="s">
        <v>309</v>
      </c>
      <c r="D491" s="266" t="s">
        <v>5867</v>
      </c>
      <c r="E491" s="267" t="s">
        <v>5865</v>
      </c>
      <c r="F491" s="267">
        <v>6333</v>
      </c>
      <c r="G491" s="266" t="s">
        <v>312</v>
      </c>
      <c r="H491" s="266" t="s">
        <v>1068</v>
      </c>
      <c r="I491" s="266" t="s">
        <v>242</v>
      </c>
      <c r="J491" s="266" t="s">
        <v>996</v>
      </c>
      <c r="K491" s="406" t="s">
        <v>5868</v>
      </c>
    </row>
    <row r="492" spans="1:11" x14ac:dyDescent="0.25">
      <c r="A492" s="270" t="s">
        <v>1071</v>
      </c>
      <c r="B492" s="266"/>
      <c r="C492" s="266" t="s">
        <v>309</v>
      </c>
      <c r="D492" s="266" t="s">
        <v>5869</v>
      </c>
      <c r="E492" s="267" t="s">
        <v>5870</v>
      </c>
      <c r="F492" s="267">
        <v>6399</v>
      </c>
      <c r="G492" s="266" t="s">
        <v>314</v>
      </c>
      <c r="H492" s="266" t="s">
        <v>315</v>
      </c>
      <c r="I492" s="266" t="s">
        <v>242</v>
      </c>
      <c r="J492" s="266" t="s">
        <v>996</v>
      </c>
      <c r="K492" s="406" t="s">
        <v>5871</v>
      </c>
    </row>
    <row r="493" spans="1:11" x14ac:dyDescent="0.25">
      <c r="A493" s="270" t="s">
        <v>1073</v>
      </c>
      <c r="B493" s="266"/>
      <c r="C493" s="266" t="s">
        <v>309</v>
      </c>
      <c r="D493" s="266" t="s">
        <v>5872</v>
      </c>
      <c r="E493" s="267" t="s">
        <v>5870</v>
      </c>
      <c r="F493" s="267">
        <v>6399</v>
      </c>
      <c r="G493" s="266" t="s">
        <v>316</v>
      </c>
      <c r="H493" s="266" t="s">
        <v>315</v>
      </c>
      <c r="I493" s="266" t="s">
        <v>242</v>
      </c>
      <c r="J493" s="266" t="s">
        <v>996</v>
      </c>
      <c r="K493" s="406" t="s">
        <v>5873</v>
      </c>
    </row>
    <row r="494" spans="1:11" x14ac:dyDescent="0.25">
      <c r="A494" s="270" t="s">
        <v>1075</v>
      </c>
      <c r="B494" s="266"/>
      <c r="C494" s="266" t="s">
        <v>993</v>
      </c>
      <c r="D494" s="266" t="s">
        <v>5874</v>
      </c>
      <c r="E494" s="267" t="s">
        <v>5875</v>
      </c>
      <c r="F494" s="267">
        <v>6566</v>
      </c>
      <c r="G494" s="266" t="s">
        <v>1039</v>
      </c>
      <c r="H494" s="266" t="s">
        <v>1077</v>
      </c>
      <c r="I494" s="266" t="s">
        <v>242</v>
      </c>
      <c r="J494" s="266" t="s">
        <v>996</v>
      </c>
      <c r="K494" s="406" t="s">
        <v>5876</v>
      </c>
    </row>
    <row r="495" spans="1:11" x14ac:dyDescent="0.25">
      <c r="A495" s="270" t="s">
        <v>1078</v>
      </c>
      <c r="B495" s="266"/>
      <c r="C495" s="266" t="s">
        <v>993</v>
      </c>
      <c r="D495" s="266" t="s">
        <v>5877</v>
      </c>
      <c r="E495" s="267" t="s">
        <v>5878</v>
      </c>
      <c r="F495" s="267">
        <v>6589</v>
      </c>
      <c r="G495" s="266" t="s">
        <v>1080</v>
      </c>
      <c r="H495" s="266" t="s">
        <v>314</v>
      </c>
      <c r="I495" s="266" t="s">
        <v>242</v>
      </c>
      <c r="J495" s="266" t="s">
        <v>996</v>
      </c>
      <c r="K495" s="406" t="s">
        <v>5879</v>
      </c>
    </row>
    <row r="496" spans="1:11" x14ac:dyDescent="0.25">
      <c r="A496" s="270" t="s">
        <v>1081</v>
      </c>
      <c r="B496" s="266"/>
      <c r="C496" s="266" t="s">
        <v>993</v>
      </c>
      <c r="D496" s="266" t="s">
        <v>5880</v>
      </c>
      <c r="E496" s="267" t="s">
        <v>5881</v>
      </c>
      <c r="F496" s="267">
        <v>6596</v>
      </c>
      <c r="G496" s="266" t="s">
        <v>1052</v>
      </c>
      <c r="H496" s="266" t="s">
        <v>1083</v>
      </c>
      <c r="I496" s="266" t="s">
        <v>242</v>
      </c>
      <c r="J496" s="266" t="s">
        <v>996</v>
      </c>
      <c r="K496" s="406" t="s">
        <v>5882</v>
      </c>
    </row>
    <row r="497" spans="1:11" x14ac:dyDescent="0.25">
      <c r="A497" s="270" t="s">
        <v>1084</v>
      </c>
      <c r="B497" s="266"/>
      <c r="C497" s="266" t="s">
        <v>969</v>
      </c>
      <c r="D497" s="266" t="s">
        <v>5883</v>
      </c>
      <c r="E497" s="267" t="s">
        <v>5884</v>
      </c>
      <c r="F497" s="267">
        <v>6887</v>
      </c>
      <c r="G497" s="266" t="s">
        <v>314</v>
      </c>
      <c r="H497" s="266" t="s">
        <v>1086</v>
      </c>
      <c r="I497" s="266" t="s">
        <v>242</v>
      </c>
      <c r="J497" s="266" t="s">
        <v>985</v>
      </c>
      <c r="K497" s="406" t="s">
        <v>5885</v>
      </c>
    </row>
    <row r="498" spans="1:11" x14ac:dyDescent="0.25">
      <c r="A498" s="270" t="s">
        <v>1087</v>
      </c>
      <c r="B498" s="266"/>
      <c r="C498" s="266" t="s">
        <v>993</v>
      </c>
      <c r="D498" s="266" t="s">
        <v>5886</v>
      </c>
      <c r="E498" s="267" t="s">
        <v>5887</v>
      </c>
      <c r="F498" s="267">
        <v>6888</v>
      </c>
      <c r="G498" s="266" t="s">
        <v>1089</v>
      </c>
      <c r="H498" s="266" t="s">
        <v>314</v>
      </c>
      <c r="I498" s="266" t="s">
        <v>242</v>
      </c>
      <c r="J498" s="266" t="s">
        <v>996</v>
      </c>
      <c r="K498" s="406" t="s">
        <v>5888</v>
      </c>
    </row>
    <row r="499" spans="1:11" x14ac:dyDescent="0.25">
      <c r="A499" s="270" t="s">
        <v>1090</v>
      </c>
      <c r="B499" s="266"/>
      <c r="C499" s="266" t="s">
        <v>1091</v>
      </c>
      <c r="D499" s="266" t="s">
        <v>5889</v>
      </c>
      <c r="E499" s="267" t="s">
        <v>5890</v>
      </c>
      <c r="F499" s="267">
        <v>6902</v>
      </c>
      <c r="G499" s="266" t="s">
        <v>1093</v>
      </c>
      <c r="H499" s="266" t="s">
        <v>1094</v>
      </c>
      <c r="I499" s="266" t="s">
        <v>242</v>
      </c>
      <c r="J499" s="266" t="s">
        <v>1095</v>
      </c>
      <c r="K499" s="406" t="s">
        <v>5891</v>
      </c>
    </row>
    <row r="500" spans="1:11" x14ac:dyDescent="0.25">
      <c r="A500" s="270" t="s">
        <v>1096</v>
      </c>
      <c r="B500" s="266"/>
      <c r="C500" s="266" t="s">
        <v>309</v>
      </c>
      <c r="D500" s="266" t="s">
        <v>5892</v>
      </c>
      <c r="E500" s="267" t="s">
        <v>5893</v>
      </c>
      <c r="F500" s="267">
        <v>7090</v>
      </c>
      <c r="G500" s="266" t="s">
        <v>317</v>
      </c>
      <c r="H500" s="266" t="s">
        <v>318</v>
      </c>
      <c r="I500" s="266" t="s">
        <v>242</v>
      </c>
      <c r="J500" s="266" t="s">
        <v>996</v>
      </c>
      <c r="K500" s="406" t="s">
        <v>5894</v>
      </c>
    </row>
    <row r="501" spans="1:11" x14ac:dyDescent="0.25">
      <c r="A501" s="270" t="s">
        <v>1098</v>
      </c>
      <c r="B501" s="266"/>
      <c r="C501" s="266" t="s">
        <v>309</v>
      </c>
      <c r="D501" s="266" t="s">
        <v>5895</v>
      </c>
      <c r="E501" s="267" t="s">
        <v>5896</v>
      </c>
      <c r="F501" s="267">
        <v>7116</v>
      </c>
      <c r="G501" s="266" t="s">
        <v>319</v>
      </c>
      <c r="H501" s="266" t="s">
        <v>320</v>
      </c>
      <c r="I501" s="266" t="s">
        <v>242</v>
      </c>
      <c r="J501" s="266" t="s">
        <v>996</v>
      </c>
      <c r="K501" s="406" t="s">
        <v>5897</v>
      </c>
    </row>
    <row r="502" spans="1:11" x14ac:dyDescent="0.25">
      <c r="A502" s="270" t="s">
        <v>1100</v>
      </c>
      <c r="B502" s="266"/>
      <c r="C502" s="266" t="s">
        <v>114</v>
      </c>
      <c r="D502" s="266" t="s">
        <v>5898</v>
      </c>
      <c r="E502" s="267" t="s">
        <v>5899</v>
      </c>
      <c r="F502" s="267">
        <v>7291</v>
      </c>
      <c r="G502" s="266" t="s">
        <v>1023</v>
      </c>
      <c r="H502" s="266" t="s">
        <v>1102</v>
      </c>
      <c r="I502" s="266" t="s">
        <v>5812</v>
      </c>
      <c r="J502" s="266" t="s">
        <v>996</v>
      </c>
      <c r="K502" s="406" t="s">
        <v>5900</v>
      </c>
    </row>
    <row r="503" spans="1:11" x14ac:dyDescent="0.25">
      <c r="A503" s="270" t="s">
        <v>1103</v>
      </c>
      <c r="B503" s="266"/>
      <c r="C503" s="266" t="s">
        <v>969</v>
      </c>
      <c r="D503" s="266" t="s">
        <v>4425</v>
      </c>
      <c r="E503" s="267" t="s">
        <v>5899</v>
      </c>
      <c r="F503" s="267">
        <v>7291</v>
      </c>
      <c r="G503" s="266" t="s">
        <v>1105</v>
      </c>
      <c r="H503" s="266" t="s">
        <v>1094</v>
      </c>
      <c r="I503" s="266" t="s">
        <v>242</v>
      </c>
      <c r="J503" s="266" t="s">
        <v>985</v>
      </c>
      <c r="K503" s="406" t="s">
        <v>5901</v>
      </c>
    </row>
    <row r="504" spans="1:11" x14ac:dyDescent="0.25">
      <c r="A504" s="270" t="s">
        <v>1106</v>
      </c>
      <c r="B504" s="266"/>
      <c r="C504" s="266" t="s">
        <v>1107</v>
      </c>
      <c r="D504" s="266" t="s">
        <v>5902</v>
      </c>
      <c r="E504" s="267" t="s">
        <v>5899</v>
      </c>
      <c r="F504" s="267">
        <v>7291</v>
      </c>
      <c r="G504" s="266" t="s">
        <v>1109</v>
      </c>
      <c r="H504" s="266" t="s">
        <v>1110</v>
      </c>
      <c r="I504" s="266" t="s">
        <v>242</v>
      </c>
      <c r="J504" s="266" t="s">
        <v>1095</v>
      </c>
      <c r="K504" s="406" t="s">
        <v>5903</v>
      </c>
    </row>
    <row r="505" spans="1:11" x14ac:dyDescent="0.25">
      <c r="A505" s="270" t="s">
        <v>1111</v>
      </c>
      <c r="B505" s="266"/>
      <c r="C505" s="266" t="s">
        <v>993</v>
      </c>
      <c r="D505" s="266" t="s">
        <v>5904</v>
      </c>
      <c r="E505" s="267" t="s">
        <v>5899</v>
      </c>
      <c r="F505" s="267">
        <v>7291</v>
      </c>
      <c r="G505" s="266" t="s">
        <v>1113</v>
      </c>
      <c r="H505" s="266" t="s">
        <v>1046</v>
      </c>
      <c r="I505" s="266" t="s">
        <v>242</v>
      </c>
      <c r="J505" s="266" t="s">
        <v>996</v>
      </c>
      <c r="K505" s="406" t="s">
        <v>5905</v>
      </c>
    </row>
    <row r="506" spans="1:11" x14ac:dyDescent="0.25">
      <c r="A506" s="270" t="s">
        <v>1114</v>
      </c>
      <c r="B506" s="266"/>
      <c r="C506" s="266" t="s">
        <v>114</v>
      </c>
      <c r="D506" s="266" t="s">
        <v>5906</v>
      </c>
      <c r="E506" s="267" t="s">
        <v>5907</v>
      </c>
      <c r="F506" s="267">
        <v>7317</v>
      </c>
      <c r="G506" s="266" t="s">
        <v>1116</v>
      </c>
      <c r="H506" s="266" t="s">
        <v>1117</v>
      </c>
      <c r="I506" s="266" t="s">
        <v>242</v>
      </c>
      <c r="J506" s="266" t="s">
        <v>996</v>
      </c>
      <c r="K506" s="406" t="s">
        <v>5908</v>
      </c>
    </row>
    <row r="507" spans="1:11" x14ac:dyDescent="0.25">
      <c r="A507" s="270" t="s">
        <v>1118</v>
      </c>
      <c r="B507" s="266"/>
      <c r="C507" s="266" t="s">
        <v>309</v>
      </c>
      <c r="D507" s="266" t="s">
        <v>5909</v>
      </c>
      <c r="E507" s="267" t="s">
        <v>5910</v>
      </c>
      <c r="F507" s="267">
        <v>7341</v>
      </c>
      <c r="G507" s="266" t="s">
        <v>321</v>
      </c>
      <c r="H507" s="266" t="s">
        <v>322</v>
      </c>
      <c r="I507" s="266" t="s">
        <v>5812</v>
      </c>
      <c r="J507" s="266" t="s">
        <v>996</v>
      </c>
      <c r="K507" s="406" t="s">
        <v>5911</v>
      </c>
    </row>
    <row r="508" spans="1:11" x14ac:dyDescent="0.25">
      <c r="A508" s="270" t="s">
        <v>1120</v>
      </c>
      <c r="B508" s="266"/>
      <c r="C508" s="266" t="s">
        <v>993</v>
      </c>
      <c r="D508" s="266" t="s">
        <v>5912</v>
      </c>
      <c r="E508" s="267" t="s">
        <v>5913</v>
      </c>
      <c r="F508" s="267">
        <v>7663</v>
      </c>
      <c r="G508" s="266" t="s">
        <v>1052</v>
      </c>
      <c r="H508" s="266" t="s">
        <v>314</v>
      </c>
      <c r="I508" s="266" t="s">
        <v>242</v>
      </c>
      <c r="J508" s="266" t="s">
        <v>996</v>
      </c>
      <c r="K508" s="406" t="s">
        <v>5914</v>
      </c>
    </row>
    <row r="509" spans="1:11" x14ac:dyDescent="0.25">
      <c r="A509" s="270" t="s">
        <v>1122</v>
      </c>
      <c r="B509" s="266"/>
      <c r="C509" s="266" t="s">
        <v>993</v>
      </c>
      <c r="D509" s="266" t="s">
        <v>5915</v>
      </c>
      <c r="E509" s="267" t="s">
        <v>5916</v>
      </c>
      <c r="F509" s="267">
        <v>7682</v>
      </c>
      <c r="G509" s="266" t="s">
        <v>1124</v>
      </c>
      <c r="H509" s="266" t="s">
        <v>1125</v>
      </c>
      <c r="I509" s="266" t="s">
        <v>5812</v>
      </c>
      <c r="J509" s="266" t="s">
        <v>996</v>
      </c>
      <c r="K509" s="406" t="s">
        <v>5917</v>
      </c>
    </row>
    <row r="510" spans="1:11" x14ac:dyDescent="0.25">
      <c r="A510" s="270" t="s">
        <v>1126</v>
      </c>
      <c r="B510" s="266"/>
      <c r="C510" s="266" t="s">
        <v>993</v>
      </c>
      <c r="D510" s="266" t="s">
        <v>5918</v>
      </c>
      <c r="E510" s="267" t="s">
        <v>5919</v>
      </c>
      <c r="F510" s="267">
        <v>7750</v>
      </c>
      <c r="G510" s="266" t="s">
        <v>1124</v>
      </c>
      <c r="H510" s="266" t="s">
        <v>1128</v>
      </c>
      <c r="I510" s="266" t="s">
        <v>5812</v>
      </c>
      <c r="J510" s="266" t="s">
        <v>996</v>
      </c>
      <c r="K510" s="406" t="s">
        <v>5920</v>
      </c>
    </row>
    <row r="511" spans="1:11" x14ac:dyDescent="0.25">
      <c r="A511" s="270" t="s">
        <v>1129</v>
      </c>
      <c r="B511" s="266"/>
      <c r="C511" s="266" t="s">
        <v>969</v>
      </c>
      <c r="D511" s="266" t="s">
        <v>5921</v>
      </c>
      <c r="E511" s="267" t="s">
        <v>5922</v>
      </c>
      <c r="F511" s="267">
        <v>7805</v>
      </c>
      <c r="G511" s="266" t="s">
        <v>319</v>
      </c>
      <c r="H511" s="266" t="s">
        <v>1131</v>
      </c>
      <c r="I511" s="266" t="s">
        <v>5812</v>
      </c>
      <c r="J511" s="266" t="s">
        <v>985</v>
      </c>
      <c r="K511" s="406" t="s">
        <v>5923</v>
      </c>
    </row>
    <row r="512" spans="1:11" x14ac:dyDescent="0.25">
      <c r="A512" s="270" t="s">
        <v>1132</v>
      </c>
      <c r="B512" s="266"/>
      <c r="C512" s="266" t="s">
        <v>969</v>
      </c>
      <c r="D512" s="266" t="s">
        <v>5924</v>
      </c>
      <c r="E512" s="267" t="s">
        <v>5922</v>
      </c>
      <c r="F512" s="267">
        <v>7805</v>
      </c>
      <c r="G512" s="266" t="s">
        <v>1134</v>
      </c>
      <c r="H512" s="266" t="s">
        <v>1135</v>
      </c>
      <c r="I512" s="266" t="s">
        <v>5812</v>
      </c>
      <c r="J512" s="266" t="s">
        <v>985</v>
      </c>
      <c r="K512" s="406" t="s">
        <v>5925</v>
      </c>
    </row>
    <row r="513" spans="1:11" x14ac:dyDescent="0.25">
      <c r="A513" s="270" t="s">
        <v>1136</v>
      </c>
      <c r="B513" s="266"/>
      <c r="C513" s="266" t="s">
        <v>993</v>
      </c>
      <c r="D513" s="266" t="s">
        <v>5926</v>
      </c>
      <c r="E513" s="267" t="s">
        <v>5927</v>
      </c>
      <c r="F513" s="267">
        <v>7807</v>
      </c>
      <c r="G513" s="266" t="s">
        <v>315</v>
      </c>
      <c r="H513" s="266" t="s">
        <v>1105</v>
      </c>
      <c r="I513" s="266" t="s">
        <v>242</v>
      </c>
      <c r="J513" s="266" t="s">
        <v>996</v>
      </c>
      <c r="K513" s="406" t="s">
        <v>5928</v>
      </c>
    </row>
    <row r="514" spans="1:11" x14ac:dyDescent="0.25">
      <c r="A514" s="270" t="s">
        <v>1138</v>
      </c>
      <c r="B514" s="266"/>
      <c r="C514" s="266" t="s">
        <v>993</v>
      </c>
      <c r="D514" s="266" t="s">
        <v>5929</v>
      </c>
      <c r="E514" s="267" t="s">
        <v>5930</v>
      </c>
      <c r="F514" s="267">
        <v>7860</v>
      </c>
      <c r="G514" s="266" t="s">
        <v>318</v>
      </c>
      <c r="H514" s="266" t="s">
        <v>317</v>
      </c>
      <c r="I514" s="266" t="s">
        <v>242</v>
      </c>
      <c r="J514" s="266" t="s">
        <v>996</v>
      </c>
      <c r="K514" s="406" t="s">
        <v>5931</v>
      </c>
    </row>
    <row r="515" spans="1:11" x14ac:dyDescent="0.25">
      <c r="A515" s="270" t="s">
        <v>1140</v>
      </c>
      <c r="B515" s="266"/>
      <c r="C515" s="266" t="s">
        <v>969</v>
      </c>
      <c r="D515" s="266" t="s">
        <v>5932</v>
      </c>
      <c r="E515" s="267" t="s">
        <v>5933</v>
      </c>
      <c r="F515" s="267">
        <v>8121</v>
      </c>
      <c r="G515" s="266" t="s">
        <v>317</v>
      </c>
      <c r="H515" s="266" t="s">
        <v>1142</v>
      </c>
      <c r="I515" s="266" t="s">
        <v>242</v>
      </c>
      <c r="J515" s="266" t="s">
        <v>985</v>
      </c>
      <c r="K515" s="406" t="s">
        <v>5934</v>
      </c>
    </row>
    <row r="516" spans="1:11" x14ac:dyDescent="0.25">
      <c r="A516" s="270" t="s">
        <v>1143</v>
      </c>
      <c r="B516" s="266"/>
      <c r="C516" s="266" t="s">
        <v>993</v>
      </c>
      <c r="D516" s="266" t="s">
        <v>5935</v>
      </c>
      <c r="E516" s="267" t="s">
        <v>5933</v>
      </c>
      <c r="F516" s="267">
        <v>8121</v>
      </c>
      <c r="G516" s="266" t="s">
        <v>1033</v>
      </c>
      <c r="H516" s="266" t="s">
        <v>1030</v>
      </c>
      <c r="I516" s="266" t="s">
        <v>242</v>
      </c>
      <c r="J516" s="266" t="s">
        <v>996</v>
      </c>
      <c r="K516" s="406" t="s">
        <v>5936</v>
      </c>
    </row>
    <row r="517" spans="1:11" x14ac:dyDescent="0.25">
      <c r="A517" s="270" t="s">
        <v>1145</v>
      </c>
      <c r="B517" s="266"/>
      <c r="C517" s="266" t="s">
        <v>993</v>
      </c>
      <c r="D517" s="266" t="s">
        <v>5937</v>
      </c>
      <c r="E517" s="267" t="s">
        <v>5938</v>
      </c>
      <c r="F517" s="267">
        <v>8143</v>
      </c>
      <c r="G517" s="266" t="s">
        <v>1147</v>
      </c>
      <c r="H517" s="266" t="s">
        <v>1011</v>
      </c>
      <c r="I517" s="266" t="s">
        <v>5812</v>
      </c>
      <c r="J517" s="266" t="s">
        <v>996</v>
      </c>
      <c r="K517" s="406" t="s">
        <v>5939</v>
      </c>
    </row>
    <row r="518" spans="1:11" x14ac:dyDescent="0.25">
      <c r="A518" s="270" t="s">
        <v>1148</v>
      </c>
      <c r="B518" s="266"/>
      <c r="C518" s="266" t="s">
        <v>114</v>
      </c>
      <c r="D518" s="266" t="s">
        <v>5940</v>
      </c>
      <c r="E518" s="267" t="s">
        <v>5941</v>
      </c>
      <c r="F518" s="267">
        <v>8508</v>
      </c>
      <c r="G518" s="266" t="s">
        <v>1086</v>
      </c>
      <c r="H518" s="266" t="s">
        <v>331</v>
      </c>
      <c r="I518" s="266" t="s">
        <v>242</v>
      </c>
      <c r="J518" s="266" t="s">
        <v>996</v>
      </c>
      <c r="K518" s="406" t="s">
        <v>5942</v>
      </c>
    </row>
    <row r="519" spans="1:11" x14ac:dyDescent="0.25">
      <c r="A519" s="270" t="s">
        <v>1150</v>
      </c>
      <c r="B519" s="266"/>
      <c r="C519" s="266" t="s">
        <v>309</v>
      </c>
      <c r="D519" s="266" t="s">
        <v>5943</v>
      </c>
      <c r="E519" s="267" t="s">
        <v>5944</v>
      </c>
      <c r="F519" s="267">
        <v>8513</v>
      </c>
      <c r="G519" s="266" t="s">
        <v>323</v>
      </c>
      <c r="H519" s="266" t="s">
        <v>324</v>
      </c>
      <c r="I519" s="266" t="s">
        <v>242</v>
      </c>
      <c r="J519" s="266" t="s">
        <v>996</v>
      </c>
      <c r="K519" s="406" t="s">
        <v>5945</v>
      </c>
    </row>
    <row r="520" spans="1:11" x14ac:dyDescent="0.25">
      <c r="A520" s="270" t="s">
        <v>1152</v>
      </c>
      <c r="B520" s="266"/>
      <c r="C520" s="266" t="s">
        <v>1107</v>
      </c>
      <c r="D520" s="266" t="s">
        <v>5946</v>
      </c>
      <c r="E520" s="267" t="s">
        <v>5947</v>
      </c>
      <c r="F520" s="267">
        <v>8518</v>
      </c>
      <c r="G520" s="266" t="s">
        <v>1154</v>
      </c>
      <c r="H520" s="266" t="s">
        <v>1110</v>
      </c>
      <c r="I520" s="266" t="s">
        <v>242</v>
      </c>
      <c r="J520" s="266" t="s">
        <v>1095</v>
      </c>
      <c r="K520" s="406" t="s">
        <v>5948</v>
      </c>
    </row>
    <row r="521" spans="1:11" x14ac:dyDescent="0.25">
      <c r="A521" s="270" t="s">
        <v>1155</v>
      </c>
      <c r="B521" s="266"/>
      <c r="C521" s="266" t="s">
        <v>969</v>
      </c>
      <c r="D521" s="266" t="s">
        <v>5949</v>
      </c>
      <c r="E521" s="267" t="s">
        <v>5950</v>
      </c>
      <c r="F521" s="267">
        <v>9137</v>
      </c>
      <c r="G521" s="266" t="s">
        <v>1157</v>
      </c>
      <c r="H521" s="266" t="s">
        <v>1158</v>
      </c>
      <c r="I521" s="266" t="s">
        <v>242</v>
      </c>
      <c r="J521" s="266" t="s">
        <v>985</v>
      </c>
      <c r="K521" s="406" t="s">
        <v>5951</v>
      </c>
    </row>
    <row r="522" spans="1:11" x14ac:dyDescent="0.25">
      <c r="A522" s="270" t="s">
        <v>1159</v>
      </c>
      <c r="B522" s="266"/>
      <c r="C522" s="266" t="s">
        <v>993</v>
      </c>
      <c r="D522" s="266" t="s">
        <v>5952</v>
      </c>
      <c r="E522" s="267" t="s">
        <v>5953</v>
      </c>
      <c r="F522" s="267">
        <v>9801</v>
      </c>
      <c r="G522" s="266" t="s">
        <v>1116</v>
      </c>
      <c r="H522" s="266" t="s">
        <v>1161</v>
      </c>
      <c r="I522" s="266" t="s">
        <v>242</v>
      </c>
      <c r="J522" s="266" t="s">
        <v>996</v>
      </c>
      <c r="K522" s="406" t="s">
        <v>5954</v>
      </c>
    </row>
    <row r="523" spans="1:11" x14ac:dyDescent="0.25">
      <c r="A523" s="270" t="s">
        <v>1162</v>
      </c>
      <c r="B523" s="266"/>
      <c r="C523" s="266" t="s">
        <v>969</v>
      </c>
      <c r="D523" s="266" t="s">
        <v>4340</v>
      </c>
      <c r="E523" s="267" t="s">
        <v>5955</v>
      </c>
      <c r="F523" s="267">
        <v>10077</v>
      </c>
      <c r="G523" s="266" t="s">
        <v>328</v>
      </c>
      <c r="H523" s="266" t="s">
        <v>1164</v>
      </c>
      <c r="I523" s="266" t="s">
        <v>242</v>
      </c>
      <c r="J523" s="266" t="s">
        <v>985</v>
      </c>
      <c r="K523" s="406" t="s">
        <v>5956</v>
      </c>
    </row>
    <row r="524" spans="1:11" x14ac:dyDescent="0.25">
      <c r="A524" s="270" t="s">
        <v>1165</v>
      </c>
      <c r="B524" s="266"/>
      <c r="C524" s="266" t="s">
        <v>969</v>
      </c>
      <c r="D524" s="266" t="s">
        <v>5957</v>
      </c>
      <c r="E524" s="267" t="s">
        <v>5955</v>
      </c>
      <c r="F524" s="267">
        <v>10077</v>
      </c>
      <c r="G524" s="266" t="s">
        <v>1167</v>
      </c>
      <c r="H524" s="266" t="s">
        <v>1168</v>
      </c>
      <c r="I524" s="266" t="s">
        <v>242</v>
      </c>
      <c r="J524" s="266" t="s">
        <v>985</v>
      </c>
      <c r="K524" s="406" t="s">
        <v>5958</v>
      </c>
    </row>
    <row r="525" spans="1:11" x14ac:dyDescent="0.25">
      <c r="A525" s="270" t="s">
        <v>1170</v>
      </c>
      <c r="B525" s="266"/>
      <c r="C525" s="266" t="s">
        <v>993</v>
      </c>
      <c r="D525" s="266" t="s">
        <v>5959</v>
      </c>
      <c r="E525" s="267" t="s">
        <v>5960</v>
      </c>
      <c r="F525" s="267">
        <v>10238</v>
      </c>
      <c r="G525" s="266" t="s">
        <v>1052</v>
      </c>
      <c r="H525" s="266" t="s">
        <v>314</v>
      </c>
      <c r="I525" s="266" t="s">
        <v>242</v>
      </c>
      <c r="J525" s="266" t="s">
        <v>996</v>
      </c>
      <c r="K525" s="406" t="s">
        <v>5961</v>
      </c>
    </row>
    <row r="526" spans="1:11" x14ac:dyDescent="0.25">
      <c r="A526" s="270" t="s">
        <v>1172</v>
      </c>
      <c r="B526" s="266"/>
      <c r="C526" s="266" t="s">
        <v>993</v>
      </c>
      <c r="D526" s="266" t="s">
        <v>5962</v>
      </c>
      <c r="E526" s="267" t="s">
        <v>5963</v>
      </c>
      <c r="F526" s="267">
        <v>10920</v>
      </c>
      <c r="G526" s="266" t="s">
        <v>1116</v>
      </c>
      <c r="H526" s="266" t="s">
        <v>329</v>
      </c>
      <c r="I526" s="266" t="s">
        <v>242</v>
      </c>
      <c r="J526" s="266" t="s">
        <v>996</v>
      </c>
      <c r="K526" s="406" t="s">
        <v>5964</v>
      </c>
    </row>
    <row r="527" spans="1:11" x14ac:dyDescent="0.25">
      <c r="A527" s="270" t="s">
        <v>1174</v>
      </c>
      <c r="B527" s="266"/>
      <c r="C527" s="266" t="s">
        <v>993</v>
      </c>
      <c r="D527" s="266" t="s">
        <v>5965</v>
      </c>
      <c r="E527" s="267" t="s">
        <v>5966</v>
      </c>
      <c r="F527" s="267">
        <v>10964</v>
      </c>
      <c r="G527" s="266" t="s">
        <v>1176</v>
      </c>
      <c r="H527" s="266" t="s">
        <v>1128</v>
      </c>
      <c r="I527" s="266" t="s">
        <v>5812</v>
      </c>
      <c r="J527" s="266" t="s">
        <v>996</v>
      </c>
      <c r="K527" s="406" t="s">
        <v>5967</v>
      </c>
    </row>
    <row r="528" spans="1:11" x14ac:dyDescent="0.25">
      <c r="A528" s="270" t="s">
        <v>1177</v>
      </c>
      <c r="B528" s="266"/>
      <c r="C528" s="266" t="s">
        <v>981</v>
      </c>
      <c r="D528" s="266" t="s">
        <v>4149</v>
      </c>
      <c r="E528" s="267" t="s">
        <v>5968</v>
      </c>
      <c r="F528" s="267">
        <v>11021</v>
      </c>
      <c r="G528" s="266" t="s">
        <v>983</v>
      </c>
      <c r="H528" s="266" t="s">
        <v>1179</v>
      </c>
      <c r="I528" s="266" t="s">
        <v>5812</v>
      </c>
      <c r="J528" s="266" t="s">
        <v>985</v>
      </c>
      <c r="K528" s="406" t="s">
        <v>5969</v>
      </c>
    </row>
    <row r="529" spans="1:11" x14ac:dyDescent="0.25">
      <c r="A529" s="270" t="s">
        <v>1180</v>
      </c>
      <c r="B529" s="266"/>
      <c r="C529" s="266" t="s">
        <v>993</v>
      </c>
      <c r="D529" s="266" t="s">
        <v>5970</v>
      </c>
      <c r="E529" s="267" t="s">
        <v>5971</v>
      </c>
      <c r="F529" s="267">
        <v>11069</v>
      </c>
      <c r="G529" s="266" t="s">
        <v>1176</v>
      </c>
      <c r="H529" s="266" t="s">
        <v>1128</v>
      </c>
      <c r="I529" s="266" t="s">
        <v>5812</v>
      </c>
      <c r="J529" s="266" t="s">
        <v>996</v>
      </c>
      <c r="K529" s="406" t="s">
        <v>5972</v>
      </c>
    </row>
    <row r="530" spans="1:11" x14ac:dyDescent="0.25">
      <c r="A530" s="270" t="s">
        <v>1182</v>
      </c>
      <c r="B530" s="266"/>
      <c r="C530" s="266" t="s">
        <v>1091</v>
      </c>
      <c r="D530" s="266" t="s">
        <v>5973</v>
      </c>
      <c r="E530" s="267" t="s">
        <v>5974</v>
      </c>
      <c r="F530" s="267">
        <v>11139</v>
      </c>
      <c r="G530" s="266" t="s">
        <v>1184</v>
      </c>
      <c r="H530" s="266" t="s">
        <v>1110</v>
      </c>
      <c r="I530" s="266" t="s">
        <v>5812</v>
      </c>
      <c r="J530" s="266" t="s">
        <v>1095</v>
      </c>
      <c r="K530" s="406" t="s">
        <v>5975</v>
      </c>
    </row>
    <row r="531" spans="1:11" x14ac:dyDescent="0.25">
      <c r="A531" s="270" t="s">
        <v>1185</v>
      </c>
      <c r="B531" s="266"/>
      <c r="C531" s="266" t="s">
        <v>1091</v>
      </c>
      <c r="D531" s="266" t="s">
        <v>5976</v>
      </c>
      <c r="E531" s="267" t="s">
        <v>5977</v>
      </c>
      <c r="F531" s="267">
        <v>11164</v>
      </c>
      <c r="G531" s="266" t="s">
        <v>326</v>
      </c>
      <c r="H531" s="266" t="s">
        <v>1110</v>
      </c>
      <c r="I531" s="266" t="s">
        <v>5812</v>
      </c>
      <c r="J531" s="266" t="s">
        <v>1095</v>
      </c>
      <c r="K531" s="406" t="s">
        <v>5978</v>
      </c>
    </row>
    <row r="532" spans="1:11" x14ac:dyDescent="0.25">
      <c r="A532" s="270" t="s">
        <v>1187</v>
      </c>
      <c r="B532" s="266"/>
      <c r="C532" s="266" t="s">
        <v>309</v>
      </c>
      <c r="D532" s="266" t="s">
        <v>5979</v>
      </c>
      <c r="E532" s="267" t="s">
        <v>5977</v>
      </c>
      <c r="F532" s="267">
        <v>11164</v>
      </c>
      <c r="G532" s="266" t="s">
        <v>325</v>
      </c>
      <c r="H532" s="266" t="s">
        <v>326</v>
      </c>
      <c r="I532" s="266" t="s">
        <v>5812</v>
      </c>
      <c r="J532" s="266" t="s">
        <v>996</v>
      </c>
      <c r="K532" s="406" t="s">
        <v>5980</v>
      </c>
    </row>
    <row r="533" spans="1:11" x14ac:dyDescent="0.25">
      <c r="A533" s="270" t="s">
        <v>1189</v>
      </c>
      <c r="B533" s="266"/>
      <c r="C533" s="266" t="s">
        <v>309</v>
      </c>
      <c r="D533" s="266" t="s">
        <v>5981</v>
      </c>
      <c r="E533" s="267" t="s">
        <v>5982</v>
      </c>
      <c r="F533" s="267">
        <v>11174</v>
      </c>
      <c r="G533" s="266" t="s">
        <v>327</v>
      </c>
      <c r="H533" s="266" t="s">
        <v>326</v>
      </c>
      <c r="I533" s="266" t="s">
        <v>242</v>
      </c>
      <c r="J533" s="266" t="s">
        <v>996</v>
      </c>
      <c r="K533" s="406" t="s">
        <v>5983</v>
      </c>
    </row>
    <row r="534" spans="1:11" x14ac:dyDescent="0.25">
      <c r="A534" s="270" t="s">
        <v>1191</v>
      </c>
      <c r="B534" s="266"/>
      <c r="C534" s="266" t="s">
        <v>309</v>
      </c>
      <c r="D534" s="266" t="s">
        <v>5984</v>
      </c>
      <c r="E534" s="267" t="s">
        <v>5985</v>
      </c>
      <c r="F534" s="267">
        <v>11177</v>
      </c>
      <c r="G534" s="266" t="s">
        <v>328</v>
      </c>
      <c r="H534" s="266" t="s">
        <v>326</v>
      </c>
      <c r="I534" s="266" t="s">
        <v>242</v>
      </c>
      <c r="J534" s="266" t="s">
        <v>996</v>
      </c>
      <c r="K534" s="406" t="s">
        <v>5986</v>
      </c>
    </row>
    <row r="535" spans="1:11" x14ac:dyDescent="0.25">
      <c r="A535" s="270" t="s">
        <v>1193</v>
      </c>
      <c r="B535" s="266"/>
      <c r="C535" s="266" t="s">
        <v>309</v>
      </c>
      <c r="D535" s="266" t="s">
        <v>5987</v>
      </c>
      <c r="E535" s="267" t="s">
        <v>5988</v>
      </c>
      <c r="F535" s="267">
        <v>11223</v>
      </c>
      <c r="G535" s="266" t="s">
        <v>329</v>
      </c>
      <c r="H535" s="266" t="s">
        <v>326</v>
      </c>
      <c r="I535" s="266" t="s">
        <v>242</v>
      </c>
      <c r="J535" s="266" t="s">
        <v>996</v>
      </c>
      <c r="K535" s="406" t="s">
        <v>5989</v>
      </c>
    </row>
    <row r="536" spans="1:11" x14ac:dyDescent="0.25">
      <c r="A536" s="270" t="s">
        <v>1195</v>
      </c>
      <c r="B536" s="266"/>
      <c r="C536" s="266" t="s">
        <v>1196</v>
      </c>
      <c r="D536" s="266" t="s">
        <v>5990</v>
      </c>
      <c r="E536" s="267" t="s">
        <v>5991</v>
      </c>
      <c r="F536" s="267">
        <v>11237</v>
      </c>
      <c r="G536" s="266" t="s">
        <v>327</v>
      </c>
      <c r="H536" s="266" t="s">
        <v>326</v>
      </c>
      <c r="I536" s="266" t="s">
        <v>242</v>
      </c>
      <c r="J536" s="266" t="s">
        <v>1095</v>
      </c>
      <c r="K536" s="406" t="s">
        <v>5992</v>
      </c>
    </row>
    <row r="537" spans="1:11" x14ac:dyDescent="0.25">
      <c r="A537" s="270" t="s">
        <v>1198</v>
      </c>
      <c r="B537" s="266"/>
      <c r="C537" s="266" t="s">
        <v>1196</v>
      </c>
      <c r="D537" s="266" t="s">
        <v>5993</v>
      </c>
      <c r="E537" s="267" t="s">
        <v>5991</v>
      </c>
      <c r="F537" s="267">
        <v>11237</v>
      </c>
      <c r="G537" s="266" t="s">
        <v>325</v>
      </c>
      <c r="H537" s="266" t="s">
        <v>326</v>
      </c>
      <c r="I537" s="266" t="s">
        <v>5812</v>
      </c>
      <c r="J537" s="266" t="s">
        <v>1095</v>
      </c>
      <c r="K537" s="406" t="s">
        <v>5994</v>
      </c>
    </row>
    <row r="538" spans="1:11" x14ac:dyDescent="0.25">
      <c r="A538" s="270" t="s">
        <v>1200</v>
      </c>
      <c r="B538" s="266"/>
      <c r="C538" s="266" t="s">
        <v>309</v>
      </c>
      <c r="D538" s="266" t="s">
        <v>5995</v>
      </c>
      <c r="E538" s="267" t="s">
        <v>5996</v>
      </c>
      <c r="F538" s="267">
        <v>11260</v>
      </c>
      <c r="G538" s="266" t="s">
        <v>330</v>
      </c>
      <c r="H538" s="266" t="s">
        <v>326</v>
      </c>
      <c r="I538" s="266" t="s">
        <v>242</v>
      </c>
      <c r="J538" s="266" t="s">
        <v>996</v>
      </c>
      <c r="K538" s="406" t="s">
        <v>5997</v>
      </c>
    </row>
    <row r="539" spans="1:11" x14ac:dyDescent="0.25">
      <c r="A539" s="270" t="s">
        <v>1202</v>
      </c>
      <c r="B539" s="266"/>
      <c r="C539" s="266" t="s">
        <v>309</v>
      </c>
      <c r="D539" s="266" t="s">
        <v>5998</v>
      </c>
      <c r="E539" s="267" t="s">
        <v>5999</v>
      </c>
      <c r="F539" s="267">
        <v>11272</v>
      </c>
      <c r="G539" s="266" t="s">
        <v>331</v>
      </c>
      <c r="H539" s="266" t="s">
        <v>326</v>
      </c>
      <c r="I539" s="266" t="s">
        <v>242</v>
      </c>
      <c r="J539" s="266" t="s">
        <v>996</v>
      </c>
      <c r="K539" s="406" t="s">
        <v>6000</v>
      </c>
    </row>
    <row r="540" spans="1:11" x14ac:dyDescent="0.25">
      <c r="A540" s="270" t="s">
        <v>1204</v>
      </c>
      <c r="B540" s="266"/>
      <c r="C540" s="266" t="s">
        <v>309</v>
      </c>
      <c r="D540" s="266" t="s">
        <v>6001</v>
      </c>
      <c r="E540" s="267" t="s">
        <v>6002</v>
      </c>
      <c r="F540" s="267">
        <v>11279</v>
      </c>
      <c r="G540" s="266" t="s">
        <v>332</v>
      </c>
      <c r="H540" s="266" t="s">
        <v>326</v>
      </c>
      <c r="I540" s="266" t="s">
        <v>242</v>
      </c>
      <c r="J540" s="266" t="s">
        <v>996</v>
      </c>
      <c r="K540" s="406" t="s">
        <v>6003</v>
      </c>
    </row>
    <row r="541" spans="1:11" x14ac:dyDescent="0.25">
      <c r="A541" s="270" t="s">
        <v>1206</v>
      </c>
      <c r="B541" s="266"/>
      <c r="C541" s="266" t="s">
        <v>114</v>
      </c>
      <c r="D541" s="266" t="s">
        <v>6004</v>
      </c>
      <c r="E541" s="267" t="s">
        <v>6005</v>
      </c>
      <c r="F541" s="267">
        <v>11304</v>
      </c>
      <c r="G541" s="266" t="s">
        <v>1094</v>
      </c>
      <c r="H541" s="266" t="s">
        <v>1208</v>
      </c>
      <c r="I541" s="266" t="s">
        <v>242</v>
      </c>
      <c r="J541" s="266" t="s">
        <v>996</v>
      </c>
      <c r="K541" s="406" t="s">
        <v>6006</v>
      </c>
    </row>
    <row r="542" spans="1:11" x14ac:dyDescent="0.25">
      <c r="A542" s="270" t="s">
        <v>1209</v>
      </c>
      <c r="B542" s="266"/>
      <c r="C542" s="266" t="s">
        <v>309</v>
      </c>
      <c r="D542" s="266" t="s">
        <v>6007</v>
      </c>
      <c r="E542" s="267" t="s">
        <v>6008</v>
      </c>
      <c r="F542" s="267">
        <v>11364</v>
      </c>
      <c r="G542" s="266" t="s">
        <v>331</v>
      </c>
      <c r="H542" s="266" t="s">
        <v>326</v>
      </c>
      <c r="I542" s="266" t="s">
        <v>242</v>
      </c>
      <c r="J542" s="266" t="s">
        <v>996</v>
      </c>
      <c r="K542" s="406" t="s">
        <v>6009</v>
      </c>
    </row>
    <row r="543" spans="1:11" x14ac:dyDescent="0.25">
      <c r="A543" s="270" t="s">
        <v>1211</v>
      </c>
      <c r="B543" s="266"/>
      <c r="C543" s="266" t="s">
        <v>993</v>
      </c>
      <c r="D543" s="266" t="s">
        <v>6010</v>
      </c>
      <c r="E543" s="267" t="s">
        <v>6008</v>
      </c>
      <c r="F543" s="267">
        <v>11364</v>
      </c>
      <c r="G543" s="266" t="s">
        <v>326</v>
      </c>
      <c r="H543" s="266" t="s">
        <v>331</v>
      </c>
      <c r="I543" s="266" t="s">
        <v>5812</v>
      </c>
      <c r="J543" s="266" t="s">
        <v>996</v>
      </c>
      <c r="K543" s="406" t="s">
        <v>6011</v>
      </c>
    </row>
    <row r="544" spans="1:11" x14ac:dyDescent="0.25">
      <c r="A544" s="270" t="s">
        <v>1213</v>
      </c>
      <c r="B544" s="266"/>
      <c r="C544" s="266" t="s">
        <v>969</v>
      </c>
      <c r="D544" s="266" t="s">
        <v>6012</v>
      </c>
      <c r="E544" s="267" t="s">
        <v>6013</v>
      </c>
      <c r="F544" s="267">
        <v>11394</v>
      </c>
      <c r="G544" s="266" t="s">
        <v>1215</v>
      </c>
      <c r="H544" s="266" t="s">
        <v>1216</v>
      </c>
      <c r="I544" s="266" t="s">
        <v>242</v>
      </c>
      <c r="J544" s="266" t="s">
        <v>985</v>
      </c>
      <c r="K544" s="406" t="s">
        <v>6014</v>
      </c>
    </row>
    <row r="545" spans="1:11" x14ac:dyDescent="0.25">
      <c r="A545" s="270" t="s">
        <v>1217</v>
      </c>
      <c r="B545" s="266"/>
      <c r="C545" s="266" t="s">
        <v>993</v>
      </c>
      <c r="D545" s="266" t="s">
        <v>6015</v>
      </c>
      <c r="E545" s="267" t="s">
        <v>6016</v>
      </c>
      <c r="F545" s="267">
        <v>11400</v>
      </c>
      <c r="G545" s="266" t="s">
        <v>1219</v>
      </c>
      <c r="H545" s="266" t="s">
        <v>328</v>
      </c>
      <c r="I545" s="266" t="s">
        <v>242</v>
      </c>
      <c r="J545" s="266" t="s">
        <v>996</v>
      </c>
      <c r="K545" s="406" t="s">
        <v>6017</v>
      </c>
    </row>
    <row r="546" spans="1:11" x14ac:dyDescent="0.25">
      <c r="A546" s="270" t="s">
        <v>1220</v>
      </c>
      <c r="B546" s="266"/>
      <c r="C546" s="266" t="s">
        <v>981</v>
      </c>
      <c r="D546" s="266" t="s">
        <v>6018</v>
      </c>
      <c r="E546" s="267" t="s">
        <v>6019</v>
      </c>
      <c r="F546" s="267">
        <v>11450</v>
      </c>
      <c r="G546" s="266" t="s">
        <v>983</v>
      </c>
      <c r="H546" s="266" t="s">
        <v>1222</v>
      </c>
      <c r="I546" s="266" t="s">
        <v>242</v>
      </c>
      <c r="J546" s="266" t="s">
        <v>985</v>
      </c>
      <c r="K546" s="406" t="s">
        <v>6020</v>
      </c>
    </row>
    <row r="547" spans="1:11" x14ac:dyDescent="0.25">
      <c r="A547" s="270" t="s">
        <v>1223</v>
      </c>
      <c r="B547" s="266"/>
      <c r="C547" s="266" t="s">
        <v>969</v>
      </c>
      <c r="D547" s="266" t="s">
        <v>6021</v>
      </c>
      <c r="E547" s="267" t="s">
        <v>6022</v>
      </c>
      <c r="F547" s="267">
        <v>11578</v>
      </c>
      <c r="G547" s="266" t="s">
        <v>1225</v>
      </c>
      <c r="H547" s="266" t="s">
        <v>1226</v>
      </c>
      <c r="I547" s="266" t="s">
        <v>242</v>
      </c>
      <c r="J547" s="266" t="s">
        <v>985</v>
      </c>
      <c r="K547" s="406" t="s">
        <v>6023</v>
      </c>
    </row>
    <row r="548" spans="1:11" x14ac:dyDescent="0.25">
      <c r="A548" s="270" t="s">
        <v>1227</v>
      </c>
      <c r="B548" s="266"/>
      <c r="C548" s="266" t="s">
        <v>993</v>
      </c>
      <c r="D548" s="266" t="s">
        <v>6024</v>
      </c>
      <c r="E548" s="267" t="s">
        <v>6025</v>
      </c>
      <c r="F548" s="267">
        <v>11842</v>
      </c>
      <c r="G548" s="266" t="s">
        <v>326</v>
      </c>
      <c r="H548" s="266" t="s">
        <v>331</v>
      </c>
      <c r="I548" s="266" t="s">
        <v>5812</v>
      </c>
      <c r="J548" s="266" t="s">
        <v>996</v>
      </c>
      <c r="K548" s="406" t="s">
        <v>6026</v>
      </c>
    </row>
    <row r="549" spans="1:11" x14ac:dyDescent="0.25">
      <c r="A549" s="270" t="s">
        <v>1229</v>
      </c>
      <c r="B549" s="266"/>
      <c r="C549" s="266" t="s">
        <v>969</v>
      </c>
      <c r="D549" s="266" t="s">
        <v>6027</v>
      </c>
      <c r="E549" s="267" t="s">
        <v>6028</v>
      </c>
      <c r="F549" s="267">
        <v>12035</v>
      </c>
      <c r="G549" s="266" t="s">
        <v>1216</v>
      </c>
      <c r="H549" s="266" t="s">
        <v>1231</v>
      </c>
      <c r="I549" s="266" t="s">
        <v>5812</v>
      </c>
      <c r="J549" s="266" t="s">
        <v>985</v>
      </c>
      <c r="K549" s="406" t="s">
        <v>6029</v>
      </c>
    </row>
    <row r="550" spans="1:11" x14ac:dyDescent="0.25">
      <c r="A550" s="270" t="s">
        <v>1232</v>
      </c>
      <c r="B550" s="266"/>
      <c r="C550" s="266" t="s">
        <v>114</v>
      </c>
      <c r="D550" s="266" t="s">
        <v>6030</v>
      </c>
      <c r="E550" s="267" t="s">
        <v>6031</v>
      </c>
      <c r="F550" s="267">
        <v>12271</v>
      </c>
      <c r="G550" s="266" t="s">
        <v>1208</v>
      </c>
      <c r="H550" s="266" t="s">
        <v>1234</v>
      </c>
      <c r="I550" s="266" t="s">
        <v>242</v>
      </c>
      <c r="J550" s="266" t="s">
        <v>996</v>
      </c>
      <c r="K550" s="406" t="s">
        <v>6032</v>
      </c>
    </row>
    <row r="551" spans="1:11" x14ac:dyDescent="0.25">
      <c r="A551" s="270" t="s">
        <v>1235</v>
      </c>
      <c r="B551" s="266"/>
      <c r="C551" s="266" t="s">
        <v>993</v>
      </c>
      <c r="D551" s="266" t="s">
        <v>6033</v>
      </c>
      <c r="E551" s="267" t="s">
        <v>6034</v>
      </c>
      <c r="F551" s="267">
        <v>12596</v>
      </c>
      <c r="G551" s="266" t="s">
        <v>331</v>
      </c>
      <c r="H551" s="266" t="s">
        <v>327</v>
      </c>
      <c r="I551" s="266" t="s">
        <v>242</v>
      </c>
      <c r="J551" s="266" t="s">
        <v>996</v>
      </c>
      <c r="K551" s="406" t="s">
        <v>6035</v>
      </c>
    </row>
    <row r="552" spans="1:11" x14ac:dyDescent="0.25">
      <c r="A552" s="270" t="s">
        <v>1237</v>
      </c>
      <c r="B552" s="266"/>
      <c r="C552" s="266" t="s">
        <v>969</v>
      </c>
      <c r="D552" s="266" t="s">
        <v>6036</v>
      </c>
      <c r="E552" s="267" t="s">
        <v>6037</v>
      </c>
      <c r="F552" s="267">
        <v>12844</v>
      </c>
      <c r="G552" s="266" t="s">
        <v>1239</v>
      </c>
      <c r="H552" s="266" t="s">
        <v>1240</v>
      </c>
      <c r="I552" s="266" t="s">
        <v>5812</v>
      </c>
      <c r="J552" s="266" t="s">
        <v>985</v>
      </c>
      <c r="K552" s="406" t="s">
        <v>6038</v>
      </c>
    </row>
    <row r="553" spans="1:11" x14ac:dyDescent="0.25">
      <c r="A553" s="270" t="s">
        <v>1241</v>
      </c>
      <c r="B553" s="266"/>
      <c r="C553" s="266" t="s">
        <v>969</v>
      </c>
      <c r="D553" s="266" t="s">
        <v>6039</v>
      </c>
      <c r="E553" s="267" t="s">
        <v>6040</v>
      </c>
      <c r="F553" s="267">
        <v>13121</v>
      </c>
      <c r="G553" s="266" t="s">
        <v>1215</v>
      </c>
      <c r="H553" s="266" t="s">
        <v>1243</v>
      </c>
      <c r="I553" s="266" t="s">
        <v>5812</v>
      </c>
      <c r="J553" s="266" t="s">
        <v>985</v>
      </c>
      <c r="K553" s="406" t="s">
        <v>6041</v>
      </c>
    </row>
    <row r="554" spans="1:11" x14ac:dyDescent="0.25">
      <c r="A554" s="270" t="s">
        <v>1244</v>
      </c>
      <c r="B554" s="266"/>
      <c r="C554" s="266" t="s">
        <v>993</v>
      </c>
      <c r="D554" s="266" t="s">
        <v>6042</v>
      </c>
      <c r="E554" s="267" t="s">
        <v>6040</v>
      </c>
      <c r="F554" s="267">
        <v>13121</v>
      </c>
      <c r="G554" s="266" t="s">
        <v>326</v>
      </c>
      <c r="H554" s="266" t="s">
        <v>330</v>
      </c>
      <c r="I554" s="266" t="s">
        <v>242</v>
      </c>
      <c r="J554" s="266" t="s">
        <v>996</v>
      </c>
      <c r="K554" s="406" t="s">
        <v>6043</v>
      </c>
    </row>
    <row r="555" spans="1:11" x14ac:dyDescent="0.25">
      <c r="A555" s="270" t="s">
        <v>1246</v>
      </c>
      <c r="B555" s="266"/>
      <c r="C555" s="266" t="s">
        <v>993</v>
      </c>
      <c r="D555" s="266" t="s">
        <v>6044</v>
      </c>
      <c r="E555" s="267" t="s">
        <v>6040</v>
      </c>
      <c r="F555" s="267">
        <v>13121</v>
      </c>
      <c r="G555" s="266" t="s">
        <v>326</v>
      </c>
      <c r="H555" s="266" t="s">
        <v>328</v>
      </c>
      <c r="I555" s="266" t="s">
        <v>242</v>
      </c>
      <c r="J555" s="266" t="s">
        <v>996</v>
      </c>
      <c r="K555" s="406" t="s">
        <v>6045</v>
      </c>
    </row>
    <row r="556" spans="1:11" x14ac:dyDescent="0.25">
      <c r="A556" s="270" t="s">
        <v>1248</v>
      </c>
      <c r="B556" s="266"/>
      <c r="C556" s="266" t="s">
        <v>969</v>
      </c>
      <c r="D556" s="266" t="s">
        <v>6046</v>
      </c>
      <c r="E556" s="267" t="s">
        <v>6047</v>
      </c>
      <c r="F556" s="267">
        <v>13545</v>
      </c>
      <c r="G556" s="266" t="s">
        <v>1250</v>
      </c>
      <c r="H556" s="266" t="s">
        <v>1243</v>
      </c>
      <c r="I556" s="266" t="s">
        <v>5812</v>
      </c>
      <c r="J556" s="266" t="s">
        <v>985</v>
      </c>
      <c r="K556" s="406" t="s">
        <v>6048</v>
      </c>
    </row>
    <row r="557" spans="1:11" x14ac:dyDescent="0.25">
      <c r="A557" s="270" t="s">
        <v>1251</v>
      </c>
      <c r="B557" s="266"/>
      <c r="C557" s="266" t="s">
        <v>1107</v>
      </c>
      <c r="D557" s="266" t="s">
        <v>6049</v>
      </c>
      <c r="E557" s="267" t="s">
        <v>6050</v>
      </c>
      <c r="F557" s="267">
        <v>13924</v>
      </c>
      <c r="G557" s="266" t="s">
        <v>1253</v>
      </c>
      <c r="H557" s="266" t="s">
        <v>1110</v>
      </c>
      <c r="I557" s="266" t="s">
        <v>5812</v>
      </c>
      <c r="J557" s="266" t="s">
        <v>1095</v>
      </c>
      <c r="K557" s="406" t="s">
        <v>6051</v>
      </c>
    </row>
    <row r="558" spans="1:11" x14ac:dyDescent="0.25">
      <c r="A558" s="270" t="s">
        <v>1254</v>
      </c>
      <c r="B558" s="266"/>
      <c r="C558" s="266" t="s">
        <v>993</v>
      </c>
      <c r="D558" s="266" t="s">
        <v>6052</v>
      </c>
      <c r="E558" s="267" t="s">
        <v>6053</v>
      </c>
      <c r="F558" s="267">
        <v>14183</v>
      </c>
      <c r="G558" s="266" t="s">
        <v>1256</v>
      </c>
      <c r="H558" s="266" t="s">
        <v>1257</v>
      </c>
      <c r="I558" s="266" t="s">
        <v>5812</v>
      </c>
      <c r="J558" s="266" t="s">
        <v>996</v>
      </c>
      <c r="K558" s="406" t="s">
        <v>6054</v>
      </c>
    </row>
    <row r="559" spans="1:11" x14ac:dyDescent="0.25">
      <c r="A559" s="270" t="s">
        <v>1258</v>
      </c>
      <c r="B559" s="266"/>
      <c r="C559" s="266" t="s">
        <v>969</v>
      </c>
      <c r="D559" s="266" t="s">
        <v>6055</v>
      </c>
      <c r="E559" s="267" t="s">
        <v>6056</v>
      </c>
      <c r="F559" s="267">
        <v>14289</v>
      </c>
      <c r="G559" s="266" t="s">
        <v>1260</v>
      </c>
      <c r="H559" s="266" t="s">
        <v>1240</v>
      </c>
      <c r="I559" s="266" t="s">
        <v>242</v>
      </c>
      <c r="J559" s="266" t="s">
        <v>985</v>
      </c>
      <c r="K559" s="406" t="s">
        <v>6057</v>
      </c>
    </row>
    <row r="560" spans="1:11" x14ac:dyDescent="0.25">
      <c r="A560" s="270" t="s">
        <v>1261</v>
      </c>
      <c r="B560" s="266"/>
      <c r="C560" s="266" t="s">
        <v>993</v>
      </c>
      <c r="D560" s="266" t="s">
        <v>6058</v>
      </c>
      <c r="E560" s="267" t="s">
        <v>6059</v>
      </c>
      <c r="F560" s="267">
        <v>14300</v>
      </c>
      <c r="G560" s="266" t="s">
        <v>1256</v>
      </c>
      <c r="H560" s="266" t="s">
        <v>1257</v>
      </c>
      <c r="I560" s="266" t="s">
        <v>5812</v>
      </c>
      <c r="J560" s="266" t="s">
        <v>996</v>
      </c>
      <c r="K560" s="406" t="s">
        <v>6060</v>
      </c>
    </row>
    <row r="561" spans="1:11" x14ac:dyDescent="0.25">
      <c r="A561" s="270" t="s">
        <v>1263</v>
      </c>
      <c r="B561" s="266"/>
      <c r="C561" s="266" t="s">
        <v>993</v>
      </c>
      <c r="D561" s="266" t="s">
        <v>6061</v>
      </c>
      <c r="E561" s="267" t="s">
        <v>6062</v>
      </c>
      <c r="F561" s="267">
        <v>14334</v>
      </c>
      <c r="G561" s="266" t="s">
        <v>1219</v>
      </c>
      <c r="H561" s="266" t="s">
        <v>328</v>
      </c>
      <c r="I561" s="266" t="s">
        <v>242</v>
      </c>
      <c r="J561" s="266" t="s">
        <v>996</v>
      </c>
      <c r="K561" s="406" t="s">
        <v>6063</v>
      </c>
    </row>
    <row r="562" spans="1:11" x14ac:dyDescent="0.25">
      <c r="A562" s="270" t="s">
        <v>1265</v>
      </c>
      <c r="B562" s="266"/>
      <c r="C562" s="266" t="s">
        <v>114</v>
      </c>
      <c r="D562" s="266" t="s">
        <v>6064</v>
      </c>
      <c r="E562" s="267" t="s">
        <v>6065</v>
      </c>
      <c r="F562" s="267">
        <v>14522</v>
      </c>
      <c r="G562" s="266" t="s">
        <v>405</v>
      </c>
      <c r="H562" s="266" t="s">
        <v>1267</v>
      </c>
      <c r="I562" s="266" t="s">
        <v>242</v>
      </c>
      <c r="J562" s="266" t="s">
        <v>996</v>
      </c>
      <c r="K562" s="406" t="s">
        <v>6066</v>
      </c>
    </row>
    <row r="563" spans="1:11" x14ac:dyDescent="0.25">
      <c r="A563" s="270" t="s">
        <v>1268</v>
      </c>
      <c r="B563" s="266"/>
      <c r="C563" s="266" t="s">
        <v>114</v>
      </c>
      <c r="D563" s="266" t="s">
        <v>6067</v>
      </c>
      <c r="E563" s="267" t="s">
        <v>6065</v>
      </c>
      <c r="F563" s="267">
        <v>14522</v>
      </c>
      <c r="G563" s="266" t="s">
        <v>405</v>
      </c>
      <c r="H563" s="266" t="s">
        <v>1267</v>
      </c>
      <c r="I563" s="266" t="s">
        <v>242</v>
      </c>
      <c r="J563" s="266" t="s">
        <v>996</v>
      </c>
      <c r="K563" s="406" t="s">
        <v>6068</v>
      </c>
    </row>
    <row r="564" spans="1:11" x14ac:dyDescent="0.25">
      <c r="A564" s="270" t="s">
        <v>1270</v>
      </c>
      <c r="B564" s="266"/>
      <c r="C564" s="266" t="s">
        <v>993</v>
      </c>
      <c r="D564" s="266" t="s">
        <v>6069</v>
      </c>
      <c r="E564" s="267" t="s">
        <v>6070</v>
      </c>
      <c r="F564" s="267">
        <v>15376</v>
      </c>
      <c r="G564" s="266" t="s">
        <v>1272</v>
      </c>
      <c r="H564" s="266" t="s">
        <v>327</v>
      </c>
      <c r="I564" s="266" t="s">
        <v>242</v>
      </c>
      <c r="J564" s="266" t="s">
        <v>996</v>
      </c>
      <c r="K564" s="406" t="s">
        <v>6071</v>
      </c>
    </row>
    <row r="565" spans="1:11" x14ac:dyDescent="0.25">
      <c r="A565" s="270" t="s">
        <v>1273</v>
      </c>
      <c r="B565" s="266"/>
      <c r="C565" s="266" t="s">
        <v>1274</v>
      </c>
      <c r="D565" s="266" t="s">
        <v>6072</v>
      </c>
      <c r="E565" s="267" t="s">
        <v>6073</v>
      </c>
      <c r="F565" s="267">
        <v>15490</v>
      </c>
      <c r="G565" s="266" t="s">
        <v>1276</v>
      </c>
      <c r="H565" s="266" t="s">
        <v>1110</v>
      </c>
      <c r="I565" s="266" t="s">
        <v>5812</v>
      </c>
      <c r="J565" s="266" t="s">
        <v>985</v>
      </c>
      <c r="K565" s="406" t="s">
        <v>6074</v>
      </c>
    </row>
    <row r="566" spans="1:11" x14ac:dyDescent="0.25">
      <c r="A566" s="270" t="s">
        <v>1277</v>
      </c>
      <c r="B566" s="266"/>
      <c r="C566" s="266" t="s">
        <v>993</v>
      </c>
      <c r="D566" s="266" t="s">
        <v>6075</v>
      </c>
      <c r="E566" s="267" t="s">
        <v>6076</v>
      </c>
      <c r="F566" s="267">
        <v>16343</v>
      </c>
      <c r="G566" s="266" t="s">
        <v>1279</v>
      </c>
      <c r="H566" s="266" t="s">
        <v>329</v>
      </c>
      <c r="I566" s="266" t="s">
        <v>242</v>
      </c>
      <c r="J566" s="266" t="s">
        <v>996</v>
      </c>
      <c r="K566" s="406" t="s">
        <v>6077</v>
      </c>
    </row>
    <row r="567" spans="1:11" x14ac:dyDescent="0.25">
      <c r="A567" s="270" t="s">
        <v>1280</v>
      </c>
      <c r="B567" s="266"/>
      <c r="C567" s="266" t="s">
        <v>1274</v>
      </c>
      <c r="D567" s="266" t="s">
        <v>6078</v>
      </c>
      <c r="E567" s="267" t="s">
        <v>6079</v>
      </c>
      <c r="F567" s="267">
        <v>16439</v>
      </c>
      <c r="G567" s="266" t="s">
        <v>1282</v>
      </c>
      <c r="H567" s="266" t="s">
        <v>1110</v>
      </c>
      <c r="I567" s="266" t="s">
        <v>242</v>
      </c>
      <c r="J567" s="266" t="s">
        <v>985</v>
      </c>
      <c r="K567" s="406" t="s">
        <v>6080</v>
      </c>
    </row>
    <row r="568" spans="1:11" x14ac:dyDescent="0.25">
      <c r="A568" s="270" t="s">
        <v>1283</v>
      </c>
      <c r="B568" s="266"/>
      <c r="C568" s="266" t="s">
        <v>993</v>
      </c>
      <c r="D568" s="266" t="s">
        <v>6081</v>
      </c>
      <c r="E568" s="267" t="s">
        <v>6082</v>
      </c>
      <c r="F568" s="267">
        <v>16477</v>
      </c>
      <c r="G568" s="266" t="s">
        <v>1285</v>
      </c>
      <c r="H568" s="266" t="s">
        <v>329</v>
      </c>
      <c r="I568" s="266" t="s">
        <v>242</v>
      </c>
      <c r="J568" s="266" t="s">
        <v>996</v>
      </c>
      <c r="K568" s="406" t="s">
        <v>6083</v>
      </c>
    </row>
    <row r="569" spans="1:11" x14ac:dyDescent="0.25">
      <c r="A569" s="270" t="s">
        <v>1286</v>
      </c>
      <c r="B569" s="266"/>
      <c r="C569" s="266" t="s">
        <v>993</v>
      </c>
      <c r="D569" s="266" t="s">
        <v>6084</v>
      </c>
      <c r="E569" s="267" t="s">
        <v>6082</v>
      </c>
      <c r="F569" s="267">
        <v>16477</v>
      </c>
      <c r="G569" s="266" t="s">
        <v>1288</v>
      </c>
      <c r="H569" s="266" t="s">
        <v>329</v>
      </c>
      <c r="I569" s="266" t="s">
        <v>242</v>
      </c>
      <c r="J569" s="266" t="s">
        <v>996</v>
      </c>
      <c r="K569" s="406" t="s">
        <v>6085</v>
      </c>
    </row>
    <row r="570" spans="1:11" x14ac:dyDescent="0.25">
      <c r="A570" s="270" t="s">
        <v>1289</v>
      </c>
      <c r="B570" s="266"/>
      <c r="C570" s="266" t="s">
        <v>969</v>
      </c>
      <c r="D570" s="266" t="s">
        <v>6086</v>
      </c>
      <c r="E570" s="267" t="s">
        <v>6087</v>
      </c>
      <c r="F570" s="267">
        <v>16508</v>
      </c>
      <c r="G570" s="266" t="s">
        <v>1291</v>
      </c>
      <c r="H570" s="266" t="s">
        <v>1243</v>
      </c>
      <c r="I570" s="266" t="s">
        <v>242</v>
      </c>
      <c r="J570" s="266" t="s">
        <v>985</v>
      </c>
      <c r="K570" s="406" t="s">
        <v>6088</v>
      </c>
    </row>
    <row r="571" spans="1:11" x14ac:dyDescent="0.25">
      <c r="A571" s="270" t="s">
        <v>1292</v>
      </c>
      <c r="B571" s="266"/>
      <c r="C571" s="266" t="s">
        <v>309</v>
      </c>
      <c r="D571" s="266" t="s">
        <v>6089</v>
      </c>
      <c r="E571" s="267" t="s">
        <v>6090</v>
      </c>
      <c r="F571" s="267">
        <v>16860</v>
      </c>
      <c r="G571" s="266" t="s">
        <v>327</v>
      </c>
      <c r="H571" s="266" t="s">
        <v>1294</v>
      </c>
      <c r="I571" s="266" t="s">
        <v>242</v>
      </c>
      <c r="J571" s="266" t="s">
        <v>996</v>
      </c>
      <c r="K571" s="406" t="s">
        <v>6091</v>
      </c>
    </row>
    <row r="572" spans="1:11" x14ac:dyDescent="0.25">
      <c r="A572" s="270" t="s">
        <v>1295</v>
      </c>
      <c r="B572" s="266"/>
      <c r="C572" s="266" t="s">
        <v>309</v>
      </c>
      <c r="D572" s="266" t="s">
        <v>6092</v>
      </c>
      <c r="E572" s="267" t="s">
        <v>6090</v>
      </c>
      <c r="F572" s="267">
        <v>16860</v>
      </c>
      <c r="G572" s="266" t="s">
        <v>329</v>
      </c>
      <c r="H572" s="266" t="s">
        <v>334</v>
      </c>
      <c r="I572" s="266" t="s">
        <v>242</v>
      </c>
      <c r="J572" s="266" t="s">
        <v>996</v>
      </c>
      <c r="K572" s="406" t="s">
        <v>6093</v>
      </c>
    </row>
    <row r="573" spans="1:11" x14ac:dyDescent="0.25">
      <c r="A573" s="270" t="s">
        <v>1297</v>
      </c>
      <c r="B573" s="266"/>
      <c r="C573" s="266" t="s">
        <v>309</v>
      </c>
      <c r="D573" s="266" t="s">
        <v>6094</v>
      </c>
      <c r="E573" s="267" t="s">
        <v>6095</v>
      </c>
      <c r="F573" s="267">
        <v>16977</v>
      </c>
      <c r="G573" s="266" t="s">
        <v>335</v>
      </c>
      <c r="H573" s="266" t="s">
        <v>336</v>
      </c>
      <c r="I573" s="266" t="s">
        <v>5812</v>
      </c>
      <c r="J573" s="266" t="s">
        <v>996</v>
      </c>
      <c r="K573" s="406" t="s">
        <v>6096</v>
      </c>
    </row>
    <row r="574" spans="1:11" x14ac:dyDescent="0.25">
      <c r="A574" s="270" t="s">
        <v>1299</v>
      </c>
      <c r="B574" s="266"/>
      <c r="C574" s="266" t="s">
        <v>993</v>
      </c>
      <c r="D574" s="266" t="s">
        <v>6097</v>
      </c>
      <c r="E574" s="267" t="s">
        <v>6098</v>
      </c>
      <c r="F574" s="267">
        <v>17198</v>
      </c>
      <c r="G574" s="266" t="s">
        <v>326</v>
      </c>
      <c r="H574" s="266" t="s">
        <v>361</v>
      </c>
      <c r="I574" s="266" t="s">
        <v>242</v>
      </c>
      <c r="J574" s="266" t="s">
        <v>996</v>
      </c>
      <c r="K574" s="406" t="s">
        <v>6099</v>
      </c>
    </row>
    <row r="575" spans="1:11" x14ac:dyDescent="0.25">
      <c r="A575" s="270" t="s">
        <v>1301</v>
      </c>
      <c r="B575" s="266"/>
      <c r="C575" s="266" t="s">
        <v>309</v>
      </c>
      <c r="D575" s="266" t="s">
        <v>6100</v>
      </c>
      <c r="E575" s="267" t="s">
        <v>6101</v>
      </c>
      <c r="F575" s="267">
        <v>17504</v>
      </c>
      <c r="G575" s="266" t="s">
        <v>1303</v>
      </c>
      <c r="H575" s="266" t="s">
        <v>338</v>
      </c>
      <c r="I575" s="266" t="s">
        <v>242</v>
      </c>
      <c r="J575" s="266" t="s">
        <v>996</v>
      </c>
      <c r="K575" s="406" t="s">
        <v>6102</v>
      </c>
    </row>
    <row r="576" spans="1:11" x14ac:dyDescent="0.25">
      <c r="A576" s="270" t="s">
        <v>1304</v>
      </c>
      <c r="B576" s="266"/>
      <c r="C576" s="266" t="s">
        <v>309</v>
      </c>
      <c r="D576" s="266" t="s">
        <v>6103</v>
      </c>
      <c r="E576" s="267" t="s">
        <v>6104</v>
      </c>
      <c r="F576" s="267">
        <v>17549</v>
      </c>
      <c r="G576" s="266" t="s">
        <v>1306</v>
      </c>
      <c r="H576" s="266" t="s">
        <v>338</v>
      </c>
      <c r="I576" s="266" t="s">
        <v>242</v>
      </c>
      <c r="J576" s="266" t="s">
        <v>996</v>
      </c>
      <c r="K576" s="406" t="s">
        <v>6105</v>
      </c>
    </row>
    <row r="577" spans="1:11" x14ac:dyDescent="0.25">
      <c r="A577" s="270" t="s">
        <v>1307</v>
      </c>
      <c r="B577" s="266"/>
      <c r="C577" s="266" t="s">
        <v>114</v>
      </c>
      <c r="D577" s="266" t="s">
        <v>6106</v>
      </c>
      <c r="E577" s="267" t="s">
        <v>6107</v>
      </c>
      <c r="F577" s="267">
        <v>17554</v>
      </c>
      <c r="G577" s="266" t="s">
        <v>1303</v>
      </c>
      <c r="H577" s="266" t="s">
        <v>1309</v>
      </c>
      <c r="I577" s="266" t="s">
        <v>242</v>
      </c>
      <c r="J577" s="266" t="s">
        <v>996</v>
      </c>
      <c r="K577" s="406" t="s">
        <v>6108</v>
      </c>
    </row>
    <row r="578" spans="1:11" x14ac:dyDescent="0.25">
      <c r="A578" s="270" t="s">
        <v>1310</v>
      </c>
      <c r="B578" s="266"/>
      <c r="C578" s="266" t="s">
        <v>309</v>
      </c>
      <c r="D578" s="266" t="s">
        <v>6109</v>
      </c>
      <c r="E578" s="267" t="s">
        <v>6110</v>
      </c>
      <c r="F578" s="267">
        <v>17566</v>
      </c>
      <c r="G578" s="266" t="s">
        <v>340</v>
      </c>
      <c r="H578" s="266" t="s">
        <v>341</v>
      </c>
      <c r="I578" s="266" t="s">
        <v>242</v>
      </c>
      <c r="J578" s="266" t="s">
        <v>996</v>
      </c>
      <c r="K578" s="406" t="s">
        <v>6111</v>
      </c>
    </row>
    <row r="579" spans="1:11" x14ac:dyDescent="0.25">
      <c r="A579" s="270" t="s">
        <v>1312</v>
      </c>
      <c r="B579" s="266"/>
      <c r="C579" s="266" t="s">
        <v>114</v>
      </c>
      <c r="D579" s="266" t="s">
        <v>6112</v>
      </c>
      <c r="E579" s="267" t="s">
        <v>6113</v>
      </c>
      <c r="F579" s="267">
        <v>17580</v>
      </c>
      <c r="G579" s="266" t="s">
        <v>1314</v>
      </c>
      <c r="H579" s="266" t="s">
        <v>1315</v>
      </c>
      <c r="I579" s="266" t="s">
        <v>242</v>
      </c>
      <c r="J579" s="266" t="s">
        <v>996</v>
      </c>
      <c r="K579" s="406" t="s">
        <v>6114</v>
      </c>
    </row>
    <row r="580" spans="1:11" x14ac:dyDescent="0.25">
      <c r="A580" s="270" t="s">
        <v>1316</v>
      </c>
      <c r="B580" s="266"/>
      <c r="C580" s="266" t="s">
        <v>1317</v>
      </c>
      <c r="D580" s="266" t="s">
        <v>6115</v>
      </c>
      <c r="E580" s="267" t="s">
        <v>6116</v>
      </c>
      <c r="F580" s="267">
        <v>17986</v>
      </c>
      <c r="G580" s="266" t="s">
        <v>1319</v>
      </c>
      <c r="H580" s="266" t="s">
        <v>1110</v>
      </c>
      <c r="I580" s="266" t="s">
        <v>5812</v>
      </c>
      <c r="J580" s="266" t="s">
        <v>1095</v>
      </c>
      <c r="K580" s="406" t="s">
        <v>6117</v>
      </c>
    </row>
    <row r="581" spans="1:11" x14ac:dyDescent="0.25">
      <c r="A581" s="270" t="s">
        <v>1320</v>
      </c>
      <c r="B581" s="266"/>
      <c r="C581" s="266" t="s">
        <v>1321</v>
      </c>
      <c r="D581" s="266" t="s">
        <v>6118</v>
      </c>
      <c r="E581" s="267" t="s">
        <v>6119</v>
      </c>
      <c r="F581" s="267">
        <v>17991</v>
      </c>
      <c r="G581" s="266" t="s">
        <v>1323</v>
      </c>
      <c r="H581" s="266" t="s">
        <v>1324</v>
      </c>
      <c r="I581" s="266" t="s">
        <v>5812</v>
      </c>
      <c r="J581" s="266" t="s">
        <v>1095</v>
      </c>
      <c r="K581" s="406" t="s">
        <v>6120</v>
      </c>
    </row>
    <row r="582" spans="1:11" x14ac:dyDescent="0.25">
      <c r="A582" s="270" t="s">
        <v>1325</v>
      </c>
      <c r="B582" s="266"/>
      <c r="C582" s="266" t="s">
        <v>993</v>
      </c>
      <c r="D582" s="266" t="s">
        <v>6121</v>
      </c>
      <c r="E582" s="267" t="s">
        <v>6122</v>
      </c>
      <c r="F582" s="267">
        <v>17995</v>
      </c>
      <c r="G582" s="266" t="s">
        <v>1256</v>
      </c>
      <c r="H582" s="266" t="s">
        <v>328</v>
      </c>
      <c r="I582" s="266" t="s">
        <v>242</v>
      </c>
      <c r="J582" s="266" t="s">
        <v>996</v>
      </c>
      <c r="K582" s="406" t="s">
        <v>6123</v>
      </c>
    </row>
    <row r="583" spans="1:11" x14ac:dyDescent="0.25">
      <c r="A583" s="270" t="s">
        <v>1327</v>
      </c>
      <c r="B583" s="266"/>
      <c r="C583" s="266" t="s">
        <v>309</v>
      </c>
      <c r="D583" s="266" t="s">
        <v>6124</v>
      </c>
      <c r="E583" s="267" t="s">
        <v>6125</v>
      </c>
      <c r="F583" s="267">
        <v>18015</v>
      </c>
      <c r="G583" s="266" t="s">
        <v>327</v>
      </c>
      <c r="H583" s="266" t="s">
        <v>1294</v>
      </c>
      <c r="I583" s="266" t="s">
        <v>242</v>
      </c>
      <c r="J583" s="266" t="s">
        <v>996</v>
      </c>
      <c r="K583" s="406" t="s">
        <v>6126</v>
      </c>
    </row>
    <row r="584" spans="1:11" x14ac:dyDescent="0.25">
      <c r="A584" s="270" t="s">
        <v>1329</v>
      </c>
      <c r="B584" s="266"/>
      <c r="C584" s="266" t="s">
        <v>993</v>
      </c>
      <c r="D584" s="266" t="s">
        <v>6127</v>
      </c>
      <c r="E584" s="267" t="s">
        <v>6125</v>
      </c>
      <c r="F584" s="267">
        <v>18015</v>
      </c>
      <c r="G584" s="266" t="s">
        <v>1294</v>
      </c>
      <c r="H584" s="266" t="s">
        <v>327</v>
      </c>
      <c r="I584" s="266" t="s">
        <v>242</v>
      </c>
      <c r="J584" s="266" t="s">
        <v>996</v>
      </c>
      <c r="K584" s="406" t="s">
        <v>6128</v>
      </c>
    </row>
    <row r="585" spans="1:11" x14ac:dyDescent="0.25">
      <c r="A585" s="270" t="s">
        <v>1331</v>
      </c>
      <c r="B585" s="266"/>
      <c r="C585" s="266" t="s">
        <v>969</v>
      </c>
      <c r="D585" s="266" t="s">
        <v>6129</v>
      </c>
      <c r="E585" s="267" t="s">
        <v>6130</v>
      </c>
      <c r="F585" s="267">
        <v>18084</v>
      </c>
      <c r="G585" s="266" t="s">
        <v>1333</v>
      </c>
      <c r="H585" s="266" t="s">
        <v>1324</v>
      </c>
      <c r="I585" s="266" t="s">
        <v>242</v>
      </c>
      <c r="J585" s="266" t="s">
        <v>985</v>
      </c>
      <c r="K585" s="406" t="s">
        <v>6131</v>
      </c>
    </row>
    <row r="586" spans="1:11" x14ac:dyDescent="0.25">
      <c r="A586" s="270" t="s">
        <v>1334</v>
      </c>
      <c r="B586" s="266"/>
      <c r="C586" s="266" t="s">
        <v>969</v>
      </c>
      <c r="D586" s="266" t="s">
        <v>6132</v>
      </c>
      <c r="E586" s="267" t="s">
        <v>6133</v>
      </c>
      <c r="F586" s="267">
        <v>18095</v>
      </c>
      <c r="G586" s="266" t="s">
        <v>327</v>
      </c>
      <c r="H586" s="266" t="s">
        <v>353</v>
      </c>
      <c r="I586" s="266" t="s">
        <v>242</v>
      </c>
      <c r="J586" s="266" t="s">
        <v>985</v>
      </c>
      <c r="K586" s="406" t="s">
        <v>6134</v>
      </c>
    </row>
    <row r="587" spans="1:11" x14ac:dyDescent="0.25">
      <c r="A587" s="270" t="s">
        <v>1336</v>
      </c>
      <c r="B587" s="266"/>
      <c r="C587" s="266" t="s">
        <v>969</v>
      </c>
      <c r="D587" s="266" t="s">
        <v>6135</v>
      </c>
      <c r="E587" s="267" t="s">
        <v>6136</v>
      </c>
      <c r="F587" s="267">
        <v>18112</v>
      </c>
      <c r="G587" s="266" t="s">
        <v>1338</v>
      </c>
      <c r="H587" s="266" t="s">
        <v>353</v>
      </c>
      <c r="I587" s="266" t="s">
        <v>5812</v>
      </c>
      <c r="J587" s="266" t="s">
        <v>985</v>
      </c>
      <c r="K587" s="406" t="s">
        <v>6137</v>
      </c>
    </row>
    <row r="588" spans="1:11" x14ac:dyDescent="0.25">
      <c r="A588" s="270" t="s">
        <v>1339</v>
      </c>
      <c r="B588" s="266"/>
      <c r="C588" s="266" t="s">
        <v>114</v>
      </c>
      <c r="D588" s="266" t="s">
        <v>6138</v>
      </c>
      <c r="E588" s="267" t="s">
        <v>6139</v>
      </c>
      <c r="F588" s="267">
        <v>18155</v>
      </c>
      <c r="G588" s="266" t="s">
        <v>1341</v>
      </c>
      <c r="H588" s="266" t="s">
        <v>1342</v>
      </c>
      <c r="I588" s="266" t="s">
        <v>242</v>
      </c>
      <c r="J588" s="266" t="s">
        <v>996</v>
      </c>
      <c r="K588" s="406" t="s">
        <v>6140</v>
      </c>
    </row>
    <row r="589" spans="1:11" x14ac:dyDescent="0.25">
      <c r="A589" s="270" t="s">
        <v>1343</v>
      </c>
      <c r="B589" s="266"/>
      <c r="C589" s="266" t="s">
        <v>114</v>
      </c>
      <c r="D589" s="266" t="s">
        <v>6141</v>
      </c>
      <c r="E589" s="267" t="s">
        <v>6139</v>
      </c>
      <c r="F589" s="267">
        <v>18155</v>
      </c>
      <c r="G589" s="266" t="s">
        <v>1341</v>
      </c>
      <c r="H589" s="266" t="s">
        <v>1342</v>
      </c>
      <c r="I589" s="266" t="s">
        <v>242</v>
      </c>
      <c r="J589" s="266" t="s">
        <v>996</v>
      </c>
      <c r="K589" s="406" t="s">
        <v>6142</v>
      </c>
    </row>
    <row r="590" spans="1:11" x14ac:dyDescent="0.25">
      <c r="A590" s="270" t="s">
        <v>1345</v>
      </c>
      <c r="B590" s="266"/>
      <c r="C590" s="266" t="s">
        <v>114</v>
      </c>
      <c r="D590" s="266" t="s">
        <v>6143</v>
      </c>
      <c r="E590" s="267" t="s">
        <v>6144</v>
      </c>
      <c r="F590" s="267">
        <v>18160</v>
      </c>
      <c r="G590" s="266" t="s">
        <v>329</v>
      </c>
      <c r="H590" s="266" t="s">
        <v>1347</v>
      </c>
      <c r="I590" s="266" t="s">
        <v>242</v>
      </c>
      <c r="J590" s="266" t="s">
        <v>996</v>
      </c>
      <c r="K590" s="406" t="s">
        <v>6145</v>
      </c>
    </row>
    <row r="591" spans="1:11" x14ac:dyDescent="0.25">
      <c r="A591" s="270" t="s">
        <v>1348</v>
      </c>
      <c r="B591" s="266"/>
      <c r="C591" s="266" t="s">
        <v>114</v>
      </c>
      <c r="D591" s="266" t="s">
        <v>6146</v>
      </c>
      <c r="E591" s="267" t="s">
        <v>6144</v>
      </c>
      <c r="F591" s="267">
        <v>18160</v>
      </c>
      <c r="G591" s="266" t="s">
        <v>1350</v>
      </c>
      <c r="H591" s="266" t="s">
        <v>1342</v>
      </c>
      <c r="I591" s="266" t="s">
        <v>242</v>
      </c>
      <c r="J591" s="266" t="s">
        <v>996</v>
      </c>
      <c r="K591" s="406" t="s">
        <v>6147</v>
      </c>
    </row>
    <row r="592" spans="1:11" x14ac:dyDescent="0.25">
      <c r="A592" s="270" t="s">
        <v>1351</v>
      </c>
      <c r="B592" s="266"/>
      <c r="C592" s="266" t="s">
        <v>993</v>
      </c>
      <c r="D592" s="266" t="s">
        <v>6148</v>
      </c>
      <c r="E592" s="267" t="s">
        <v>6149</v>
      </c>
      <c r="F592" s="267">
        <v>18169</v>
      </c>
      <c r="G592" s="266" t="s">
        <v>326</v>
      </c>
      <c r="H592" s="266" t="s">
        <v>329</v>
      </c>
      <c r="I592" s="266" t="s">
        <v>242</v>
      </c>
      <c r="J592" s="266" t="s">
        <v>996</v>
      </c>
      <c r="K592" s="406" t="s">
        <v>6150</v>
      </c>
    </row>
    <row r="593" spans="1:11" x14ac:dyDescent="0.25">
      <c r="A593" s="270" t="s">
        <v>1353</v>
      </c>
      <c r="B593" s="266"/>
      <c r="C593" s="266" t="s">
        <v>969</v>
      </c>
      <c r="D593" s="266" t="s">
        <v>6151</v>
      </c>
      <c r="E593" s="267" t="s">
        <v>6152</v>
      </c>
      <c r="F593" s="267">
        <v>18170</v>
      </c>
      <c r="G593" s="266" t="s">
        <v>335</v>
      </c>
      <c r="H593" s="266" t="s">
        <v>1355</v>
      </c>
      <c r="I593" s="266" t="s">
        <v>5812</v>
      </c>
      <c r="J593" s="266" t="s">
        <v>985</v>
      </c>
      <c r="K593" s="406" t="s">
        <v>6153</v>
      </c>
    </row>
    <row r="594" spans="1:11" x14ac:dyDescent="0.25">
      <c r="A594" s="270" t="s">
        <v>1356</v>
      </c>
      <c r="B594" s="266"/>
      <c r="C594" s="266" t="s">
        <v>1091</v>
      </c>
      <c r="D594" s="266" t="s">
        <v>6154</v>
      </c>
      <c r="E594" s="267" t="s">
        <v>6155</v>
      </c>
      <c r="F594" s="267">
        <v>18321</v>
      </c>
      <c r="G594" s="266" t="s">
        <v>353</v>
      </c>
      <c r="H594" s="266" t="s">
        <v>1358</v>
      </c>
      <c r="I594" s="266" t="s">
        <v>242</v>
      </c>
      <c r="J594" s="266" t="s">
        <v>1095</v>
      </c>
      <c r="K594" s="406" t="s">
        <v>6156</v>
      </c>
    </row>
    <row r="595" spans="1:11" x14ac:dyDescent="0.25">
      <c r="A595" s="270" t="s">
        <v>1359</v>
      </c>
      <c r="B595" s="266"/>
      <c r="C595" s="266" t="s">
        <v>969</v>
      </c>
      <c r="D595" s="266" t="s">
        <v>6157</v>
      </c>
      <c r="E595" s="267" t="s">
        <v>6158</v>
      </c>
      <c r="F595" s="267">
        <v>18420</v>
      </c>
      <c r="G595" s="266" t="s">
        <v>335</v>
      </c>
      <c r="H595" s="266" t="s">
        <v>353</v>
      </c>
      <c r="I595" s="266" t="s">
        <v>5812</v>
      </c>
      <c r="J595" s="266" t="s">
        <v>985</v>
      </c>
      <c r="K595" s="406" t="s">
        <v>6159</v>
      </c>
    </row>
    <row r="596" spans="1:11" x14ac:dyDescent="0.25">
      <c r="A596" s="270" t="s">
        <v>1361</v>
      </c>
      <c r="B596" s="266"/>
      <c r="C596" s="266" t="s">
        <v>969</v>
      </c>
      <c r="D596" s="266" t="s">
        <v>6160</v>
      </c>
      <c r="E596" s="267" t="s">
        <v>6161</v>
      </c>
      <c r="F596" s="267">
        <v>18680</v>
      </c>
      <c r="G596" s="266" t="s">
        <v>353</v>
      </c>
      <c r="H596" s="266" t="s">
        <v>1363</v>
      </c>
      <c r="I596" s="266" t="s">
        <v>5812</v>
      </c>
      <c r="J596" s="266" t="s">
        <v>985</v>
      </c>
      <c r="K596" s="406" t="s">
        <v>6162</v>
      </c>
    </row>
    <row r="597" spans="1:11" x14ac:dyDescent="0.25">
      <c r="A597" s="270" t="s">
        <v>1364</v>
      </c>
      <c r="B597" s="266"/>
      <c r="C597" s="266" t="s">
        <v>993</v>
      </c>
      <c r="D597" s="266" t="s">
        <v>6163</v>
      </c>
      <c r="E597" s="267" t="s">
        <v>6164</v>
      </c>
      <c r="F597" s="267">
        <v>19099</v>
      </c>
      <c r="G597" s="266" t="s">
        <v>1309</v>
      </c>
      <c r="H597" s="266" t="s">
        <v>335</v>
      </c>
      <c r="I597" s="266" t="s">
        <v>242</v>
      </c>
      <c r="J597" s="266" t="s">
        <v>996</v>
      </c>
      <c r="K597" s="406" t="s">
        <v>6165</v>
      </c>
    </row>
    <row r="598" spans="1:11" x14ac:dyDescent="0.25">
      <c r="A598" s="270" t="s">
        <v>1366</v>
      </c>
      <c r="B598" s="266"/>
      <c r="C598" s="266" t="s">
        <v>993</v>
      </c>
      <c r="D598" s="266" t="s">
        <v>6166</v>
      </c>
      <c r="E598" s="267" t="s">
        <v>6164</v>
      </c>
      <c r="F598" s="267">
        <v>19099</v>
      </c>
      <c r="G598" s="266" t="s">
        <v>1309</v>
      </c>
      <c r="H598" s="266" t="s">
        <v>1368</v>
      </c>
      <c r="I598" s="266" t="s">
        <v>5812</v>
      </c>
      <c r="J598" s="266" t="s">
        <v>996</v>
      </c>
      <c r="K598" s="406" t="s">
        <v>6167</v>
      </c>
    </row>
    <row r="599" spans="1:11" x14ac:dyDescent="0.25">
      <c r="A599" s="270" t="s">
        <v>1370</v>
      </c>
      <c r="B599" s="266"/>
      <c r="C599" s="266" t="s">
        <v>969</v>
      </c>
      <c r="D599" s="266" t="s">
        <v>6168</v>
      </c>
      <c r="E599" s="267" t="s">
        <v>6169</v>
      </c>
      <c r="F599" s="267">
        <v>19396</v>
      </c>
      <c r="G599" s="266" t="s">
        <v>1372</v>
      </c>
      <c r="H599" s="266" t="s">
        <v>1373</v>
      </c>
      <c r="I599" s="266" t="s">
        <v>5812</v>
      </c>
      <c r="J599" s="266" t="s">
        <v>985</v>
      </c>
      <c r="K599" s="406" t="s">
        <v>6170</v>
      </c>
    </row>
    <row r="600" spans="1:11" x14ac:dyDescent="0.25">
      <c r="A600" s="270" t="s">
        <v>1374</v>
      </c>
      <c r="B600" s="266"/>
      <c r="C600" s="266" t="s">
        <v>993</v>
      </c>
      <c r="D600" s="266" t="s">
        <v>6171</v>
      </c>
      <c r="E600" s="267" t="s">
        <v>6172</v>
      </c>
      <c r="F600" s="267">
        <v>19403</v>
      </c>
      <c r="G600" s="266" t="s">
        <v>1373</v>
      </c>
      <c r="H600" s="266" t="s">
        <v>1372</v>
      </c>
      <c r="I600" s="266" t="s">
        <v>5812</v>
      </c>
      <c r="J600" s="266" t="s">
        <v>996</v>
      </c>
      <c r="K600" s="406" t="s">
        <v>6173</v>
      </c>
    </row>
    <row r="601" spans="1:11" x14ac:dyDescent="0.25">
      <c r="A601" s="270" t="s">
        <v>1376</v>
      </c>
      <c r="B601" s="266"/>
      <c r="C601" s="266" t="s">
        <v>969</v>
      </c>
      <c r="D601" s="266" t="s">
        <v>6174</v>
      </c>
      <c r="E601" s="267" t="s">
        <v>6175</v>
      </c>
      <c r="F601" s="267">
        <v>19417</v>
      </c>
      <c r="G601" s="266" t="s">
        <v>353</v>
      </c>
      <c r="H601" s="266" t="s">
        <v>1378</v>
      </c>
      <c r="I601" s="266" t="s">
        <v>242</v>
      </c>
      <c r="J601" s="266" t="s">
        <v>985</v>
      </c>
      <c r="K601" s="406" t="s">
        <v>6176</v>
      </c>
    </row>
    <row r="602" spans="1:11" x14ac:dyDescent="0.25">
      <c r="A602" s="270" t="s">
        <v>1379</v>
      </c>
      <c r="B602" s="266"/>
      <c r="C602" s="266" t="s">
        <v>969</v>
      </c>
      <c r="D602" s="266" t="s">
        <v>6177</v>
      </c>
      <c r="E602" s="267" t="s">
        <v>6175</v>
      </c>
      <c r="F602" s="267">
        <v>19417</v>
      </c>
      <c r="G602" s="266" t="s">
        <v>353</v>
      </c>
      <c r="H602" s="266" t="s">
        <v>1381</v>
      </c>
      <c r="I602" s="266" t="s">
        <v>5812</v>
      </c>
      <c r="J602" s="266" t="s">
        <v>985</v>
      </c>
      <c r="K602" s="406" t="s">
        <v>6178</v>
      </c>
    </row>
    <row r="603" spans="1:11" x14ac:dyDescent="0.25">
      <c r="A603" s="270" t="s">
        <v>1382</v>
      </c>
      <c r="B603" s="266"/>
      <c r="C603" s="266" t="s">
        <v>993</v>
      </c>
      <c r="D603" s="266" t="s">
        <v>6179</v>
      </c>
      <c r="E603" s="267" t="s">
        <v>6180</v>
      </c>
      <c r="F603" s="267">
        <v>19935</v>
      </c>
      <c r="G603" s="266" t="s">
        <v>336</v>
      </c>
      <c r="H603" s="266" t="s">
        <v>335</v>
      </c>
      <c r="I603" s="266" t="s">
        <v>5812</v>
      </c>
      <c r="J603" s="266" t="s">
        <v>996</v>
      </c>
      <c r="K603" s="406" t="s">
        <v>6181</v>
      </c>
    </row>
    <row r="604" spans="1:11" x14ac:dyDescent="0.25">
      <c r="A604" s="270" t="s">
        <v>1384</v>
      </c>
      <c r="B604" s="266"/>
      <c r="C604" s="266" t="s">
        <v>993</v>
      </c>
      <c r="D604" s="266" t="s">
        <v>6182</v>
      </c>
      <c r="E604" s="267" t="s">
        <v>6183</v>
      </c>
      <c r="F604" s="267">
        <v>20617</v>
      </c>
      <c r="G604" s="266" t="s">
        <v>1309</v>
      </c>
      <c r="H604" s="266" t="s">
        <v>1231</v>
      </c>
      <c r="I604" s="266" t="s">
        <v>242</v>
      </c>
      <c r="J604" s="266" t="s">
        <v>996</v>
      </c>
      <c r="K604" s="406" t="s">
        <v>6184</v>
      </c>
    </row>
    <row r="605" spans="1:11" x14ac:dyDescent="0.25">
      <c r="A605" s="270" t="s">
        <v>1386</v>
      </c>
      <c r="B605" s="266"/>
      <c r="C605" s="266" t="s">
        <v>993</v>
      </c>
      <c r="D605" s="266" t="s">
        <v>6185</v>
      </c>
      <c r="E605" s="267" t="s">
        <v>6186</v>
      </c>
      <c r="F605" s="267">
        <v>20654</v>
      </c>
      <c r="G605" s="266" t="s">
        <v>1342</v>
      </c>
      <c r="H605" s="266" t="s">
        <v>1094</v>
      </c>
      <c r="I605" s="266" t="s">
        <v>242</v>
      </c>
      <c r="J605" s="266" t="s">
        <v>996</v>
      </c>
      <c r="K605" s="406" t="s">
        <v>6187</v>
      </c>
    </row>
    <row r="606" spans="1:11" x14ac:dyDescent="0.25">
      <c r="A606" s="270" t="s">
        <v>1388</v>
      </c>
      <c r="B606" s="266"/>
      <c r="C606" s="266" t="s">
        <v>1321</v>
      </c>
      <c r="D606" s="266" t="s">
        <v>6188</v>
      </c>
      <c r="E606" s="267" t="s">
        <v>6189</v>
      </c>
      <c r="F606" s="267">
        <v>20876</v>
      </c>
      <c r="G606" s="266" t="s">
        <v>1390</v>
      </c>
      <c r="H606" s="266" t="s">
        <v>1391</v>
      </c>
      <c r="I606" s="266" t="s">
        <v>5812</v>
      </c>
      <c r="J606" s="266" t="s">
        <v>1095</v>
      </c>
      <c r="K606" s="406" t="s">
        <v>6190</v>
      </c>
    </row>
    <row r="607" spans="1:11" x14ac:dyDescent="0.25">
      <c r="A607" s="270" t="s">
        <v>1392</v>
      </c>
      <c r="B607" s="266"/>
      <c r="C607" s="266" t="s">
        <v>993</v>
      </c>
      <c r="D607" s="266" t="s">
        <v>6191</v>
      </c>
      <c r="E607" s="267" t="s">
        <v>6192</v>
      </c>
      <c r="F607" s="267">
        <v>21177</v>
      </c>
      <c r="G607" s="266" t="s">
        <v>1315</v>
      </c>
      <c r="H607" s="266" t="s">
        <v>1394</v>
      </c>
      <c r="I607" s="266" t="s">
        <v>6193</v>
      </c>
      <c r="J607" s="266" t="s">
        <v>996</v>
      </c>
      <c r="K607" s="406" t="s">
        <v>6194</v>
      </c>
    </row>
    <row r="608" spans="1:11" x14ac:dyDescent="0.25">
      <c r="A608" s="270" t="s">
        <v>1396</v>
      </c>
      <c r="B608" s="266"/>
      <c r="C608" s="266" t="s">
        <v>993</v>
      </c>
      <c r="D608" s="266" t="s">
        <v>6195</v>
      </c>
      <c r="E608" s="267" t="s">
        <v>6196</v>
      </c>
      <c r="F608" s="267">
        <v>21286</v>
      </c>
      <c r="G608" s="266" t="s">
        <v>1342</v>
      </c>
      <c r="H608" s="266" t="s">
        <v>1398</v>
      </c>
      <c r="I608" s="266" t="s">
        <v>5812</v>
      </c>
      <c r="J608" s="266" t="s">
        <v>996</v>
      </c>
      <c r="K608" s="406" t="s">
        <v>6197</v>
      </c>
    </row>
    <row r="609" spans="1:11" x14ac:dyDescent="0.25">
      <c r="A609" s="270" t="s">
        <v>1399</v>
      </c>
      <c r="B609" s="266"/>
      <c r="C609" s="266" t="s">
        <v>993</v>
      </c>
      <c r="D609" s="266" t="s">
        <v>6198</v>
      </c>
      <c r="E609" s="267" t="s">
        <v>6199</v>
      </c>
      <c r="F609" s="267">
        <v>21307</v>
      </c>
      <c r="G609" s="266" t="s">
        <v>1342</v>
      </c>
      <c r="H609" s="266" t="s">
        <v>1401</v>
      </c>
      <c r="I609" s="266" t="s">
        <v>5812</v>
      </c>
      <c r="J609" s="266" t="s">
        <v>996</v>
      </c>
      <c r="K609" s="406" t="s">
        <v>6200</v>
      </c>
    </row>
    <row r="610" spans="1:11" x14ac:dyDescent="0.25">
      <c r="A610" s="270" t="s">
        <v>1402</v>
      </c>
      <c r="B610" s="266"/>
      <c r="C610" s="266" t="s">
        <v>309</v>
      </c>
      <c r="D610" s="266" t="s">
        <v>6201</v>
      </c>
      <c r="E610" s="267" t="s">
        <v>6202</v>
      </c>
      <c r="F610" s="267">
        <v>21495</v>
      </c>
      <c r="G610" s="266" t="s">
        <v>342</v>
      </c>
      <c r="H610" s="266" t="s">
        <v>343</v>
      </c>
      <c r="I610" s="266" t="s">
        <v>5812</v>
      </c>
      <c r="J610" s="266" t="s">
        <v>996</v>
      </c>
      <c r="K610" s="406" t="s">
        <v>6203</v>
      </c>
    </row>
    <row r="611" spans="1:11" x14ac:dyDescent="0.25">
      <c r="A611" s="270" t="s">
        <v>1404</v>
      </c>
      <c r="B611" s="266"/>
      <c r="C611" s="266" t="s">
        <v>1091</v>
      </c>
      <c r="D611" s="266" t="s">
        <v>6204</v>
      </c>
      <c r="E611" s="267" t="s">
        <v>6205</v>
      </c>
      <c r="F611" s="267">
        <v>21696</v>
      </c>
      <c r="G611" s="266" t="s">
        <v>1406</v>
      </c>
      <c r="H611" s="266" t="s">
        <v>1110</v>
      </c>
      <c r="I611" s="266" t="s">
        <v>5812</v>
      </c>
      <c r="J611" s="266" t="s">
        <v>1095</v>
      </c>
      <c r="K611" s="406" t="s">
        <v>6206</v>
      </c>
    </row>
    <row r="612" spans="1:11" x14ac:dyDescent="0.25">
      <c r="A612" s="270" t="s">
        <v>1407</v>
      </c>
      <c r="B612" s="266"/>
      <c r="C612" s="266" t="s">
        <v>993</v>
      </c>
      <c r="D612" s="266" t="s">
        <v>6207</v>
      </c>
      <c r="E612" s="267" t="s">
        <v>6208</v>
      </c>
      <c r="F612" s="267">
        <v>21872</v>
      </c>
      <c r="G612" s="266" t="s">
        <v>343</v>
      </c>
      <c r="H612" s="266" t="s">
        <v>342</v>
      </c>
      <c r="I612" s="266" t="s">
        <v>5812</v>
      </c>
      <c r="J612" s="266" t="s">
        <v>996</v>
      </c>
      <c r="K612" s="406" t="s">
        <v>6209</v>
      </c>
    </row>
    <row r="613" spans="1:11" x14ac:dyDescent="0.25">
      <c r="A613" s="270" t="s">
        <v>1409</v>
      </c>
      <c r="B613" s="266"/>
      <c r="C613" s="266" t="s">
        <v>1410</v>
      </c>
      <c r="D613" s="266" t="s">
        <v>6210</v>
      </c>
      <c r="E613" s="267" t="s">
        <v>6211</v>
      </c>
      <c r="F613" s="267">
        <v>21969</v>
      </c>
      <c r="G613" s="266" t="s">
        <v>1412</v>
      </c>
      <c r="H613" s="266" t="s">
        <v>1110</v>
      </c>
      <c r="I613" s="266" t="s">
        <v>5812</v>
      </c>
      <c r="J613" s="266" t="s">
        <v>985</v>
      </c>
      <c r="K613" s="406" t="s">
        <v>6212</v>
      </c>
    </row>
    <row r="614" spans="1:11" x14ac:dyDescent="0.25">
      <c r="A614" s="270" t="s">
        <v>1413</v>
      </c>
      <c r="B614" s="266"/>
      <c r="C614" s="266" t="s">
        <v>309</v>
      </c>
      <c r="D614" s="266" t="s">
        <v>344</v>
      </c>
      <c r="E614" s="267" t="s">
        <v>6213</v>
      </c>
      <c r="F614" s="267">
        <v>22761</v>
      </c>
      <c r="G614" s="266" t="s">
        <v>345</v>
      </c>
      <c r="H614" s="266" t="s">
        <v>1415</v>
      </c>
      <c r="I614" s="266" t="s">
        <v>5812</v>
      </c>
      <c r="J614" s="266" t="s">
        <v>996</v>
      </c>
      <c r="K614" s="406" t="s">
        <v>6214</v>
      </c>
    </row>
    <row r="615" spans="1:11" x14ac:dyDescent="0.25">
      <c r="A615" s="270" t="s">
        <v>1416</v>
      </c>
      <c r="B615" s="266"/>
      <c r="C615" s="266" t="s">
        <v>309</v>
      </c>
      <c r="D615" s="266" t="s">
        <v>347</v>
      </c>
      <c r="E615" s="267" t="s">
        <v>6213</v>
      </c>
      <c r="F615" s="267">
        <v>22761</v>
      </c>
      <c r="G615" s="266" t="s">
        <v>348</v>
      </c>
      <c r="H615" s="266" t="s">
        <v>1415</v>
      </c>
      <c r="I615" s="266" t="s">
        <v>5812</v>
      </c>
      <c r="J615" s="266" t="s">
        <v>996</v>
      </c>
      <c r="K615" s="406" t="s">
        <v>6215</v>
      </c>
    </row>
    <row r="616" spans="1:11" x14ac:dyDescent="0.25">
      <c r="A616" s="270" t="s">
        <v>1418</v>
      </c>
      <c r="B616" s="266"/>
      <c r="C616" s="266" t="s">
        <v>309</v>
      </c>
      <c r="D616" s="266" t="s">
        <v>349</v>
      </c>
      <c r="E616" s="267" t="s">
        <v>6213</v>
      </c>
      <c r="F616" s="267">
        <v>22761</v>
      </c>
      <c r="G616" s="266" t="s">
        <v>340</v>
      </c>
      <c r="H616" s="266" t="s">
        <v>1415</v>
      </c>
      <c r="I616" s="266" t="s">
        <v>5812</v>
      </c>
      <c r="J616" s="266" t="s">
        <v>996</v>
      </c>
      <c r="K616" s="406" t="s">
        <v>6216</v>
      </c>
    </row>
    <row r="617" spans="1:11" x14ac:dyDescent="0.25">
      <c r="A617" s="270" t="s">
        <v>1420</v>
      </c>
      <c r="B617" s="266"/>
      <c r="C617" s="266" t="s">
        <v>309</v>
      </c>
      <c r="D617" s="266" t="s">
        <v>350</v>
      </c>
      <c r="E617" s="267" t="s">
        <v>6213</v>
      </c>
      <c r="F617" s="267">
        <v>22761</v>
      </c>
      <c r="G617" s="266" t="s">
        <v>351</v>
      </c>
      <c r="H617" s="266" t="s">
        <v>1415</v>
      </c>
      <c r="I617" s="266" t="s">
        <v>5812</v>
      </c>
      <c r="J617" s="266" t="s">
        <v>996</v>
      </c>
      <c r="K617" s="406" t="s">
        <v>6217</v>
      </c>
    </row>
    <row r="618" spans="1:11" x14ac:dyDescent="0.25">
      <c r="A618" s="270" t="s">
        <v>1422</v>
      </c>
      <c r="B618" s="266"/>
      <c r="C618" s="266" t="s">
        <v>309</v>
      </c>
      <c r="D618" s="266" t="s">
        <v>352</v>
      </c>
      <c r="E618" s="267" t="s">
        <v>6213</v>
      </c>
      <c r="F618" s="267">
        <v>22761</v>
      </c>
      <c r="G618" s="266" t="s">
        <v>353</v>
      </c>
      <c r="H618" s="266" t="s">
        <v>1415</v>
      </c>
      <c r="I618" s="266" t="s">
        <v>242</v>
      </c>
      <c r="J618" s="266" t="s">
        <v>996</v>
      </c>
      <c r="K618" s="406" t="s">
        <v>6218</v>
      </c>
    </row>
    <row r="619" spans="1:11" x14ac:dyDescent="0.25">
      <c r="A619" s="270" t="s">
        <v>1424</v>
      </c>
      <c r="B619" s="266"/>
      <c r="C619" s="266" t="s">
        <v>309</v>
      </c>
      <c r="D619" s="266" t="s">
        <v>354</v>
      </c>
      <c r="E619" s="267" t="s">
        <v>6213</v>
      </c>
      <c r="F619" s="267">
        <v>22761</v>
      </c>
      <c r="G619" s="266" t="s">
        <v>353</v>
      </c>
      <c r="H619" s="266" t="s">
        <v>1415</v>
      </c>
      <c r="I619" s="266" t="s">
        <v>242</v>
      </c>
      <c r="J619" s="266" t="s">
        <v>996</v>
      </c>
      <c r="K619" s="406" t="s">
        <v>6219</v>
      </c>
    </row>
    <row r="620" spans="1:11" x14ac:dyDescent="0.25">
      <c r="A620" s="270" t="s">
        <v>1426</v>
      </c>
      <c r="B620" s="266"/>
      <c r="C620" s="266" t="s">
        <v>309</v>
      </c>
      <c r="D620" s="266" t="s">
        <v>355</v>
      </c>
      <c r="E620" s="267" t="s">
        <v>6220</v>
      </c>
      <c r="F620" s="267">
        <v>22816</v>
      </c>
      <c r="G620" s="266" t="s">
        <v>353</v>
      </c>
      <c r="H620" s="266" t="s">
        <v>1415</v>
      </c>
      <c r="I620" s="266" t="s">
        <v>242</v>
      </c>
      <c r="J620" s="266" t="s">
        <v>996</v>
      </c>
      <c r="K620" s="406" t="s">
        <v>6221</v>
      </c>
    </row>
    <row r="621" spans="1:11" x14ac:dyDescent="0.25">
      <c r="A621" s="270" t="s">
        <v>1428</v>
      </c>
      <c r="B621" s="266"/>
      <c r="C621" s="266" t="s">
        <v>309</v>
      </c>
      <c r="D621" s="266" t="s">
        <v>356</v>
      </c>
      <c r="E621" s="267" t="s">
        <v>6220</v>
      </c>
      <c r="F621" s="267">
        <v>22816</v>
      </c>
      <c r="G621" s="266" t="s">
        <v>353</v>
      </c>
      <c r="H621" s="266" t="s">
        <v>1415</v>
      </c>
      <c r="I621" s="266" t="s">
        <v>242</v>
      </c>
      <c r="J621" s="266" t="s">
        <v>996</v>
      </c>
      <c r="K621" s="406" t="s">
        <v>6222</v>
      </c>
    </row>
    <row r="622" spans="1:11" x14ac:dyDescent="0.25">
      <c r="A622" s="270" t="s">
        <v>1430</v>
      </c>
      <c r="B622" s="266"/>
      <c r="C622" s="266" t="s">
        <v>969</v>
      </c>
      <c r="D622" s="266" t="s">
        <v>6223</v>
      </c>
      <c r="E622" s="267" t="s">
        <v>6224</v>
      </c>
      <c r="F622" s="267">
        <v>22906</v>
      </c>
      <c r="G622" s="266" t="s">
        <v>1381</v>
      </c>
      <c r="H622" s="266" t="s">
        <v>1415</v>
      </c>
      <c r="I622" s="266" t="s">
        <v>242</v>
      </c>
      <c r="J622" s="266" t="s">
        <v>985</v>
      </c>
      <c r="K622" s="406" t="s">
        <v>6225</v>
      </c>
    </row>
    <row r="623" spans="1:11" x14ac:dyDescent="0.25">
      <c r="A623" s="270" t="s">
        <v>1432</v>
      </c>
      <c r="B623" s="266"/>
      <c r="C623" s="266" t="s">
        <v>969</v>
      </c>
      <c r="D623" s="266" t="s">
        <v>6226</v>
      </c>
      <c r="E623" s="267" t="s">
        <v>6224</v>
      </c>
      <c r="F623" s="267">
        <v>22906</v>
      </c>
      <c r="G623" s="266" t="s">
        <v>1381</v>
      </c>
      <c r="H623" s="266" t="s">
        <v>1415</v>
      </c>
      <c r="I623" s="266" t="s">
        <v>5812</v>
      </c>
      <c r="J623" s="266" t="s">
        <v>985</v>
      </c>
      <c r="K623" s="406" t="s">
        <v>6227</v>
      </c>
    </row>
    <row r="624" spans="1:11" x14ac:dyDescent="0.25">
      <c r="A624" s="270" t="s">
        <v>1434</v>
      </c>
      <c r="B624" s="266"/>
      <c r="C624" s="266" t="s">
        <v>309</v>
      </c>
      <c r="D624" s="266" t="s">
        <v>357</v>
      </c>
      <c r="E624" s="267" t="s">
        <v>6224</v>
      </c>
      <c r="F624" s="267">
        <v>22906</v>
      </c>
      <c r="G624" s="266" t="s">
        <v>1436</v>
      </c>
      <c r="H624" s="266" t="s">
        <v>359</v>
      </c>
      <c r="I624" s="266" t="s">
        <v>5812</v>
      </c>
      <c r="J624" s="266" t="s">
        <v>996</v>
      </c>
      <c r="K624" s="406" t="s">
        <v>6228</v>
      </c>
    </row>
    <row r="625" spans="1:11" x14ac:dyDescent="0.25">
      <c r="A625" s="270" t="s">
        <v>1437</v>
      </c>
      <c r="B625" s="266"/>
      <c r="C625" s="266" t="s">
        <v>969</v>
      </c>
      <c r="D625" s="266" t="s">
        <v>6229</v>
      </c>
      <c r="E625" s="267" t="s">
        <v>6224</v>
      </c>
      <c r="F625" s="267">
        <v>22906</v>
      </c>
      <c r="G625" s="266" t="s">
        <v>1436</v>
      </c>
      <c r="H625" s="266" t="s">
        <v>353</v>
      </c>
      <c r="I625" s="266" t="s">
        <v>242</v>
      </c>
      <c r="J625" s="266" t="s">
        <v>985</v>
      </c>
      <c r="K625" s="406" t="s">
        <v>6230</v>
      </c>
    </row>
    <row r="626" spans="1:11" x14ac:dyDescent="0.25">
      <c r="A626" s="270" t="s">
        <v>1439</v>
      </c>
      <c r="B626" s="266"/>
      <c r="C626" s="266" t="s">
        <v>969</v>
      </c>
      <c r="D626" s="266" t="s">
        <v>6231</v>
      </c>
      <c r="E626" s="267" t="s">
        <v>6224</v>
      </c>
      <c r="F626" s="267">
        <v>22906</v>
      </c>
      <c r="G626" s="266" t="s">
        <v>1436</v>
      </c>
      <c r="H626" s="266" t="s">
        <v>1441</v>
      </c>
      <c r="I626" s="266" t="s">
        <v>242</v>
      </c>
      <c r="J626" s="266" t="s">
        <v>985</v>
      </c>
      <c r="K626" s="406" t="s">
        <v>6232</v>
      </c>
    </row>
    <row r="627" spans="1:11" x14ac:dyDescent="0.25">
      <c r="A627" s="270" t="s">
        <v>1442</v>
      </c>
      <c r="B627" s="266"/>
      <c r="C627" s="266" t="s">
        <v>309</v>
      </c>
      <c r="D627" s="266" t="s">
        <v>360</v>
      </c>
      <c r="E627" s="267" t="s">
        <v>6233</v>
      </c>
      <c r="F627" s="267">
        <v>22913</v>
      </c>
      <c r="G627" s="266" t="s">
        <v>361</v>
      </c>
      <c r="H627" s="266" t="s">
        <v>362</v>
      </c>
      <c r="I627" s="266" t="s">
        <v>242</v>
      </c>
      <c r="J627" s="266" t="s">
        <v>996</v>
      </c>
      <c r="K627" s="406" t="s">
        <v>6234</v>
      </c>
    </row>
    <row r="628" spans="1:11" x14ac:dyDescent="0.25">
      <c r="A628" s="270" t="s">
        <v>1444</v>
      </c>
      <c r="B628" s="266"/>
      <c r="C628" s="266" t="s">
        <v>993</v>
      </c>
      <c r="D628" s="266" t="s">
        <v>6235</v>
      </c>
      <c r="E628" s="267" t="s">
        <v>6236</v>
      </c>
      <c r="F628" s="267">
        <v>22927</v>
      </c>
      <c r="G628" s="266" t="s">
        <v>1309</v>
      </c>
      <c r="H628" s="266" t="s">
        <v>329</v>
      </c>
      <c r="I628" s="266" t="s">
        <v>242</v>
      </c>
      <c r="J628" s="266" t="s">
        <v>996</v>
      </c>
      <c r="K628" s="406" t="s">
        <v>6237</v>
      </c>
    </row>
    <row r="629" spans="1:11" x14ac:dyDescent="0.25">
      <c r="A629" s="270" t="s">
        <v>1446</v>
      </c>
      <c r="B629" s="266"/>
      <c r="C629" s="266" t="s">
        <v>114</v>
      </c>
      <c r="D629" s="266" t="s">
        <v>6238</v>
      </c>
      <c r="E629" s="267" t="s">
        <v>6239</v>
      </c>
      <c r="F629" s="267">
        <v>22928</v>
      </c>
      <c r="G629" s="266" t="s">
        <v>362</v>
      </c>
      <c r="H629" s="266" t="s">
        <v>1448</v>
      </c>
      <c r="I629" s="266" t="s">
        <v>242</v>
      </c>
      <c r="J629" s="266" t="s">
        <v>996</v>
      </c>
      <c r="K629" s="406" t="s">
        <v>6240</v>
      </c>
    </row>
    <row r="630" spans="1:11" x14ac:dyDescent="0.25">
      <c r="A630" s="270" t="s">
        <v>1449</v>
      </c>
      <c r="B630" s="266"/>
      <c r="C630" s="266" t="s">
        <v>969</v>
      </c>
      <c r="D630" s="266" t="s">
        <v>6241</v>
      </c>
      <c r="E630" s="267" t="s">
        <v>6242</v>
      </c>
      <c r="F630" s="267">
        <v>22938</v>
      </c>
      <c r="G630" s="266" t="s">
        <v>1415</v>
      </c>
      <c r="H630" s="266" t="s">
        <v>446</v>
      </c>
      <c r="I630" s="266" t="s">
        <v>242</v>
      </c>
      <c r="J630" s="266" t="s">
        <v>985</v>
      </c>
      <c r="K630" s="406" t="s">
        <v>6243</v>
      </c>
    </row>
    <row r="631" spans="1:11" x14ac:dyDescent="0.25">
      <c r="A631" s="270" t="s">
        <v>1451</v>
      </c>
      <c r="B631" s="266"/>
      <c r="C631" s="266" t="s">
        <v>969</v>
      </c>
      <c r="D631" s="266" t="s">
        <v>6244</v>
      </c>
      <c r="E631" s="267" t="s">
        <v>6242</v>
      </c>
      <c r="F631" s="267">
        <v>22938</v>
      </c>
      <c r="G631" s="266" t="s">
        <v>1415</v>
      </c>
      <c r="H631" s="266" t="s">
        <v>1453</v>
      </c>
      <c r="I631" s="266" t="s">
        <v>242</v>
      </c>
      <c r="J631" s="266" t="s">
        <v>985</v>
      </c>
      <c r="K631" s="406" t="s">
        <v>6245</v>
      </c>
    </row>
    <row r="632" spans="1:11" x14ac:dyDescent="0.25">
      <c r="A632" s="270" t="s">
        <v>1454</v>
      </c>
      <c r="B632" s="266"/>
      <c r="C632" s="266" t="s">
        <v>114</v>
      </c>
      <c r="D632" s="266" t="s">
        <v>6246</v>
      </c>
      <c r="E632" s="267" t="s">
        <v>6247</v>
      </c>
      <c r="F632" s="267">
        <v>23054</v>
      </c>
      <c r="G632" s="266" t="s">
        <v>1415</v>
      </c>
      <c r="H632" s="266" t="s">
        <v>359</v>
      </c>
      <c r="I632" s="266" t="s">
        <v>5812</v>
      </c>
      <c r="J632" s="266" t="s">
        <v>996</v>
      </c>
      <c r="K632" s="406" t="s">
        <v>6248</v>
      </c>
    </row>
    <row r="633" spans="1:11" x14ac:dyDescent="0.25">
      <c r="A633" s="270" t="s">
        <v>1456</v>
      </c>
      <c r="B633" s="266"/>
      <c r="C633" s="266" t="s">
        <v>114</v>
      </c>
      <c r="D633" s="266" t="s">
        <v>6249</v>
      </c>
      <c r="E633" s="267" t="s">
        <v>6247</v>
      </c>
      <c r="F633" s="267">
        <v>23054</v>
      </c>
      <c r="G633" s="266" t="s">
        <v>1415</v>
      </c>
      <c r="H633" s="266" t="s">
        <v>359</v>
      </c>
      <c r="I633" s="266" t="s">
        <v>5812</v>
      </c>
      <c r="J633" s="266" t="s">
        <v>996</v>
      </c>
      <c r="K633" s="406" t="s">
        <v>6250</v>
      </c>
    </row>
    <row r="634" spans="1:11" x14ac:dyDescent="0.25">
      <c r="A634" s="270" t="s">
        <v>1458</v>
      </c>
      <c r="B634" s="266"/>
      <c r="C634" s="266" t="s">
        <v>114</v>
      </c>
      <c r="D634" s="266" t="s">
        <v>6251</v>
      </c>
      <c r="E634" s="267" t="s">
        <v>6247</v>
      </c>
      <c r="F634" s="267">
        <v>23054</v>
      </c>
      <c r="G634" s="266" t="s">
        <v>1415</v>
      </c>
      <c r="H634" s="266" t="s">
        <v>359</v>
      </c>
      <c r="I634" s="266" t="s">
        <v>5812</v>
      </c>
      <c r="J634" s="266" t="s">
        <v>996</v>
      </c>
      <c r="K634" s="406" t="s">
        <v>6252</v>
      </c>
    </row>
    <row r="635" spans="1:11" x14ac:dyDescent="0.25">
      <c r="A635" s="270" t="s">
        <v>1460</v>
      </c>
      <c r="B635" s="266"/>
      <c r="C635" s="266" t="s">
        <v>114</v>
      </c>
      <c r="D635" s="266" t="s">
        <v>6253</v>
      </c>
      <c r="E635" s="267" t="s">
        <v>6247</v>
      </c>
      <c r="F635" s="267">
        <v>23054</v>
      </c>
      <c r="G635" s="266" t="s">
        <v>1415</v>
      </c>
      <c r="H635" s="266" t="s">
        <v>359</v>
      </c>
      <c r="I635" s="266" t="s">
        <v>5812</v>
      </c>
      <c r="J635" s="266" t="s">
        <v>996</v>
      </c>
      <c r="K635" s="406" t="s">
        <v>6254</v>
      </c>
    </row>
    <row r="636" spans="1:11" x14ac:dyDescent="0.25">
      <c r="A636" s="270" t="s">
        <v>1462</v>
      </c>
      <c r="B636" s="266"/>
      <c r="C636" s="266" t="s">
        <v>993</v>
      </c>
      <c r="D636" s="266" t="s">
        <v>6255</v>
      </c>
      <c r="E636" s="267" t="s">
        <v>6256</v>
      </c>
      <c r="F636" s="267">
        <v>23890</v>
      </c>
      <c r="G636" s="266" t="s">
        <v>1381</v>
      </c>
      <c r="H636" s="266" t="s">
        <v>1441</v>
      </c>
      <c r="I636" s="266" t="s">
        <v>5812</v>
      </c>
      <c r="J636" s="266" t="s">
        <v>996</v>
      </c>
      <c r="K636" s="406" t="s">
        <v>6257</v>
      </c>
    </row>
    <row r="637" spans="1:11" x14ac:dyDescent="0.25">
      <c r="A637" s="270" t="s">
        <v>1464</v>
      </c>
      <c r="B637" s="266"/>
      <c r="C637" s="266" t="s">
        <v>969</v>
      </c>
      <c r="D637" s="266" t="s">
        <v>6258</v>
      </c>
      <c r="E637" s="267" t="s">
        <v>6256</v>
      </c>
      <c r="F637" s="267">
        <v>23890</v>
      </c>
      <c r="G637" s="266" t="s">
        <v>353</v>
      </c>
      <c r="H637" s="266" t="s">
        <v>1391</v>
      </c>
      <c r="I637" s="266" t="s">
        <v>5812</v>
      </c>
      <c r="J637" s="266" t="s">
        <v>985</v>
      </c>
      <c r="K637" s="406" t="s">
        <v>6259</v>
      </c>
    </row>
    <row r="638" spans="1:11" x14ac:dyDescent="0.25">
      <c r="A638" s="270" t="s">
        <v>1466</v>
      </c>
      <c r="B638" s="266"/>
      <c r="C638" s="266" t="s">
        <v>993</v>
      </c>
      <c r="D638" s="266" t="s">
        <v>6260</v>
      </c>
      <c r="E638" s="267" t="s">
        <v>6261</v>
      </c>
      <c r="F638" s="267">
        <v>24168</v>
      </c>
      <c r="G638" s="266" t="s">
        <v>1468</v>
      </c>
      <c r="H638" s="266" t="s">
        <v>1469</v>
      </c>
      <c r="I638" s="266" t="s">
        <v>242</v>
      </c>
      <c r="J638" s="266" t="s">
        <v>996</v>
      </c>
      <c r="K638" s="406" t="s">
        <v>6262</v>
      </c>
    </row>
    <row r="639" spans="1:11" x14ac:dyDescent="0.25">
      <c r="A639" s="270" t="s">
        <v>1470</v>
      </c>
      <c r="B639" s="266"/>
      <c r="C639" s="266" t="s">
        <v>1091</v>
      </c>
      <c r="D639" s="266" t="s">
        <v>6263</v>
      </c>
      <c r="E639" s="267" t="s">
        <v>6264</v>
      </c>
      <c r="F639" s="267">
        <v>24502</v>
      </c>
      <c r="G639" s="266" t="s">
        <v>1472</v>
      </c>
      <c r="H639" s="266" t="s">
        <v>1415</v>
      </c>
      <c r="I639" s="266" t="s">
        <v>5812</v>
      </c>
      <c r="J639" s="266" t="s">
        <v>1095</v>
      </c>
      <c r="K639" s="406" t="s">
        <v>6265</v>
      </c>
    </row>
    <row r="640" spans="1:11" x14ac:dyDescent="0.25">
      <c r="A640" s="270" t="s">
        <v>1473</v>
      </c>
      <c r="B640" s="266"/>
      <c r="C640" s="266" t="s">
        <v>309</v>
      </c>
      <c r="D640" s="266" t="s">
        <v>363</v>
      </c>
      <c r="E640" s="267" t="s">
        <v>6266</v>
      </c>
      <c r="F640" s="267">
        <v>24512</v>
      </c>
      <c r="G640" s="266" t="s">
        <v>1475</v>
      </c>
      <c r="H640" s="266" t="s">
        <v>365</v>
      </c>
      <c r="I640" s="266" t="s">
        <v>242</v>
      </c>
      <c r="J640" s="266" t="s">
        <v>996</v>
      </c>
      <c r="K640" s="406" t="s">
        <v>6267</v>
      </c>
    </row>
    <row r="641" spans="1:11" x14ac:dyDescent="0.25">
      <c r="A641" s="270" t="s">
        <v>1476</v>
      </c>
      <c r="B641" s="266"/>
      <c r="C641" s="266" t="s">
        <v>1274</v>
      </c>
      <c r="D641" s="266" t="s">
        <v>6268</v>
      </c>
      <c r="E641" s="267" t="s">
        <v>6269</v>
      </c>
      <c r="F641" s="267">
        <v>24750</v>
      </c>
      <c r="G641" s="266" t="s">
        <v>1441</v>
      </c>
      <c r="H641" s="266" t="s">
        <v>1478</v>
      </c>
      <c r="I641" s="266" t="s">
        <v>5812</v>
      </c>
      <c r="J641" s="266" t="s">
        <v>985</v>
      </c>
      <c r="K641" s="406" t="s">
        <v>6270</v>
      </c>
    </row>
    <row r="642" spans="1:11" x14ac:dyDescent="0.25">
      <c r="A642" s="270" t="s">
        <v>1480</v>
      </c>
      <c r="B642" s="266"/>
      <c r="C642" s="266" t="s">
        <v>114</v>
      </c>
      <c r="D642" s="266" t="s">
        <v>6271</v>
      </c>
      <c r="E642" s="267" t="s">
        <v>6272</v>
      </c>
      <c r="F642" s="267">
        <v>25176</v>
      </c>
      <c r="G642" s="266" t="s">
        <v>365</v>
      </c>
      <c r="H642" s="266" t="s">
        <v>391</v>
      </c>
      <c r="I642" s="266" t="s">
        <v>5812</v>
      </c>
      <c r="J642" s="266" t="s">
        <v>996</v>
      </c>
      <c r="K642" s="406" t="s">
        <v>6273</v>
      </c>
    </row>
    <row r="643" spans="1:11" x14ac:dyDescent="0.25">
      <c r="A643" s="270" t="s">
        <v>1482</v>
      </c>
      <c r="B643" s="266"/>
      <c r="C643" s="266" t="s">
        <v>1483</v>
      </c>
      <c r="D643" s="266" t="s">
        <v>6274</v>
      </c>
      <c r="E643" s="267" t="s">
        <v>6272</v>
      </c>
      <c r="F643" s="267">
        <v>25176</v>
      </c>
      <c r="G643" s="266" t="s">
        <v>1475</v>
      </c>
      <c r="H643" s="266" t="s">
        <v>365</v>
      </c>
      <c r="I643" s="266" t="s">
        <v>242</v>
      </c>
      <c r="J643" s="266" t="s">
        <v>996</v>
      </c>
      <c r="K643" s="406" t="s">
        <v>6275</v>
      </c>
    </row>
    <row r="644" spans="1:11" x14ac:dyDescent="0.25">
      <c r="A644" s="270" t="s">
        <v>1485</v>
      </c>
      <c r="B644" s="266"/>
      <c r="C644" s="266" t="s">
        <v>309</v>
      </c>
      <c r="D644" s="266" t="s">
        <v>784</v>
      </c>
      <c r="E644" s="267" t="s">
        <v>6276</v>
      </c>
      <c r="F644" s="267">
        <v>25743</v>
      </c>
      <c r="G644" s="266" t="s">
        <v>1487</v>
      </c>
      <c r="H644" s="266" t="s">
        <v>367</v>
      </c>
      <c r="I644" s="266" t="s">
        <v>5812</v>
      </c>
      <c r="J644" s="266" t="s">
        <v>996</v>
      </c>
      <c r="K644" s="406" t="s">
        <v>6277</v>
      </c>
    </row>
    <row r="645" spans="1:11" x14ac:dyDescent="0.25">
      <c r="A645" s="270" t="s">
        <v>1488</v>
      </c>
      <c r="B645" s="266"/>
      <c r="C645" s="266" t="s">
        <v>309</v>
      </c>
      <c r="D645" s="266" t="s">
        <v>786</v>
      </c>
      <c r="E645" s="267" t="s">
        <v>6278</v>
      </c>
      <c r="F645" s="267">
        <v>25829</v>
      </c>
      <c r="G645" s="266" t="s">
        <v>340</v>
      </c>
      <c r="H645" s="266" t="s">
        <v>787</v>
      </c>
      <c r="I645" s="266" t="s">
        <v>5812</v>
      </c>
      <c r="J645" s="266" t="s">
        <v>996</v>
      </c>
      <c r="K645" s="406" t="s">
        <v>6279</v>
      </c>
    </row>
    <row r="646" spans="1:11" x14ac:dyDescent="0.25">
      <c r="A646" s="270" t="s">
        <v>1490</v>
      </c>
      <c r="B646" s="266"/>
      <c r="C646" s="266" t="s">
        <v>309</v>
      </c>
      <c r="D646" s="266" t="s">
        <v>788</v>
      </c>
      <c r="E646" s="267" t="s">
        <v>6278</v>
      </c>
      <c r="F646" s="267">
        <v>25829</v>
      </c>
      <c r="G646" s="266" t="s">
        <v>369</v>
      </c>
      <c r="H646" s="266" t="s">
        <v>787</v>
      </c>
      <c r="I646" s="266" t="s">
        <v>5812</v>
      </c>
      <c r="J646" s="266" t="s">
        <v>996</v>
      </c>
      <c r="K646" s="406" t="s">
        <v>6280</v>
      </c>
    </row>
    <row r="647" spans="1:11" x14ac:dyDescent="0.25">
      <c r="A647" s="270" t="s">
        <v>1493</v>
      </c>
      <c r="B647" s="266"/>
      <c r="C647" s="266" t="s">
        <v>309</v>
      </c>
      <c r="D647" s="266" t="s">
        <v>790</v>
      </c>
      <c r="E647" s="267" t="s">
        <v>6278</v>
      </c>
      <c r="F647" s="267">
        <v>25829</v>
      </c>
      <c r="G647" s="266" t="s">
        <v>348</v>
      </c>
      <c r="H647" s="266" t="s">
        <v>787</v>
      </c>
      <c r="I647" s="266" t="s">
        <v>5812</v>
      </c>
      <c r="J647" s="266" t="s">
        <v>996</v>
      </c>
      <c r="K647" s="406" t="s">
        <v>6281</v>
      </c>
    </row>
    <row r="648" spans="1:11" x14ac:dyDescent="0.25">
      <c r="A648" s="270" t="s">
        <v>1495</v>
      </c>
      <c r="B648" s="266"/>
      <c r="C648" s="266" t="s">
        <v>309</v>
      </c>
      <c r="D648" s="266" t="s">
        <v>791</v>
      </c>
      <c r="E648" s="267" t="s">
        <v>6282</v>
      </c>
      <c r="F648" s="267">
        <v>25884</v>
      </c>
      <c r="G648" s="266" t="s">
        <v>370</v>
      </c>
      <c r="H648" s="266" t="s">
        <v>371</v>
      </c>
      <c r="I648" s="266" t="s">
        <v>5812</v>
      </c>
      <c r="J648" s="266" t="s">
        <v>996</v>
      </c>
      <c r="K648" s="406" t="s">
        <v>6283</v>
      </c>
    </row>
    <row r="649" spans="1:11" x14ac:dyDescent="0.25">
      <c r="A649" s="270" t="s">
        <v>1497</v>
      </c>
      <c r="B649" s="266"/>
      <c r="C649" s="266" t="s">
        <v>114</v>
      </c>
      <c r="D649" s="266" t="s">
        <v>6284</v>
      </c>
      <c r="E649" s="267" t="s">
        <v>6285</v>
      </c>
      <c r="F649" s="267">
        <v>25885</v>
      </c>
      <c r="G649" s="266" t="s">
        <v>359</v>
      </c>
      <c r="H649" s="266" t="s">
        <v>1499</v>
      </c>
      <c r="I649" s="266" t="s">
        <v>5812</v>
      </c>
      <c r="J649" s="266" t="s">
        <v>996</v>
      </c>
      <c r="K649" s="406" t="s">
        <v>6286</v>
      </c>
    </row>
    <row r="650" spans="1:11" x14ac:dyDescent="0.25">
      <c r="A650" s="270" t="s">
        <v>1500</v>
      </c>
      <c r="B650" s="266"/>
      <c r="C650" s="266" t="s">
        <v>114</v>
      </c>
      <c r="D650" s="266" t="s">
        <v>6287</v>
      </c>
      <c r="E650" s="267" t="s">
        <v>6285</v>
      </c>
      <c r="F650" s="267">
        <v>25885</v>
      </c>
      <c r="G650" s="266" t="s">
        <v>359</v>
      </c>
      <c r="H650" s="266" t="s">
        <v>1499</v>
      </c>
      <c r="I650" s="266" t="s">
        <v>5812</v>
      </c>
      <c r="J650" s="266" t="s">
        <v>996</v>
      </c>
      <c r="K650" s="406" t="s">
        <v>6288</v>
      </c>
    </row>
    <row r="651" spans="1:11" x14ac:dyDescent="0.25">
      <c r="A651" s="270" t="s">
        <v>1502</v>
      </c>
      <c r="B651" s="266"/>
      <c r="C651" s="266" t="s">
        <v>114</v>
      </c>
      <c r="D651" s="266" t="s">
        <v>6289</v>
      </c>
      <c r="E651" s="267" t="s">
        <v>6285</v>
      </c>
      <c r="F651" s="267">
        <v>25885</v>
      </c>
      <c r="G651" s="266" t="s">
        <v>359</v>
      </c>
      <c r="H651" s="266" t="s">
        <v>1499</v>
      </c>
      <c r="I651" s="266" t="s">
        <v>5812</v>
      </c>
      <c r="J651" s="266" t="s">
        <v>996</v>
      </c>
      <c r="K651" s="406" t="s">
        <v>6290</v>
      </c>
    </row>
    <row r="652" spans="1:11" x14ac:dyDescent="0.25">
      <c r="A652" s="270" t="s">
        <v>1504</v>
      </c>
      <c r="B652" s="266"/>
      <c r="C652" s="266" t="s">
        <v>114</v>
      </c>
      <c r="D652" s="266" t="s">
        <v>6291</v>
      </c>
      <c r="E652" s="267" t="s">
        <v>6285</v>
      </c>
      <c r="F652" s="267">
        <v>25885</v>
      </c>
      <c r="G652" s="266" t="s">
        <v>787</v>
      </c>
      <c r="H652" s="266" t="s">
        <v>1499</v>
      </c>
      <c r="I652" s="266" t="s">
        <v>5812</v>
      </c>
      <c r="J652" s="266" t="s">
        <v>996</v>
      </c>
      <c r="K652" s="406" t="s">
        <v>6292</v>
      </c>
    </row>
    <row r="653" spans="1:11" x14ac:dyDescent="0.25">
      <c r="A653" s="270" t="s">
        <v>1506</v>
      </c>
      <c r="B653" s="266"/>
      <c r="C653" s="266" t="s">
        <v>114</v>
      </c>
      <c r="D653" s="266" t="s">
        <v>6293</v>
      </c>
      <c r="E653" s="267" t="s">
        <v>6285</v>
      </c>
      <c r="F653" s="267">
        <v>25885</v>
      </c>
      <c r="G653" s="266" t="s">
        <v>787</v>
      </c>
      <c r="H653" s="266" t="s">
        <v>1499</v>
      </c>
      <c r="I653" s="266" t="s">
        <v>5812</v>
      </c>
      <c r="J653" s="266" t="s">
        <v>996</v>
      </c>
      <c r="K653" s="406" t="s">
        <v>6294</v>
      </c>
    </row>
    <row r="654" spans="1:11" x14ac:dyDescent="0.25">
      <c r="A654" s="270" t="s">
        <v>1508</v>
      </c>
      <c r="B654" s="266"/>
      <c r="C654" s="266" t="s">
        <v>114</v>
      </c>
      <c r="D654" s="266" t="s">
        <v>6295</v>
      </c>
      <c r="E654" s="267" t="s">
        <v>6285</v>
      </c>
      <c r="F654" s="267">
        <v>25885</v>
      </c>
      <c r="G654" s="266" t="s">
        <v>787</v>
      </c>
      <c r="H654" s="266" t="s">
        <v>1499</v>
      </c>
      <c r="I654" s="266" t="s">
        <v>5812</v>
      </c>
      <c r="J654" s="266" t="s">
        <v>996</v>
      </c>
      <c r="K654" s="406" t="s">
        <v>6296</v>
      </c>
    </row>
    <row r="655" spans="1:11" x14ac:dyDescent="0.25">
      <c r="A655" s="270" t="s">
        <v>1510</v>
      </c>
      <c r="B655" s="266"/>
      <c r="C655" s="266" t="s">
        <v>114</v>
      </c>
      <c r="D655" s="266" t="s">
        <v>6297</v>
      </c>
      <c r="E655" s="267" t="s">
        <v>6298</v>
      </c>
      <c r="F655" s="267">
        <v>25905</v>
      </c>
      <c r="G655" s="266" t="s">
        <v>359</v>
      </c>
      <c r="H655" s="266" t="s">
        <v>787</v>
      </c>
      <c r="I655" s="266" t="s">
        <v>5812</v>
      </c>
      <c r="J655" s="266" t="s">
        <v>996</v>
      </c>
      <c r="K655" s="406" t="s">
        <v>6299</v>
      </c>
    </row>
    <row r="656" spans="1:11" x14ac:dyDescent="0.25">
      <c r="A656" s="270" t="s">
        <v>1512</v>
      </c>
      <c r="B656" s="266"/>
      <c r="C656" s="266" t="s">
        <v>114</v>
      </c>
      <c r="D656" s="266" t="s">
        <v>6300</v>
      </c>
      <c r="E656" s="267" t="s">
        <v>6298</v>
      </c>
      <c r="F656" s="267">
        <v>25905</v>
      </c>
      <c r="G656" s="266" t="s">
        <v>787</v>
      </c>
      <c r="H656" s="266" t="s">
        <v>1499</v>
      </c>
      <c r="I656" s="266" t="s">
        <v>5812</v>
      </c>
      <c r="J656" s="266" t="s">
        <v>996</v>
      </c>
      <c r="K656" s="406" t="s">
        <v>6301</v>
      </c>
    </row>
    <row r="657" spans="1:11" x14ac:dyDescent="0.25">
      <c r="A657" s="270" t="s">
        <v>1514</v>
      </c>
      <c r="B657" s="266"/>
      <c r="C657" s="266" t="s">
        <v>1483</v>
      </c>
      <c r="D657" s="266" t="s">
        <v>6302</v>
      </c>
      <c r="E657" s="267" t="s">
        <v>6298</v>
      </c>
      <c r="F657" s="267">
        <v>25905</v>
      </c>
      <c r="G657" s="266" t="s">
        <v>1436</v>
      </c>
      <c r="H657" s="266" t="s">
        <v>359</v>
      </c>
      <c r="I657" s="266" t="s">
        <v>242</v>
      </c>
      <c r="J657" s="266" t="s">
        <v>996</v>
      </c>
      <c r="K657" s="406" t="s">
        <v>6303</v>
      </c>
    </row>
    <row r="658" spans="1:11" x14ac:dyDescent="0.25">
      <c r="A658" s="270" t="s">
        <v>1516</v>
      </c>
      <c r="B658" s="266"/>
      <c r="C658" s="266" t="s">
        <v>309</v>
      </c>
      <c r="D658" s="266" t="s">
        <v>794</v>
      </c>
      <c r="E658" s="267" t="s">
        <v>6304</v>
      </c>
      <c r="F658" s="267">
        <v>25910</v>
      </c>
      <c r="G658" s="266" t="s">
        <v>372</v>
      </c>
      <c r="H658" s="266" t="s">
        <v>787</v>
      </c>
      <c r="I658" s="266" t="s">
        <v>5812</v>
      </c>
      <c r="J658" s="266" t="s">
        <v>996</v>
      </c>
      <c r="K658" s="406" t="s">
        <v>6305</v>
      </c>
    </row>
    <row r="659" spans="1:11" x14ac:dyDescent="0.25">
      <c r="A659" s="270" t="s">
        <v>1518</v>
      </c>
      <c r="B659" s="266"/>
      <c r="C659" s="266" t="s">
        <v>114</v>
      </c>
      <c r="D659" s="266" t="s">
        <v>6306</v>
      </c>
      <c r="E659" s="267" t="s">
        <v>6304</v>
      </c>
      <c r="F659" s="267">
        <v>25910</v>
      </c>
      <c r="G659" s="266" t="s">
        <v>787</v>
      </c>
      <c r="H659" s="266" t="s">
        <v>1499</v>
      </c>
      <c r="I659" s="266" t="s">
        <v>5812</v>
      </c>
      <c r="J659" s="266" t="s">
        <v>996</v>
      </c>
      <c r="K659" s="406" t="s">
        <v>6307</v>
      </c>
    </row>
    <row r="660" spans="1:11" x14ac:dyDescent="0.25">
      <c r="A660" s="270" t="s">
        <v>1520</v>
      </c>
      <c r="B660" s="266"/>
      <c r="C660" s="266" t="s">
        <v>993</v>
      </c>
      <c r="D660" s="266" t="s">
        <v>6308</v>
      </c>
      <c r="E660" s="267" t="s">
        <v>6309</v>
      </c>
      <c r="F660" s="267">
        <v>26071</v>
      </c>
      <c r="G660" s="266" t="s">
        <v>1499</v>
      </c>
      <c r="H660" s="266" t="s">
        <v>1436</v>
      </c>
      <c r="I660" s="266" t="s">
        <v>242</v>
      </c>
      <c r="J660" s="266" t="s">
        <v>996</v>
      </c>
      <c r="K660" s="406" t="s">
        <v>6310</v>
      </c>
    </row>
    <row r="661" spans="1:11" x14ac:dyDescent="0.25">
      <c r="A661" s="270" t="s">
        <v>1522</v>
      </c>
      <c r="B661" s="266"/>
      <c r="C661" s="266" t="s">
        <v>309</v>
      </c>
      <c r="D661" s="266" t="s">
        <v>795</v>
      </c>
      <c r="E661" s="267" t="s">
        <v>6311</v>
      </c>
      <c r="F661" s="267">
        <v>26130</v>
      </c>
      <c r="G661" s="266" t="s">
        <v>373</v>
      </c>
      <c r="H661" s="266" t="s">
        <v>359</v>
      </c>
      <c r="I661" s="266" t="s">
        <v>242</v>
      </c>
      <c r="J661" s="266" t="s">
        <v>996</v>
      </c>
      <c r="K661" s="406" t="s">
        <v>6312</v>
      </c>
    </row>
    <row r="662" spans="1:11" x14ac:dyDescent="0.25">
      <c r="A662" s="270" t="s">
        <v>1524</v>
      </c>
      <c r="B662" s="266"/>
      <c r="C662" s="266" t="s">
        <v>114</v>
      </c>
      <c r="D662" s="266" t="s">
        <v>6313</v>
      </c>
      <c r="E662" s="267" t="s">
        <v>6311</v>
      </c>
      <c r="F662" s="267">
        <v>26130</v>
      </c>
      <c r="G662" s="266" t="s">
        <v>359</v>
      </c>
      <c r="H662" s="266" t="s">
        <v>1499</v>
      </c>
      <c r="I662" s="266" t="s">
        <v>242</v>
      </c>
      <c r="J662" s="266" t="s">
        <v>996</v>
      </c>
      <c r="K662" s="406" t="s">
        <v>6314</v>
      </c>
    </row>
    <row r="663" spans="1:11" x14ac:dyDescent="0.25">
      <c r="A663" s="270" t="s">
        <v>1526</v>
      </c>
      <c r="B663" s="266"/>
      <c r="C663" s="266" t="s">
        <v>309</v>
      </c>
      <c r="D663" s="266" t="s">
        <v>797</v>
      </c>
      <c r="E663" s="267" t="s">
        <v>6315</v>
      </c>
      <c r="F663" s="267">
        <v>26158</v>
      </c>
      <c r="G663" s="266" t="s">
        <v>374</v>
      </c>
      <c r="H663" s="266" t="s">
        <v>1528</v>
      </c>
      <c r="I663" s="266" t="s">
        <v>242</v>
      </c>
      <c r="J663" s="266" t="s">
        <v>996</v>
      </c>
      <c r="K663" s="406" t="s">
        <v>6316</v>
      </c>
    </row>
    <row r="664" spans="1:11" x14ac:dyDescent="0.25">
      <c r="A664" s="270" t="s">
        <v>1529</v>
      </c>
      <c r="B664" s="266"/>
      <c r="C664" s="266" t="s">
        <v>114</v>
      </c>
      <c r="D664" s="266" t="s">
        <v>6317</v>
      </c>
      <c r="E664" s="267" t="s">
        <v>6318</v>
      </c>
      <c r="F664" s="267">
        <v>26193</v>
      </c>
      <c r="G664" s="266" t="s">
        <v>374</v>
      </c>
      <c r="H664" s="266" t="s">
        <v>799</v>
      </c>
      <c r="I664" s="266" t="s">
        <v>242</v>
      </c>
      <c r="J664" s="266" t="s">
        <v>996</v>
      </c>
      <c r="K664" s="406" t="s">
        <v>6319</v>
      </c>
    </row>
    <row r="665" spans="1:11" x14ac:dyDescent="0.25">
      <c r="A665" s="270" t="s">
        <v>1531</v>
      </c>
      <c r="B665" s="266"/>
      <c r="C665" s="266" t="s">
        <v>114</v>
      </c>
      <c r="D665" s="266" t="s">
        <v>6320</v>
      </c>
      <c r="E665" s="267" t="s">
        <v>6321</v>
      </c>
      <c r="F665" s="267">
        <v>26231</v>
      </c>
      <c r="G665" s="266" t="s">
        <v>1499</v>
      </c>
      <c r="H665" s="266" t="s">
        <v>1533</v>
      </c>
      <c r="I665" s="266" t="s">
        <v>6193</v>
      </c>
      <c r="J665" s="266" t="s">
        <v>996</v>
      </c>
      <c r="K665" s="406" t="s">
        <v>6322</v>
      </c>
    </row>
    <row r="666" spans="1:11" x14ac:dyDescent="0.25">
      <c r="A666" s="270" t="s">
        <v>1534</v>
      </c>
      <c r="B666" s="266"/>
      <c r="C666" s="266" t="s">
        <v>114</v>
      </c>
      <c r="D666" s="266" t="s">
        <v>6323</v>
      </c>
      <c r="E666" s="267" t="s">
        <v>6324</v>
      </c>
      <c r="F666" s="267">
        <v>26287</v>
      </c>
      <c r="G666" s="266" t="s">
        <v>1499</v>
      </c>
      <c r="H666" s="266" t="s">
        <v>1533</v>
      </c>
      <c r="I666" s="266" t="s">
        <v>5812</v>
      </c>
      <c r="J666" s="266" t="s">
        <v>996</v>
      </c>
      <c r="K666" s="406" t="s">
        <v>6325</v>
      </c>
    </row>
    <row r="667" spans="1:11" x14ac:dyDescent="0.25">
      <c r="A667" s="270" t="s">
        <v>1536</v>
      </c>
      <c r="B667" s="266"/>
      <c r="C667" s="266" t="s">
        <v>309</v>
      </c>
      <c r="D667" s="266" t="s">
        <v>800</v>
      </c>
      <c r="E667" s="267" t="s">
        <v>6326</v>
      </c>
      <c r="F667" s="267">
        <v>26500</v>
      </c>
      <c r="G667" s="266" t="s">
        <v>376</v>
      </c>
      <c r="H667" s="266" t="s">
        <v>1528</v>
      </c>
      <c r="I667" s="266" t="s">
        <v>5812</v>
      </c>
      <c r="J667" s="266" t="s">
        <v>996</v>
      </c>
      <c r="K667" s="406" t="s">
        <v>6327</v>
      </c>
    </row>
    <row r="668" spans="1:11" x14ac:dyDescent="0.25">
      <c r="A668" s="270" t="s">
        <v>1538</v>
      </c>
      <c r="B668" s="266"/>
      <c r="C668" s="266" t="s">
        <v>114</v>
      </c>
      <c r="D668" s="266" t="s">
        <v>6328</v>
      </c>
      <c r="E668" s="267" t="s">
        <v>6326</v>
      </c>
      <c r="F668" s="267">
        <v>26500</v>
      </c>
      <c r="G668" s="266" t="s">
        <v>1540</v>
      </c>
      <c r="H668" s="266" t="s">
        <v>1528</v>
      </c>
      <c r="I668" s="266" t="s">
        <v>5812</v>
      </c>
      <c r="J668" s="266" t="s">
        <v>996</v>
      </c>
      <c r="K668" s="406" t="s">
        <v>6329</v>
      </c>
    </row>
    <row r="669" spans="1:11" x14ac:dyDescent="0.25">
      <c r="A669" s="270" t="s">
        <v>1541</v>
      </c>
      <c r="B669" s="266"/>
      <c r="C669" s="266" t="s">
        <v>1091</v>
      </c>
      <c r="D669" s="266" t="s">
        <v>6330</v>
      </c>
      <c r="E669" s="267" t="s">
        <v>6326</v>
      </c>
      <c r="F669" s="267">
        <v>26500</v>
      </c>
      <c r="G669" s="266" t="s">
        <v>1543</v>
      </c>
      <c r="H669" s="266" t="s">
        <v>1544</v>
      </c>
      <c r="I669" s="266" t="s">
        <v>5812</v>
      </c>
      <c r="J669" s="266" t="s">
        <v>1095</v>
      </c>
      <c r="K669" s="406" t="s">
        <v>6331</v>
      </c>
    </row>
    <row r="670" spans="1:11" x14ac:dyDescent="0.25">
      <c r="A670" s="270" t="s">
        <v>1545</v>
      </c>
      <c r="B670" s="266"/>
      <c r="C670" s="266" t="s">
        <v>309</v>
      </c>
      <c r="D670" s="266" t="s">
        <v>802</v>
      </c>
      <c r="E670" s="267" t="s">
        <v>6326</v>
      </c>
      <c r="F670" s="267">
        <v>26500</v>
      </c>
      <c r="G670" s="266" t="s">
        <v>377</v>
      </c>
      <c r="H670" s="266" t="s">
        <v>1528</v>
      </c>
      <c r="I670" s="266" t="s">
        <v>5812</v>
      </c>
      <c r="J670" s="266" t="s">
        <v>996</v>
      </c>
      <c r="K670" s="406" t="s">
        <v>6332</v>
      </c>
    </row>
    <row r="671" spans="1:11" x14ac:dyDescent="0.25">
      <c r="A671" s="270" t="s">
        <v>1547</v>
      </c>
      <c r="B671" s="266"/>
      <c r="C671" s="266" t="s">
        <v>1091</v>
      </c>
      <c r="D671" s="266" t="s">
        <v>6333</v>
      </c>
      <c r="E671" s="267" t="s">
        <v>6326</v>
      </c>
      <c r="F671" s="267">
        <v>26500</v>
      </c>
      <c r="G671" s="266" t="s">
        <v>1549</v>
      </c>
      <c r="H671" s="266" t="s">
        <v>1550</v>
      </c>
      <c r="I671" s="266" t="s">
        <v>5812</v>
      </c>
      <c r="J671" s="266" t="s">
        <v>1095</v>
      </c>
      <c r="K671" s="406" t="s">
        <v>6334</v>
      </c>
    </row>
    <row r="672" spans="1:11" x14ac:dyDescent="0.25">
      <c r="A672" s="270" t="s">
        <v>1551</v>
      </c>
      <c r="B672" s="266"/>
      <c r="C672" s="266" t="s">
        <v>114</v>
      </c>
      <c r="D672" s="266" t="s">
        <v>6335</v>
      </c>
      <c r="E672" s="267" t="s">
        <v>6326</v>
      </c>
      <c r="F672" s="267">
        <v>26500</v>
      </c>
      <c r="G672" s="266" t="s">
        <v>1553</v>
      </c>
      <c r="H672" s="266" t="s">
        <v>1528</v>
      </c>
      <c r="I672" s="266" t="s">
        <v>5812</v>
      </c>
      <c r="J672" s="266" t="s">
        <v>996</v>
      </c>
      <c r="K672" s="406" t="s">
        <v>6336</v>
      </c>
    </row>
    <row r="673" spans="1:11" x14ac:dyDescent="0.25">
      <c r="A673" s="270" t="s">
        <v>1554</v>
      </c>
      <c r="B673" s="266"/>
      <c r="C673" s="266" t="s">
        <v>309</v>
      </c>
      <c r="D673" s="266" t="s">
        <v>804</v>
      </c>
      <c r="E673" s="267" t="s">
        <v>6337</v>
      </c>
      <c r="F673" s="267">
        <v>26791</v>
      </c>
      <c r="G673" s="266" t="s">
        <v>378</v>
      </c>
      <c r="H673" s="266" t="s">
        <v>806</v>
      </c>
      <c r="I673" s="266" t="s">
        <v>242</v>
      </c>
      <c r="J673" s="266" t="s">
        <v>996</v>
      </c>
      <c r="K673" s="406" t="s">
        <v>6338</v>
      </c>
    </row>
    <row r="674" spans="1:11" x14ac:dyDescent="0.25">
      <c r="A674" s="270" t="s">
        <v>1556</v>
      </c>
      <c r="B674" s="266"/>
      <c r="C674" s="266" t="s">
        <v>309</v>
      </c>
      <c r="D674" s="266" t="s">
        <v>807</v>
      </c>
      <c r="E674" s="267" t="s">
        <v>6339</v>
      </c>
      <c r="F674" s="267">
        <v>26882</v>
      </c>
      <c r="G674" s="266" t="s">
        <v>380</v>
      </c>
      <c r="H674" s="266" t="s">
        <v>806</v>
      </c>
      <c r="I674" s="266" t="s">
        <v>242</v>
      </c>
      <c r="J674" s="266" t="s">
        <v>996</v>
      </c>
      <c r="K674" s="406" t="s">
        <v>6340</v>
      </c>
    </row>
    <row r="675" spans="1:11" x14ac:dyDescent="0.25">
      <c r="A675" s="270" t="s">
        <v>1559</v>
      </c>
      <c r="B675" s="266"/>
      <c r="C675" s="266" t="s">
        <v>309</v>
      </c>
      <c r="D675" s="266" t="s">
        <v>809</v>
      </c>
      <c r="E675" s="267" t="s">
        <v>6341</v>
      </c>
      <c r="F675" s="267">
        <v>27036</v>
      </c>
      <c r="G675" s="266" t="s">
        <v>381</v>
      </c>
      <c r="H675" s="266" t="s">
        <v>806</v>
      </c>
      <c r="I675" s="266" t="s">
        <v>5812</v>
      </c>
      <c r="J675" s="266" t="s">
        <v>996</v>
      </c>
      <c r="K675" s="406" t="s">
        <v>6342</v>
      </c>
    </row>
    <row r="676" spans="1:11" x14ac:dyDescent="0.25">
      <c r="A676" s="270" t="s">
        <v>1561</v>
      </c>
      <c r="B676" s="266"/>
      <c r="C676" s="266" t="s">
        <v>969</v>
      </c>
      <c r="D676" s="266" t="s">
        <v>6343</v>
      </c>
      <c r="E676" s="267" t="s">
        <v>6344</v>
      </c>
      <c r="F676" s="267">
        <v>27121</v>
      </c>
      <c r="G676" s="266" t="s">
        <v>1475</v>
      </c>
      <c r="H676" s="266" t="s">
        <v>1563</v>
      </c>
      <c r="I676" s="266" t="s">
        <v>242</v>
      </c>
      <c r="J676" s="266" t="s">
        <v>985</v>
      </c>
      <c r="K676" s="406" t="s">
        <v>6345</v>
      </c>
    </row>
    <row r="677" spans="1:11" x14ac:dyDescent="0.25">
      <c r="A677" s="270" t="s">
        <v>1564</v>
      </c>
      <c r="B677" s="266"/>
      <c r="C677" s="266" t="s">
        <v>309</v>
      </c>
      <c r="D677" s="266" t="s">
        <v>810</v>
      </c>
      <c r="E677" s="267" t="s">
        <v>6346</v>
      </c>
      <c r="F677" s="267">
        <v>27148</v>
      </c>
      <c r="G677" s="266" t="s">
        <v>382</v>
      </c>
      <c r="H677" s="266" t="s">
        <v>383</v>
      </c>
      <c r="I677" s="266" t="s">
        <v>5812</v>
      </c>
      <c r="J677" s="266" t="s">
        <v>996</v>
      </c>
      <c r="K677" s="406" t="s">
        <v>6347</v>
      </c>
    </row>
    <row r="678" spans="1:11" x14ac:dyDescent="0.25">
      <c r="A678" s="270" t="s">
        <v>1566</v>
      </c>
      <c r="B678" s="266"/>
      <c r="C678" s="266" t="s">
        <v>969</v>
      </c>
      <c r="D678" s="266" t="s">
        <v>6348</v>
      </c>
      <c r="E678" s="267" t="s">
        <v>6349</v>
      </c>
      <c r="F678" s="267">
        <v>27163</v>
      </c>
      <c r="G678" s="266" t="s">
        <v>1568</v>
      </c>
      <c r="H678" s="266" t="s">
        <v>1569</v>
      </c>
      <c r="I678" s="266" t="s">
        <v>5812</v>
      </c>
      <c r="J678" s="266" t="s">
        <v>985</v>
      </c>
      <c r="K678" s="406" t="s">
        <v>6350</v>
      </c>
    </row>
    <row r="679" spans="1:11" x14ac:dyDescent="0.25">
      <c r="A679" s="270" t="s">
        <v>1570</v>
      </c>
      <c r="B679" s="266"/>
      <c r="C679" s="266" t="s">
        <v>969</v>
      </c>
      <c r="D679" s="266" t="s">
        <v>6351</v>
      </c>
      <c r="E679" s="267" t="s">
        <v>6352</v>
      </c>
      <c r="F679" s="267">
        <v>27171</v>
      </c>
      <c r="G679" s="266" t="s">
        <v>1569</v>
      </c>
      <c r="H679" s="266" t="s">
        <v>1572</v>
      </c>
      <c r="I679" s="266" t="s">
        <v>5812</v>
      </c>
      <c r="J679" s="266" t="s">
        <v>985</v>
      </c>
      <c r="K679" s="406" t="s">
        <v>6353</v>
      </c>
    </row>
    <row r="680" spans="1:11" x14ac:dyDescent="0.25">
      <c r="A680" s="270" t="s">
        <v>1573</v>
      </c>
      <c r="B680" s="266"/>
      <c r="C680" s="266" t="s">
        <v>969</v>
      </c>
      <c r="D680" s="266" t="s">
        <v>6354</v>
      </c>
      <c r="E680" s="267" t="s">
        <v>6355</v>
      </c>
      <c r="F680" s="267">
        <v>27207</v>
      </c>
      <c r="G680" s="266" t="s">
        <v>1569</v>
      </c>
      <c r="H680" s="266" t="s">
        <v>1575</v>
      </c>
      <c r="I680" s="266" t="s">
        <v>5812</v>
      </c>
      <c r="J680" s="266" t="s">
        <v>985</v>
      </c>
      <c r="K680" s="406" t="s">
        <v>6356</v>
      </c>
    </row>
    <row r="681" spans="1:11" x14ac:dyDescent="0.25">
      <c r="A681" s="270" t="s">
        <v>1576</v>
      </c>
      <c r="B681" s="266"/>
      <c r="C681" s="266" t="s">
        <v>969</v>
      </c>
      <c r="D681" s="266" t="s">
        <v>6357</v>
      </c>
      <c r="E681" s="267" t="s">
        <v>6358</v>
      </c>
      <c r="F681" s="267">
        <v>27481</v>
      </c>
      <c r="G681" s="266" t="s">
        <v>1569</v>
      </c>
      <c r="H681" s="266" t="s">
        <v>416</v>
      </c>
      <c r="I681" s="266" t="s">
        <v>5812</v>
      </c>
      <c r="J681" s="266" t="s">
        <v>985</v>
      </c>
      <c r="K681" s="406" t="s">
        <v>6359</v>
      </c>
    </row>
    <row r="682" spans="1:11" x14ac:dyDescent="0.25">
      <c r="A682" s="270" t="s">
        <v>1578</v>
      </c>
      <c r="B682" s="266"/>
      <c r="C682" s="266" t="s">
        <v>309</v>
      </c>
      <c r="D682" s="266" t="s">
        <v>811</v>
      </c>
      <c r="E682" s="267" t="s">
        <v>6360</v>
      </c>
      <c r="F682" s="267">
        <v>27862</v>
      </c>
      <c r="G682" s="266" t="s">
        <v>384</v>
      </c>
      <c r="H682" s="266" t="s">
        <v>812</v>
      </c>
      <c r="I682" s="266" t="s">
        <v>242</v>
      </c>
      <c r="J682" s="266" t="s">
        <v>996</v>
      </c>
      <c r="K682" s="406" t="s">
        <v>6361</v>
      </c>
    </row>
    <row r="683" spans="1:11" x14ac:dyDescent="0.25">
      <c r="A683" s="270" t="s">
        <v>1580</v>
      </c>
      <c r="B683" s="266"/>
      <c r="C683" s="266" t="s">
        <v>969</v>
      </c>
      <c r="D683" s="266" t="s">
        <v>6362</v>
      </c>
      <c r="E683" s="267" t="s">
        <v>6363</v>
      </c>
      <c r="F683" s="267">
        <v>28005</v>
      </c>
      <c r="G683" s="266" t="s">
        <v>1563</v>
      </c>
      <c r="H683" s="266" t="s">
        <v>1582</v>
      </c>
      <c r="I683" s="266" t="s">
        <v>242</v>
      </c>
      <c r="J683" s="266" t="s">
        <v>985</v>
      </c>
      <c r="K683" s="406" t="s">
        <v>6364</v>
      </c>
    </row>
    <row r="684" spans="1:11" x14ac:dyDescent="0.25">
      <c r="A684" s="270" t="s">
        <v>1583</v>
      </c>
      <c r="B684" s="266"/>
      <c r="C684" s="266" t="s">
        <v>114</v>
      </c>
      <c r="D684" s="266" t="s">
        <v>6365</v>
      </c>
      <c r="E684" s="267" t="s">
        <v>6366</v>
      </c>
      <c r="F684" s="267">
        <v>27964</v>
      </c>
      <c r="G684" s="266" t="s">
        <v>812</v>
      </c>
      <c r="H684" s="266" t="s">
        <v>1585</v>
      </c>
      <c r="I684" s="266" t="s">
        <v>6367</v>
      </c>
      <c r="J684" s="266" t="s">
        <v>996</v>
      </c>
      <c r="K684" s="406" t="s">
        <v>6368</v>
      </c>
    </row>
    <row r="685" spans="1:11" x14ac:dyDescent="0.25">
      <c r="A685" s="270" t="s">
        <v>1587</v>
      </c>
      <c r="B685" s="266"/>
      <c r="C685" s="266" t="s">
        <v>114</v>
      </c>
      <c r="D685" s="266" t="s">
        <v>6369</v>
      </c>
      <c r="E685" s="267" t="s">
        <v>6370</v>
      </c>
      <c r="F685" s="267">
        <v>27962</v>
      </c>
      <c r="G685" s="266" t="s">
        <v>812</v>
      </c>
      <c r="H685" s="266" t="s">
        <v>1533</v>
      </c>
      <c r="I685" s="266" t="s">
        <v>6367</v>
      </c>
      <c r="J685" s="266" t="s">
        <v>996</v>
      </c>
      <c r="K685" s="406" t="s">
        <v>6371</v>
      </c>
    </row>
    <row r="686" spans="1:11" x14ac:dyDescent="0.25">
      <c r="A686" s="270" t="s">
        <v>1589</v>
      </c>
      <c r="B686" s="266"/>
      <c r="C686" s="266" t="s">
        <v>309</v>
      </c>
      <c r="D686" s="266" t="s">
        <v>813</v>
      </c>
      <c r="E686" s="267" t="s">
        <v>6370</v>
      </c>
      <c r="F686" s="267">
        <v>28167</v>
      </c>
      <c r="G686" s="266" t="s">
        <v>386</v>
      </c>
      <c r="H686" s="266" t="s">
        <v>387</v>
      </c>
      <c r="I686" s="266" t="s">
        <v>5812</v>
      </c>
      <c r="J686" s="266" t="s">
        <v>996</v>
      </c>
      <c r="K686" s="406" t="s">
        <v>6372</v>
      </c>
    </row>
    <row r="687" spans="1:11" x14ac:dyDescent="0.25">
      <c r="A687" s="270" t="s">
        <v>1591</v>
      </c>
      <c r="B687" s="266"/>
      <c r="C687" s="266" t="s">
        <v>114</v>
      </c>
      <c r="D687" s="266" t="s">
        <v>6373</v>
      </c>
      <c r="E687" s="267" t="s">
        <v>6374</v>
      </c>
      <c r="F687" s="267">
        <v>28412</v>
      </c>
      <c r="G687" s="266" t="s">
        <v>1533</v>
      </c>
      <c r="H687" s="266" t="s">
        <v>812</v>
      </c>
      <c r="I687" s="266" t="s">
        <v>5812</v>
      </c>
      <c r="J687" s="266" t="s">
        <v>996</v>
      </c>
      <c r="K687" s="406" t="s">
        <v>6375</v>
      </c>
    </row>
    <row r="688" spans="1:11" x14ac:dyDescent="0.25">
      <c r="A688" s="270" t="s">
        <v>1593</v>
      </c>
      <c r="B688" s="266"/>
      <c r="C688" s="266" t="s">
        <v>969</v>
      </c>
      <c r="D688" s="266" t="s">
        <v>6376</v>
      </c>
      <c r="E688" s="267" t="s">
        <v>6377</v>
      </c>
      <c r="F688" s="267">
        <v>28445</v>
      </c>
      <c r="G688" s="266" t="s">
        <v>1582</v>
      </c>
      <c r="H688" s="266" t="s">
        <v>411</v>
      </c>
      <c r="I688" s="266" t="s">
        <v>242</v>
      </c>
      <c r="J688" s="266" t="s">
        <v>985</v>
      </c>
      <c r="K688" s="406" t="s">
        <v>6378</v>
      </c>
    </row>
    <row r="689" spans="1:11" x14ac:dyDescent="0.25">
      <c r="A689" s="270" t="s">
        <v>1595</v>
      </c>
      <c r="B689" s="266"/>
      <c r="C689" s="266" t="s">
        <v>309</v>
      </c>
      <c r="D689" s="266" t="s">
        <v>815</v>
      </c>
      <c r="E689" s="267" t="s">
        <v>6379</v>
      </c>
      <c r="F689" s="267">
        <v>28447</v>
      </c>
      <c r="G689" s="266" t="s">
        <v>1597</v>
      </c>
      <c r="H689" s="266" t="s">
        <v>817</v>
      </c>
      <c r="I689" s="266" t="s">
        <v>5812</v>
      </c>
      <c r="J689" s="266" t="s">
        <v>996</v>
      </c>
      <c r="K689" s="406" t="s">
        <v>6380</v>
      </c>
    </row>
    <row r="690" spans="1:11" x14ac:dyDescent="0.25">
      <c r="A690" s="270" t="s">
        <v>1598</v>
      </c>
      <c r="B690" s="266"/>
      <c r="C690" s="266" t="s">
        <v>309</v>
      </c>
      <c r="D690" s="266" t="s">
        <v>818</v>
      </c>
      <c r="E690" s="267" t="s">
        <v>6381</v>
      </c>
      <c r="F690" s="267">
        <v>28583</v>
      </c>
      <c r="G690" s="266" t="s">
        <v>1600</v>
      </c>
      <c r="H690" s="266" t="s">
        <v>391</v>
      </c>
      <c r="I690" s="266" t="s">
        <v>242</v>
      </c>
      <c r="J690" s="266" t="s">
        <v>996</v>
      </c>
      <c r="K690" s="406" t="s">
        <v>6382</v>
      </c>
    </row>
    <row r="691" spans="1:11" x14ac:dyDescent="0.25">
      <c r="A691" s="270" t="s">
        <v>1601</v>
      </c>
      <c r="B691" s="266"/>
      <c r="C691" s="266" t="s">
        <v>969</v>
      </c>
      <c r="D691" s="266" t="s">
        <v>6383</v>
      </c>
      <c r="E691" s="267" t="s">
        <v>6381</v>
      </c>
      <c r="F691" s="267">
        <v>28583</v>
      </c>
      <c r="G691" s="266" t="s">
        <v>1603</v>
      </c>
      <c r="H691" s="266" t="s">
        <v>1604</v>
      </c>
      <c r="I691" s="266" t="s">
        <v>5812</v>
      </c>
      <c r="J691" s="266" t="s">
        <v>985</v>
      </c>
      <c r="K691" s="406" t="s">
        <v>6384</v>
      </c>
    </row>
    <row r="692" spans="1:11" x14ac:dyDescent="0.25">
      <c r="A692" s="270" t="s">
        <v>1605</v>
      </c>
      <c r="B692" s="266"/>
      <c r="C692" s="266" t="s">
        <v>969</v>
      </c>
      <c r="D692" s="266" t="s">
        <v>6385</v>
      </c>
      <c r="E692" s="267" t="s">
        <v>6381</v>
      </c>
      <c r="F692" s="267">
        <v>28583</v>
      </c>
      <c r="G692" s="266" t="s">
        <v>1603</v>
      </c>
      <c r="H692" s="266" t="s">
        <v>395</v>
      </c>
      <c r="I692" s="266" t="s">
        <v>5812</v>
      </c>
      <c r="J692" s="266" t="s">
        <v>985</v>
      </c>
      <c r="K692" s="406" t="s">
        <v>6386</v>
      </c>
    </row>
    <row r="693" spans="1:11" x14ac:dyDescent="0.25">
      <c r="A693" s="270" t="s">
        <v>1607</v>
      </c>
      <c r="B693" s="266"/>
      <c r="C693" s="266" t="s">
        <v>969</v>
      </c>
      <c r="D693" s="266" t="s">
        <v>6387</v>
      </c>
      <c r="E693" s="267" t="s">
        <v>6381</v>
      </c>
      <c r="F693" s="267">
        <v>28583</v>
      </c>
      <c r="G693" s="266" t="s">
        <v>1603</v>
      </c>
      <c r="H693" s="266" t="s">
        <v>396</v>
      </c>
      <c r="I693" s="266" t="s">
        <v>5812</v>
      </c>
      <c r="J693" s="266" t="s">
        <v>985</v>
      </c>
      <c r="K693" s="406" t="s">
        <v>6388</v>
      </c>
    </row>
    <row r="694" spans="1:11" x14ac:dyDescent="0.25">
      <c r="A694" s="270" t="s">
        <v>1609</v>
      </c>
      <c r="B694" s="266"/>
      <c r="C694" s="266" t="s">
        <v>969</v>
      </c>
      <c r="D694" s="266" t="s">
        <v>6389</v>
      </c>
      <c r="E694" s="267" t="s">
        <v>6381</v>
      </c>
      <c r="F694" s="267">
        <v>28583</v>
      </c>
      <c r="G694" s="266" t="s">
        <v>1603</v>
      </c>
      <c r="H694" s="266" t="s">
        <v>397</v>
      </c>
      <c r="I694" s="266" t="s">
        <v>5812</v>
      </c>
      <c r="J694" s="266" t="s">
        <v>985</v>
      </c>
      <c r="K694" s="406" t="s">
        <v>6390</v>
      </c>
    </row>
    <row r="695" spans="1:11" x14ac:dyDescent="0.25">
      <c r="A695" s="270" t="s">
        <v>1611</v>
      </c>
      <c r="B695" s="266"/>
      <c r="C695" s="266" t="s">
        <v>969</v>
      </c>
      <c r="D695" s="266" t="s">
        <v>6391</v>
      </c>
      <c r="E695" s="267" t="s">
        <v>6381</v>
      </c>
      <c r="F695" s="267">
        <v>28583</v>
      </c>
      <c r="G695" s="266" t="s">
        <v>1603</v>
      </c>
      <c r="H695" s="266" t="s">
        <v>392</v>
      </c>
      <c r="I695" s="266" t="s">
        <v>5812</v>
      </c>
      <c r="J695" s="266" t="s">
        <v>985</v>
      </c>
      <c r="K695" s="406" t="s">
        <v>6392</v>
      </c>
    </row>
    <row r="696" spans="1:11" x14ac:dyDescent="0.25">
      <c r="A696" s="270" t="s">
        <v>1613</v>
      </c>
      <c r="B696" s="266"/>
      <c r="C696" s="266" t="s">
        <v>969</v>
      </c>
      <c r="D696" s="266" t="s">
        <v>6393</v>
      </c>
      <c r="E696" s="267" t="s">
        <v>6381</v>
      </c>
      <c r="F696" s="267">
        <v>28583</v>
      </c>
      <c r="G696" s="266" t="s">
        <v>1603</v>
      </c>
      <c r="H696" s="266" t="s">
        <v>1615</v>
      </c>
      <c r="I696" s="266" t="s">
        <v>5812</v>
      </c>
      <c r="J696" s="266" t="s">
        <v>985</v>
      </c>
      <c r="K696" s="406" t="s">
        <v>6394</v>
      </c>
    </row>
    <row r="697" spans="1:11" x14ac:dyDescent="0.25">
      <c r="A697" s="270" t="s">
        <v>1616</v>
      </c>
      <c r="B697" s="266"/>
      <c r="C697" s="266" t="s">
        <v>969</v>
      </c>
      <c r="D697" s="266" t="s">
        <v>6395</v>
      </c>
      <c r="E697" s="267" t="s">
        <v>6381</v>
      </c>
      <c r="F697" s="267">
        <v>28583</v>
      </c>
      <c r="G697" s="266" t="s">
        <v>1603</v>
      </c>
      <c r="H697" s="266" t="s">
        <v>573</v>
      </c>
      <c r="I697" s="266" t="s">
        <v>5812</v>
      </c>
      <c r="J697" s="266" t="s">
        <v>985</v>
      </c>
      <c r="K697" s="406" t="s">
        <v>6396</v>
      </c>
    </row>
    <row r="698" spans="1:11" x14ac:dyDescent="0.25">
      <c r="A698" s="270" t="s">
        <v>1618</v>
      </c>
      <c r="B698" s="266"/>
      <c r="C698" s="266" t="s">
        <v>969</v>
      </c>
      <c r="D698" s="266" t="s">
        <v>6397</v>
      </c>
      <c r="E698" s="267" t="s">
        <v>6381</v>
      </c>
      <c r="F698" s="267">
        <v>28583</v>
      </c>
      <c r="G698" s="266" t="s">
        <v>1620</v>
      </c>
      <c r="H698" s="266" t="s">
        <v>1621</v>
      </c>
      <c r="I698" s="266" t="s">
        <v>5812</v>
      </c>
      <c r="J698" s="266" t="s">
        <v>985</v>
      </c>
      <c r="K698" s="406" t="s">
        <v>6398</v>
      </c>
    </row>
    <row r="699" spans="1:11" x14ac:dyDescent="0.25">
      <c r="A699" s="270" t="s">
        <v>1622</v>
      </c>
      <c r="B699" s="266"/>
      <c r="C699" s="266" t="s">
        <v>1623</v>
      </c>
      <c r="D699" s="266" t="s">
        <v>6399</v>
      </c>
      <c r="E699" s="267" t="s">
        <v>6400</v>
      </c>
      <c r="F699" s="267">
        <v>28584</v>
      </c>
      <c r="G699" s="266" t="s">
        <v>1603</v>
      </c>
      <c r="H699" s="266" t="s">
        <v>400</v>
      </c>
      <c r="I699" s="266" t="s">
        <v>5812</v>
      </c>
      <c r="J699" s="266" t="s">
        <v>1625</v>
      </c>
      <c r="K699" s="406" t="s">
        <v>6401</v>
      </c>
    </row>
    <row r="700" spans="1:11" x14ac:dyDescent="0.25">
      <c r="A700" s="270" t="s">
        <v>1626</v>
      </c>
      <c r="B700" s="266"/>
      <c r="C700" s="266" t="s">
        <v>114</v>
      </c>
      <c r="D700" s="266" t="s">
        <v>6402</v>
      </c>
      <c r="E700" s="267" t="s">
        <v>6403</v>
      </c>
      <c r="F700" s="267">
        <v>28596</v>
      </c>
      <c r="G700" s="266" t="s">
        <v>1628</v>
      </c>
      <c r="H700" s="266" t="s">
        <v>1629</v>
      </c>
      <c r="I700" s="266" t="s">
        <v>5812</v>
      </c>
      <c r="J700" s="266" t="s">
        <v>996</v>
      </c>
      <c r="K700" s="406" t="s">
        <v>6404</v>
      </c>
    </row>
    <row r="701" spans="1:11" x14ac:dyDescent="0.25">
      <c r="A701" s="270" t="s">
        <v>1630</v>
      </c>
      <c r="B701" s="266"/>
      <c r="C701" s="266" t="s">
        <v>309</v>
      </c>
      <c r="D701" s="266" t="s">
        <v>820</v>
      </c>
      <c r="E701" s="267" t="s">
        <v>6405</v>
      </c>
      <c r="F701" s="267">
        <v>28599</v>
      </c>
      <c r="G701" s="266" t="s">
        <v>392</v>
      </c>
      <c r="H701" s="266" t="s">
        <v>393</v>
      </c>
      <c r="I701" s="266" t="s">
        <v>242</v>
      </c>
      <c r="J701" s="266" t="s">
        <v>996</v>
      </c>
      <c r="K701" s="406" t="s">
        <v>6406</v>
      </c>
    </row>
    <row r="702" spans="1:11" x14ac:dyDescent="0.25">
      <c r="A702" s="270" t="s">
        <v>1632</v>
      </c>
      <c r="B702" s="266"/>
      <c r="C702" s="266" t="s">
        <v>309</v>
      </c>
      <c r="D702" s="266" t="s">
        <v>821</v>
      </c>
      <c r="E702" s="267" t="s">
        <v>6405</v>
      </c>
      <c r="F702" s="267">
        <v>28599</v>
      </c>
      <c r="G702" s="266" t="s">
        <v>394</v>
      </c>
      <c r="H702" s="266" t="s">
        <v>393</v>
      </c>
      <c r="I702" s="266" t="s">
        <v>242</v>
      </c>
      <c r="J702" s="266" t="s">
        <v>996</v>
      </c>
      <c r="K702" s="406" t="s">
        <v>6407</v>
      </c>
    </row>
    <row r="703" spans="1:11" x14ac:dyDescent="0.25">
      <c r="A703" s="270" t="s">
        <v>1634</v>
      </c>
      <c r="B703" s="266"/>
      <c r="C703" s="266" t="s">
        <v>309</v>
      </c>
      <c r="D703" s="266" t="s">
        <v>822</v>
      </c>
      <c r="E703" s="267" t="s">
        <v>6405</v>
      </c>
      <c r="F703" s="267">
        <v>28599</v>
      </c>
      <c r="G703" s="266" t="s">
        <v>395</v>
      </c>
      <c r="H703" s="266" t="s">
        <v>393</v>
      </c>
      <c r="I703" s="266" t="s">
        <v>242</v>
      </c>
      <c r="J703" s="266" t="s">
        <v>996</v>
      </c>
      <c r="K703" s="406" t="s">
        <v>6408</v>
      </c>
    </row>
    <row r="704" spans="1:11" x14ac:dyDescent="0.25">
      <c r="A704" s="270" t="s">
        <v>1636</v>
      </c>
      <c r="B704" s="266"/>
      <c r="C704" s="266" t="s">
        <v>309</v>
      </c>
      <c r="D704" s="266" t="s">
        <v>823</v>
      </c>
      <c r="E704" s="267" t="s">
        <v>6409</v>
      </c>
      <c r="F704" s="267">
        <v>28607</v>
      </c>
      <c r="G704" s="266" t="s">
        <v>396</v>
      </c>
      <c r="H704" s="266" t="s">
        <v>393</v>
      </c>
      <c r="I704" s="266" t="s">
        <v>242</v>
      </c>
      <c r="J704" s="266" t="s">
        <v>996</v>
      </c>
      <c r="K704" s="406" t="s">
        <v>6410</v>
      </c>
    </row>
    <row r="705" spans="1:11" x14ac:dyDescent="0.25">
      <c r="A705" s="270" t="s">
        <v>1638</v>
      </c>
      <c r="B705" s="266"/>
      <c r="C705" s="266" t="s">
        <v>309</v>
      </c>
      <c r="D705" s="266" t="s">
        <v>824</v>
      </c>
      <c r="E705" s="267" t="s">
        <v>6409</v>
      </c>
      <c r="F705" s="267">
        <v>28607</v>
      </c>
      <c r="G705" s="266" t="s">
        <v>397</v>
      </c>
      <c r="H705" s="266" t="s">
        <v>393</v>
      </c>
      <c r="I705" s="266" t="s">
        <v>242</v>
      </c>
      <c r="J705" s="266" t="s">
        <v>996</v>
      </c>
      <c r="K705" s="406" t="s">
        <v>6411</v>
      </c>
    </row>
    <row r="706" spans="1:11" x14ac:dyDescent="0.25">
      <c r="A706" s="270" t="s">
        <v>1640</v>
      </c>
      <c r="B706" s="266"/>
      <c r="C706" s="266" t="s">
        <v>309</v>
      </c>
      <c r="D706" s="266" t="s">
        <v>825</v>
      </c>
      <c r="E706" s="267" t="s">
        <v>6409</v>
      </c>
      <c r="F706" s="267">
        <v>28607</v>
      </c>
      <c r="G706" s="266" t="s">
        <v>398</v>
      </c>
      <c r="H706" s="266" t="s">
        <v>826</v>
      </c>
      <c r="I706" s="266" t="s">
        <v>5812</v>
      </c>
      <c r="J706" s="266" t="s">
        <v>996</v>
      </c>
      <c r="K706" s="406" t="s">
        <v>6412</v>
      </c>
    </row>
    <row r="707" spans="1:11" x14ac:dyDescent="0.25">
      <c r="A707" s="270" t="s">
        <v>1642</v>
      </c>
      <c r="B707" s="266"/>
      <c r="C707" s="266" t="s">
        <v>993</v>
      </c>
      <c r="D707" s="266" t="s">
        <v>6413</v>
      </c>
      <c r="E707" s="267" t="s">
        <v>6414</v>
      </c>
      <c r="F707" s="267">
        <v>28618</v>
      </c>
      <c r="G707" s="266" t="s">
        <v>1644</v>
      </c>
      <c r="H707" s="266" t="s">
        <v>1645</v>
      </c>
      <c r="I707" s="266" t="s">
        <v>5812</v>
      </c>
      <c r="J707" s="266" t="s">
        <v>996</v>
      </c>
      <c r="K707" s="406" t="s">
        <v>6415</v>
      </c>
    </row>
    <row r="708" spans="1:11" x14ac:dyDescent="0.25">
      <c r="A708" s="270" t="s">
        <v>1646</v>
      </c>
      <c r="B708" s="266"/>
      <c r="C708" s="266" t="s">
        <v>309</v>
      </c>
      <c r="D708" s="266" t="s">
        <v>827</v>
      </c>
      <c r="E708" s="267" t="s">
        <v>6414</v>
      </c>
      <c r="F708" s="267">
        <v>28618</v>
      </c>
      <c r="G708" s="266" t="s">
        <v>400</v>
      </c>
      <c r="H708" s="266" t="s">
        <v>393</v>
      </c>
      <c r="I708" s="266" t="s">
        <v>242</v>
      </c>
      <c r="J708" s="266" t="s">
        <v>996</v>
      </c>
      <c r="K708" s="406" t="s">
        <v>6416</v>
      </c>
    </row>
    <row r="709" spans="1:11" x14ac:dyDescent="0.25">
      <c r="A709" s="270" t="s">
        <v>1648</v>
      </c>
      <c r="B709" s="266"/>
      <c r="C709" s="266" t="s">
        <v>309</v>
      </c>
      <c r="D709" s="266" t="s">
        <v>828</v>
      </c>
      <c r="E709" s="267" t="s">
        <v>6414</v>
      </c>
      <c r="F709" s="267">
        <v>28618</v>
      </c>
      <c r="G709" s="266" t="s">
        <v>401</v>
      </c>
      <c r="H709" s="266" t="s">
        <v>393</v>
      </c>
      <c r="I709" s="266" t="s">
        <v>242</v>
      </c>
      <c r="J709" s="266" t="s">
        <v>996</v>
      </c>
      <c r="K709" s="406" t="s">
        <v>6417</v>
      </c>
    </row>
    <row r="710" spans="1:11" x14ac:dyDescent="0.25">
      <c r="A710" s="270" t="s">
        <v>1650</v>
      </c>
      <c r="B710" s="266"/>
      <c r="C710" s="266" t="s">
        <v>309</v>
      </c>
      <c r="D710" s="266" t="s">
        <v>829</v>
      </c>
      <c r="E710" s="267" t="s">
        <v>6414</v>
      </c>
      <c r="F710" s="267">
        <v>28618</v>
      </c>
      <c r="G710" s="266" t="s">
        <v>373</v>
      </c>
      <c r="H710" s="266" t="s">
        <v>393</v>
      </c>
      <c r="I710" s="266" t="s">
        <v>242</v>
      </c>
      <c r="J710" s="266" t="s">
        <v>996</v>
      </c>
      <c r="K710" s="406" t="s">
        <v>6418</v>
      </c>
    </row>
    <row r="711" spans="1:11" x14ac:dyDescent="0.25">
      <c r="A711" s="270" t="s">
        <v>1652</v>
      </c>
      <c r="B711" s="266"/>
      <c r="C711" s="266" t="s">
        <v>309</v>
      </c>
      <c r="D711" s="266" t="s">
        <v>830</v>
      </c>
      <c r="E711" s="267" t="s">
        <v>6419</v>
      </c>
      <c r="F711" s="267">
        <v>28620</v>
      </c>
      <c r="G711" s="266" t="s">
        <v>402</v>
      </c>
      <c r="H711" s="266" t="s">
        <v>393</v>
      </c>
      <c r="I711" s="266" t="s">
        <v>5812</v>
      </c>
      <c r="J711" s="266" t="s">
        <v>996</v>
      </c>
      <c r="K711" s="406" t="s">
        <v>6420</v>
      </c>
    </row>
    <row r="712" spans="1:11" x14ac:dyDescent="0.25">
      <c r="A712" s="270" t="s">
        <v>1654</v>
      </c>
      <c r="B712" s="266"/>
      <c r="C712" s="266" t="s">
        <v>309</v>
      </c>
      <c r="D712" s="266" t="s">
        <v>831</v>
      </c>
      <c r="E712" s="267" t="s">
        <v>6421</v>
      </c>
      <c r="F712" s="267">
        <v>28640</v>
      </c>
      <c r="G712" s="266" t="s">
        <v>1656</v>
      </c>
      <c r="H712" s="266" t="s">
        <v>806</v>
      </c>
      <c r="I712" s="266" t="s">
        <v>242</v>
      </c>
      <c r="J712" s="266" t="s">
        <v>996</v>
      </c>
      <c r="K712" s="406" t="s">
        <v>6422</v>
      </c>
    </row>
    <row r="713" spans="1:11" x14ac:dyDescent="0.25">
      <c r="A713" s="270" t="s">
        <v>1657</v>
      </c>
      <c r="B713" s="266"/>
      <c r="C713" s="266" t="s">
        <v>309</v>
      </c>
      <c r="D713" s="266" t="s">
        <v>833</v>
      </c>
      <c r="E713" s="267" t="s">
        <v>6421</v>
      </c>
      <c r="F713" s="267">
        <v>28640</v>
      </c>
      <c r="G713" s="266" t="s">
        <v>404</v>
      </c>
      <c r="H713" s="266" t="s">
        <v>806</v>
      </c>
      <c r="I713" s="266" t="s">
        <v>242</v>
      </c>
      <c r="J713" s="266" t="s">
        <v>996</v>
      </c>
      <c r="K713" s="406" t="s">
        <v>6423</v>
      </c>
    </row>
    <row r="714" spans="1:11" x14ac:dyDescent="0.25">
      <c r="A714" s="270" t="s">
        <v>1659</v>
      </c>
      <c r="B714" s="266"/>
      <c r="C714" s="266" t="s">
        <v>114</v>
      </c>
      <c r="D714" s="266" t="s">
        <v>6424</v>
      </c>
      <c r="E714" s="267" t="s">
        <v>6425</v>
      </c>
      <c r="F714" s="267">
        <v>28648</v>
      </c>
      <c r="G714" s="266" t="s">
        <v>1628</v>
      </c>
      <c r="H714" s="266" t="s">
        <v>1585</v>
      </c>
      <c r="I714" s="266" t="s">
        <v>5812</v>
      </c>
      <c r="J714" s="266" t="s">
        <v>996</v>
      </c>
      <c r="K714" s="406" t="s">
        <v>6426</v>
      </c>
    </row>
    <row r="715" spans="1:11" x14ac:dyDescent="0.25">
      <c r="A715" s="270" t="s">
        <v>1661</v>
      </c>
      <c r="B715" s="266"/>
      <c r="C715" s="266" t="s">
        <v>114</v>
      </c>
      <c r="D715" s="266" t="s">
        <v>6427</v>
      </c>
      <c r="E715" s="267" t="s">
        <v>6428</v>
      </c>
      <c r="F715" s="267">
        <v>28683</v>
      </c>
      <c r="G715" s="266" t="s">
        <v>1094</v>
      </c>
      <c r="H715" s="266" t="s">
        <v>383</v>
      </c>
      <c r="I715" s="266" t="s">
        <v>242</v>
      </c>
      <c r="J715" s="266" t="s">
        <v>996</v>
      </c>
      <c r="K715" s="406" t="s">
        <v>6429</v>
      </c>
    </row>
    <row r="716" spans="1:11" x14ac:dyDescent="0.25">
      <c r="A716" s="270" t="s">
        <v>1663</v>
      </c>
      <c r="B716" s="266"/>
      <c r="C716" s="266" t="s">
        <v>114</v>
      </c>
      <c r="D716" s="266" t="s">
        <v>6430</v>
      </c>
      <c r="E716" s="267" t="s">
        <v>6428</v>
      </c>
      <c r="F716" s="267">
        <v>28683</v>
      </c>
      <c r="G716" s="266" t="s">
        <v>401</v>
      </c>
      <c r="H716" s="266" t="s">
        <v>383</v>
      </c>
      <c r="I716" s="266" t="s">
        <v>242</v>
      </c>
      <c r="J716" s="266" t="s">
        <v>996</v>
      </c>
      <c r="K716" s="406" t="s">
        <v>6431</v>
      </c>
    </row>
    <row r="717" spans="1:11" x14ac:dyDescent="0.25">
      <c r="A717" s="270" t="s">
        <v>1665</v>
      </c>
      <c r="B717" s="266"/>
      <c r="C717" s="266" t="s">
        <v>114</v>
      </c>
      <c r="D717" s="266" t="s">
        <v>6432</v>
      </c>
      <c r="E717" s="267" t="s">
        <v>6428</v>
      </c>
      <c r="F717" s="267">
        <v>28683</v>
      </c>
      <c r="G717" s="266" t="s">
        <v>1615</v>
      </c>
      <c r="H717" s="266" t="s">
        <v>383</v>
      </c>
      <c r="I717" s="266" t="s">
        <v>242</v>
      </c>
      <c r="J717" s="266" t="s">
        <v>996</v>
      </c>
      <c r="K717" s="406" t="s">
        <v>6433</v>
      </c>
    </row>
    <row r="718" spans="1:11" x14ac:dyDescent="0.25">
      <c r="A718" s="270" t="s">
        <v>1667</v>
      </c>
      <c r="B718" s="266"/>
      <c r="C718" s="266" t="s">
        <v>114</v>
      </c>
      <c r="D718" s="266" t="s">
        <v>6434</v>
      </c>
      <c r="E718" s="267" t="s">
        <v>6428</v>
      </c>
      <c r="F718" s="267">
        <v>28683</v>
      </c>
      <c r="G718" s="266" t="s">
        <v>392</v>
      </c>
      <c r="H718" s="266" t="s">
        <v>383</v>
      </c>
      <c r="I718" s="266" t="s">
        <v>242</v>
      </c>
      <c r="J718" s="266" t="s">
        <v>996</v>
      </c>
      <c r="K718" s="406" t="s">
        <v>6435</v>
      </c>
    </row>
    <row r="719" spans="1:11" x14ac:dyDescent="0.25">
      <c r="A719" s="270" t="s">
        <v>1669</v>
      </c>
      <c r="B719" s="266"/>
      <c r="C719" s="266" t="s">
        <v>114</v>
      </c>
      <c r="D719" s="266" t="s">
        <v>6436</v>
      </c>
      <c r="E719" s="267" t="s">
        <v>6428</v>
      </c>
      <c r="F719" s="267">
        <v>28683</v>
      </c>
      <c r="G719" s="266" t="s">
        <v>397</v>
      </c>
      <c r="H719" s="266" t="s">
        <v>383</v>
      </c>
      <c r="I719" s="266" t="s">
        <v>242</v>
      </c>
      <c r="J719" s="266" t="s">
        <v>996</v>
      </c>
      <c r="K719" s="406" t="s">
        <v>6437</v>
      </c>
    </row>
    <row r="720" spans="1:11" x14ac:dyDescent="0.25">
      <c r="A720" s="270" t="s">
        <v>1671</v>
      </c>
      <c r="B720" s="266"/>
      <c r="C720" s="266" t="s">
        <v>114</v>
      </c>
      <c r="D720" s="266" t="s">
        <v>6438</v>
      </c>
      <c r="E720" s="267" t="s">
        <v>6428</v>
      </c>
      <c r="F720" s="267">
        <v>28683</v>
      </c>
      <c r="G720" s="266" t="s">
        <v>396</v>
      </c>
      <c r="H720" s="266" t="s">
        <v>383</v>
      </c>
      <c r="I720" s="266" t="s">
        <v>242</v>
      </c>
      <c r="J720" s="266" t="s">
        <v>996</v>
      </c>
      <c r="K720" s="406" t="s">
        <v>6439</v>
      </c>
    </row>
    <row r="721" spans="1:11" x14ac:dyDescent="0.25">
      <c r="A721" s="270" t="s">
        <v>1673</v>
      </c>
      <c r="B721" s="266"/>
      <c r="C721" s="266" t="s">
        <v>114</v>
      </c>
      <c r="D721" s="266" t="s">
        <v>6440</v>
      </c>
      <c r="E721" s="267" t="s">
        <v>6428</v>
      </c>
      <c r="F721" s="267">
        <v>28683</v>
      </c>
      <c r="G721" s="266" t="s">
        <v>394</v>
      </c>
      <c r="H721" s="266" t="s">
        <v>383</v>
      </c>
      <c r="I721" s="266" t="s">
        <v>242</v>
      </c>
      <c r="J721" s="266" t="s">
        <v>996</v>
      </c>
      <c r="K721" s="406" t="s">
        <v>6441</v>
      </c>
    </row>
    <row r="722" spans="1:11" x14ac:dyDescent="0.25">
      <c r="A722" s="270" t="s">
        <v>1675</v>
      </c>
      <c r="B722" s="266"/>
      <c r="C722" s="266" t="s">
        <v>114</v>
      </c>
      <c r="D722" s="266" t="s">
        <v>6442</v>
      </c>
      <c r="E722" s="267" t="s">
        <v>6428</v>
      </c>
      <c r="F722" s="267">
        <v>28683</v>
      </c>
      <c r="G722" s="266" t="s">
        <v>395</v>
      </c>
      <c r="H722" s="266" t="s">
        <v>383</v>
      </c>
      <c r="I722" s="266" t="s">
        <v>242</v>
      </c>
      <c r="J722" s="266" t="s">
        <v>996</v>
      </c>
      <c r="K722" s="406" t="s">
        <v>6443</v>
      </c>
    </row>
    <row r="723" spans="1:11" x14ac:dyDescent="0.25">
      <c r="A723" s="270" t="s">
        <v>1677</v>
      </c>
      <c r="B723" s="266"/>
      <c r="C723" s="266" t="s">
        <v>114</v>
      </c>
      <c r="D723" s="266" t="s">
        <v>6444</v>
      </c>
      <c r="E723" s="267" t="s">
        <v>6428</v>
      </c>
      <c r="F723" s="267">
        <v>28683</v>
      </c>
      <c r="G723" s="266" t="s">
        <v>573</v>
      </c>
      <c r="H723" s="266" t="s">
        <v>383</v>
      </c>
      <c r="I723" s="266" t="s">
        <v>242</v>
      </c>
      <c r="J723" s="266" t="s">
        <v>996</v>
      </c>
      <c r="K723" s="406" t="s">
        <v>6445</v>
      </c>
    </row>
    <row r="724" spans="1:11" x14ac:dyDescent="0.25">
      <c r="A724" s="270" t="s">
        <v>1679</v>
      </c>
      <c r="B724" s="266"/>
      <c r="C724" s="266" t="s">
        <v>114</v>
      </c>
      <c r="D724" s="266" t="s">
        <v>6446</v>
      </c>
      <c r="E724" s="267" t="s">
        <v>6428</v>
      </c>
      <c r="F724" s="267">
        <v>28683</v>
      </c>
      <c r="G724" s="266" t="s">
        <v>1681</v>
      </c>
      <c r="H724" s="266" t="s">
        <v>383</v>
      </c>
      <c r="I724" s="266" t="s">
        <v>242</v>
      </c>
      <c r="J724" s="266" t="s">
        <v>996</v>
      </c>
      <c r="K724" s="406" t="s">
        <v>6447</v>
      </c>
    </row>
    <row r="725" spans="1:11" x14ac:dyDescent="0.25">
      <c r="A725" s="270" t="s">
        <v>1682</v>
      </c>
      <c r="B725" s="266"/>
      <c r="C725" s="266" t="s">
        <v>114</v>
      </c>
      <c r="D725" s="266" t="s">
        <v>6448</v>
      </c>
      <c r="E725" s="267" t="s">
        <v>6449</v>
      </c>
      <c r="F725" s="267">
        <v>28688</v>
      </c>
      <c r="G725" s="266" t="s">
        <v>1604</v>
      </c>
      <c r="H725" s="266" t="s">
        <v>383</v>
      </c>
      <c r="I725" s="266" t="s">
        <v>242</v>
      </c>
      <c r="J725" s="266" t="s">
        <v>996</v>
      </c>
      <c r="K725" s="406" t="s">
        <v>6450</v>
      </c>
    </row>
    <row r="726" spans="1:11" x14ac:dyDescent="0.25">
      <c r="A726" s="270" t="s">
        <v>1684</v>
      </c>
      <c r="B726" s="266"/>
      <c r="C726" s="266" t="s">
        <v>309</v>
      </c>
      <c r="D726" s="266" t="s">
        <v>834</v>
      </c>
      <c r="E726" s="267" t="s">
        <v>6451</v>
      </c>
      <c r="F726" s="267">
        <v>28689</v>
      </c>
      <c r="G726" s="266" t="s">
        <v>405</v>
      </c>
      <c r="H726" s="266" t="s">
        <v>1686</v>
      </c>
      <c r="I726" s="266" t="s">
        <v>242</v>
      </c>
      <c r="J726" s="266" t="s">
        <v>996</v>
      </c>
      <c r="K726" s="406" t="s">
        <v>6452</v>
      </c>
    </row>
    <row r="727" spans="1:11" x14ac:dyDescent="0.25">
      <c r="A727" s="270" t="s">
        <v>1687</v>
      </c>
      <c r="B727" s="266"/>
      <c r="C727" s="266" t="s">
        <v>114</v>
      </c>
      <c r="D727" s="266" t="s">
        <v>6453</v>
      </c>
      <c r="E727" s="267" t="s">
        <v>6454</v>
      </c>
      <c r="F727" s="267">
        <v>28691</v>
      </c>
      <c r="G727" s="266" t="s">
        <v>1686</v>
      </c>
      <c r="H727" s="266" t="s">
        <v>387</v>
      </c>
      <c r="I727" s="266" t="s">
        <v>6455</v>
      </c>
      <c r="J727" s="266" t="s">
        <v>996</v>
      </c>
      <c r="K727" s="406" t="s">
        <v>6456</v>
      </c>
    </row>
    <row r="728" spans="1:11" x14ac:dyDescent="0.25">
      <c r="A728" s="270" t="s">
        <v>1690</v>
      </c>
      <c r="B728" s="266"/>
      <c r="C728" s="266" t="s">
        <v>1483</v>
      </c>
      <c r="D728" s="266" t="s">
        <v>6457</v>
      </c>
      <c r="E728" s="267" t="s">
        <v>6454</v>
      </c>
      <c r="F728" s="267">
        <v>28711</v>
      </c>
      <c r="G728" s="266" t="s">
        <v>405</v>
      </c>
      <c r="H728" s="266" t="s">
        <v>1686</v>
      </c>
      <c r="I728" s="266" t="s">
        <v>242</v>
      </c>
      <c r="J728" s="266" t="s">
        <v>996</v>
      </c>
      <c r="K728" s="406" t="s">
        <v>6458</v>
      </c>
    </row>
    <row r="729" spans="1:11" x14ac:dyDescent="0.25">
      <c r="A729" s="270" t="s">
        <v>1692</v>
      </c>
      <c r="B729" s="266"/>
      <c r="C729" s="266" t="s">
        <v>114</v>
      </c>
      <c r="D729" s="266" t="s">
        <v>6459</v>
      </c>
      <c r="E729" s="267" t="s">
        <v>6460</v>
      </c>
      <c r="F729" s="267">
        <v>28814</v>
      </c>
      <c r="G729" s="266" t="s">
        <v>1533</v>
      </c>
      <c r="H729" s="266" t="s">
        <v>1628</v>
      </c>
      <c r="I729" s="266" t="s">
        <v>5812</v>
      </c>
      <c r="J729" s="266" t="s">
        <v>996</v>
      </c>
      <c r="K729" s="406" t="s">
        <v>6461</v>
      </c>
    </row>
    <row r="730" spans="1:11" x14ac:dyDescent="0.25">
      <c r="A730" s="270" t="s">
        <v>1694</v>
      </c>
      <c r="B730" s="266"/>
      <c r="C730" s="266" t="s">
        <v>969</v>
      </c>
      <c r="D730" s="266" t="s">
        <v>6462</v>
      </c>
      <c r="E730" s="267" t="s">
        <v>6463</v>
      </c>
      <c r="F730" s="267">
        <v>28923</v>
      </c>
      <c r="G730" s="266" t="s">
        <v>1696</v>
      </c>
      <c r="H730" s="266" t="s">
        <v>1697</v>
      </c>
      <c r="I730" s="266" t="s">
        <v>242</v>
      </c>
      <c r="J730" s="266" t="s">
        <v>985</v>
      </c>
      <c r="K730" s="406" t="s">
        <v>6464</v>
      </c>
    </row>
    <row r="731" spans="1:11" x14ac:dyDescent="0.25">
      <c r="A731" s="270" t="s">
        <v>1698</v>
      </c>
      <c r="B731" s="266"/>
      <c r="C731" s="266" t="s">
        <v>1274</v>
      </c>
      <c r="D731" s="266" t="s">
        <v>6465</v>
      </c>
      <c r="E731" s="267" t="s">
        <v>6466</v>
      </c>
      <c r="F731" s="267">
        <v>28961</v>
      </c>
      <c r="G731" s="266" t="s">
        <v>1700</v>
      </c>
      <c r="H731" s="266" t="s">
        <v>1701</v>
      </c>
      <c r="I731" s="266" t="s">
        <v>5812</v>
      </c>
      <c r="J731" s="266" t="s">
        <v>985</v>
      </c>
      <c r="K731" s="406" t="s">
        <v>6467</v>
      </c>
    </row>
    <row r="732" spans="1:11" x14ac:dyDescent="0.25">
      <c r="A732" s="270" t="s">
        <v>1702</v>
      </c>
      <c r="B732" s="266"/>
      <c r="C732" s="266" t="s">
        <v>1091</v>
      </c>
      <c r="D732" s="266" t="s">
        <v>6468</v>
      </c>
      <c r="E732" s="267" t="s">
        <v>6466</v>
      </c>
      <c r="F732" s="267">
        <v>28961</v>
      </c>
      <c r="G732" s="266" t="s">
        <v>1704</v>
      </c>
      <c r="H732" s="266" t="s">
        <v>1705</v>
      </c>
      <c r="I732" s="266" t="s">
        <v>5812</v>
      </c>
      <c r="J732" s="266" t="s">
        <v>1095</v>
      </c>
      <c r="K732" s="406" t="s">
        <v>6469</v>
      </c>
    </row>
    <row r="733" spans="1:11" x14ac:dyDescent="0.25">
      <c r="A733" s="270" t="s">
        <v>1706</v>
      </c>
      <c r="B733" s="266"/>
      <c r="C733" s="266" t="s">
        <v>114</v>
      </c>
      <c r="D733" s="266" t="s">
        <v>6470</v>
      </c>
      <c r="E733" s="267" t="s">
        <v>6471</v>
      </c>
      <c r="F733" s="267">
        <v>28970</v>
      </c>
      <c r="G733" s="266" t="s">
        <v>1533</v>
      </c>
      <c r="H733" s="266" t="s">
        <v>1628</v>
      </c>
      <c r="I733" s="266" t="s">
        <v>242</v>
      </c>
      <c r="J733" s="266" t="s">
        <v>996</v>
      </c>
      <c r="K733" s="406" t="s">
        <v>6472</v>
      </c>
    </row>
    <row r="734" spans="1:11" x14ac:dyDescent="0.25">
      <c r="A734" s="270" t="s">
        <v>1708</v>
      </c>
      <c r="B734" s="266"/>
      <c r="C734" s="266" t="s">
        <v>993</v>
      </c>
      <c r="D734" s="266" t="s">
        <v>6473</v>
      </c>
      <c r="E734" s="267" t="s">
        <v>6474</v>
      </c>
      <c r="F734" s="267">
        <v>29047</v>
      </c>
      <c r="G734" s="266" t="s">
        <v>1710</v>
      </c>
      <c r="H734" s="266" t="s">
        <v>1563</v>
      </c>
      <c r="I734" s="266" t="s">
        <v>242</v>
      </c>
      <c r="J734" s="266" t="s">
        <v>996</v>
      </c>
      <c r="K734" s="406" t="s">
        <v>6475</v>
      </c>
    </row>
    <row r="735" spans="1:11" x14ac:dyDescent="0.25">
      <c r="A735" s="270" t="s">
        <v>1711</v>
      </c>
      <c r="B735" s="266"/>
      <c r="C735" s="266" t="s">
        <v>1274</v>
      </c>
      <c r="D735" s="266" t="s">
        <v>6476</v>
      </c>
      <c r="E735" s="267" t="s">
        <v>6477</v>
      </c>
      <c r="F735" s="267">
        <v>29049</v>
      </c>
      <c r="G735" s="266" t="s">
        <v>1713</v>
      </c>
      <c r="H735" s="266" t="s">
        <v>1714</v>
      </c>
      <c r="I735" s="266" t="s">
        <v>242</v>
      </c>
      <c r="J735" s="266" t="s">
        <v>985</v>
      </c>
      <c r="K735" s="406" t="s">
        <v>6478</v>
      </c>
    </row>
    <row r="736" spans="1:11" x14ac:dyDescent="0.25">
      <c r="A736" s="270" t="s">
        <v>1715</v>
      </c>
      <c r="B736" s="266"/>
      <c r="C736" s="266" t="s">
        <v>969</v>
      </c>
      <c r="D736" s="266" t="s">
        <v>6479</v>
      </c>
      <c r="E736" s="267" t="s">
        <v>6477</v>
      </c>
      <c r="F736" s="267">
        <v>29049</v>
      </c>
      <c r="G736" s="266" t="s">
        <v>1697</v>
      </c>
      <c r="H736" s="266" t="s">
        <v>1717</v>
      </c>
      <c r="I736" s="266" t="s">
        <v>242</v>
      </c>
      <c r="J736" s="266" t="s">
        <v>985</v>
      </c>
      <c r="K736" s="406" t="s">
        <v>6480</v>
      </c>
    </row>
    <row r="737" spans="1:11" x14ac:dyDescent="0.25">
      <c r="A737" s="270" t="s">
        <v>1718</v>
      </c>
      <c r="B737" s="266"/>
      <c r="C737" s="266" t="s">
        <v>114</v>
      </c>
      <c r="D737" s="266" t="s">
        <v>6481</v>
      </c>
      <c r="E737" s="267" t="s">
        <v>6482</v>
      </c>
      <c r="F737" s="267">
        <v>29052</v>
      </c>
      <c r="G737" s="266" t="s">
        <v>1628</v>
      </c>
      <c r="H737" s="266" t="s">
        <v>1720</v>
      </c>
      <c r="I737" s="266" t="s">
        <v>5812</v>
      </c>
      <c r="J737" s="266" t="s">
        <v>996</v>
      </c>
      <c r="K737" s="406" t="s">
        <v>6483</v>
      </c>
    </row>
    <row r="738" spans="1:11" x14ac:dyDescent="0.25">
      <c r="A738" s="270" t="s">
        <v>1721</v>
      </c>
      <c r="B738" s="266"/>
      <c r="C738" s="266" t="s">
        <v>969</v>
      </c>
      <c r="D738" s="266" t="s">
        <v>6484</v>
      </c>
      <c r="E738" s="267" t="s">
        <v>6485</v>
      </c>
      <c r="F738" s="267">
        <v>29063</v>
      </c>
      <c r="G738" s="266" t="s">
        <v>1697</v>
      </c>
      <c r="H738" s="266" t="s">
        <v>1723</v>
      </c>
      <c r="I738" s="266" t="s">
        <v>242</v>
      </c>
      <c r="J738" s="266" t="s">
        <v>985</v>
      </c>
      <c r="K738" s="406" t="s">
        <v>6486</v>
      </c>
    </row>
    <row r="739" spans="1:11" x14ac:dyDescent="0.25">
      <c r="A739" s="270" t="s">
        <v>1724</v>
      </c>
      <c r="B739" s="266"/>
      <c r="C739" s="266" t="s">
        <v>1623</v>
      </c>
      <c r="D739" s="266" t="s">
        <v>6487</v>
      </c>
      <c r="E739" s="267" t="s">
        <v>6488</v>
      </c>
      <c r="F739" s="267">
        <v>29094</v>
      </c>
      <c r="G739" s="266" t="s">
        <v>400</v>
      </c>
      <c r="H739" s="266" t="s">
        <v>1726</v>
      </c>
      <c r="I739" s="266" t="s">
        <v>5812</v>
      </c>
      <c r="J739" s="266" t="s">
        <v>1625</v>
      </c>
      <c r="K739" s="406" t="s">
        <v>6489</v>
      </c>
    </row>
    <row r="740" spans="1:11" x14ac:dyDescent="0.25">
      <c r="A740" s="270" t="s">
        <v>1727</v>
      </c>
      <c r="B740" s="266"/>
      <c r="C740" s="266" t="s">
        <v>1483</v>
      </c>
      <c r="D740" s="266" t="s">
        <v>6490</v>
      </c>
      <c r="E740" s="267" t="s">
        <v>6491</v>
      </c>
      <c r="F740" s="267">
        <v>29102</v>
      </c>
      <c r="G740" s="266" t="s">
        <v>372</v>
      </c>
      <c r="H740" s="266" t="s">
        <v>787</v>
      </c>
      <c r="I740" s="266" t="s">
        <v>5812</v>
      </c>
      <c r="J740" s="266" t="s">
        <v>996</v>
      </c>
      <c r="K740" s="406" t="s">
        <v>6492</v>
      </c>
    </row>
    <row r="741" spans="1:11" x14ac:dyDescent="0.25">
      <c r="A741" s="270" t="s">
        <v>1729</v>
      </c>
      <c r="B741" s="266"/>
      <c r="C741" s="266" t="s">
        <v>1483</v>
      </c>
      <c r="D741" s="266" t="s">
        <v>6493</v>
      </c>
      <c r="E741" s="267" t="s">
        <v>6491</v>
      </c>
      <c r="F741" s="267">
        <v>29102</v>
      </c>
      <c r="G741" s="266" t="s">
        <v>372</v>
      </c>
      <c r="H741" s="266" t="s">
        <v>787</v>
      </c>
      <c r="I741" s="266" t="s">
        <v>5812</v>
      </c>
      <c r="J741" s="266" t="s">
        <v>996</v>
      </c>
      <c r="K741" s="406" t="s">
        <v>6494</v>
      </c>
    </row>
    <row r="742" spans="1:11" x14ac:dyDescent="0.25">
      <c r="A742" s="270" t="s">
        <v>1731</v>
      </c>
      <c r="B742" s="266"/>
      <c r="C742" s="266" t="s">
        <v>1623</v>
      </c>
      <c r="D742" s="266" t="s">
        <v>4341</v>
      </c>
      <c r="E742" s="267" t="s">
        <v>6495</v>
      </c>
      <c r="F742" s="267">
        <v>29126</v>
      </c>
      <c r="G742" s="266" t="s">
        <v>1733</v>
      </c>
      <c r="H742" s="266" t="s">
        <v>1734</v>
      </c>
      <c r="I742" s="266" t="s">
        <v>6193</v>
      </c>
      <c r="J742" s="266" t="s">
        <v>1625</v>
      </c>
      <c r="K742" s="406" t="s">
        <v>6496</v>
      </c>
    </row>
    <row r="743" spans="1:11" x14ac:dyDescent="0.25">
      <c r="A743" s="270" t="s">
        <v>1735</v>
      </c>
      <c r="B743" s="266"/>
      <c r="C743" s="266" t="s">
        <v>1196</v>
      </c>
      <c r="D743" s="266" t="s">
        <v>6497</v>
      </c>
      <c r="E743" s="267" t="s">
        <v>6498</v>
      </c>
      <c r="F743" s="267">
        <v>29172</v>
      </c>
      <c r="G743" s="266" t="s">
        <v>401</v>
      </c>
      <c r="H743" s="266" t="s">
        <v>1737</v>
      </c>
      <c r="I743" s="266" t="s">
        <v>242</v>
      </c>
      <c r="J743" s="266" t="s">
        <v>1095</v>
      </c>
      <c r="K743" s="406" t="s">
        <v>6499</v>
      </c>
    </row>
    <row r="744" spans="1:11" x14ac:dyDescent="0.25">
      <c r="A744" s="270" t="s">
        <v>1738</v>
      </c>
      <c r="B744" s="266"/>
      <c r="C744" s="266" t="s">
        <v>114</v>
      </c>
      <c r="D744" s="266" t="s">
        <v>6500</v>
      </c>
      <c r="E744" s="267" t="s">
        <v>6501</v>
      </c>
      <c r="F744" s="267">
        <v>29189</v>
      </c>
      <c r="G744" s="266" t="s">
        <v>1628</v>
      </c>
      <c r="H744" s="266" t="s">
        <v>812</v>
      </c>
      <c r="I744" s="266" t="s">
        <v>5812</v>
      </c>
      <c r="J744" s="266" t="s">
        <v>996</v>
      </c>
      <c r="K744" s="406" t="s">
        <v>6502</v>
      </c>
    </row>
    <row r="745" spans="1:11" x14ac:dyDescent="0.25">
      <c r="A745" s="270" t="s">
        <v>1740</v>
      </c>
      <c r="B745" s="266"/>
      <c r="C745" s="266" t="s">
        <v>309</v>
      </c>
      <c r="D745" s="266" t="s">
        <v>836</v>
      </c>
      <c r="E745" s="267" t="s">
        <v>6503</v>
      </c>
      <c r="F745" s="267">
        <v>29299</v>
      </c>
      <c r="G745" s="266" t="s">
        <v>407</v>
      </c>
      <c r="H745" s="266" t="s">
        <v>837</v>
      </c>
      <c r="I745" s="266" t="s">
        <v>242</v>
      </c>
      <c r="J745" s="266" t="s">
        <v>996</v>
      </c>
      <c r="K745" s="406" t="s">
        <v>6504</v>
      </c>
    </row>
    <row r="746" spans="1:11" x14ac:dyDescent="0.25">
      <c r="A746" s="270" t="s">
        <v>1742</v>
      </c>
      <c r="B746" s="266"/>
      <c r="C746" s="266" t="s">
        <v>114</v>
      </c>
      <c r="D746" s="266" t="s">
        <v>6505</v>
      </c>
      <c r="E746" s="267" t="s">
        <v>6506</v>
      </c>
      <c r="F746" s="267">
        <v>29312</v>
      </c>
      <c r="G746" s="266" t="s">
        <v>837</v>
      </c>
      <c r="H746" s="266" t="s">
        <v>1744</v>
      </c>
      <c r="I746" s="266" t="s">
        <v>242</v>
      </c>
      <c r="J746" s="266" t="s">
        <v>996</v>
      </c>
      <c r="K746" s="406" t="s">
        <v>6507</v>
      </c>
    </row>
    <row r="747" spans="1:11" x14ac:dyDescent="0.25">
      <c r="A747" s="270" t="s">
        <v>1745</v>
      </c>
      <c r="B747" s="266"/>
      <c r="C747" s="266" t="s">
        <v>993</v>
      </c>
      <c r="D747" s="266" t="s">
        <v>6508</v>
      </c>
      <c r="E747" s="267" t="s">
        <v>6509</v>
      </c>
      <c r="F747" s="267">
        <v>29369</v>
      </c>
      <c r="G747" s="266" t="s">
        <v>1628</v>
      </c>
      <c r="H747" s="266" t="s">
        <v>1747</v>
      </c>
      <c r="I747" s="266" t="s">
        <v>242</v>
      </c>
      <c r="J747" s="266" t="s">
        <v>996</v>
      </c>
      <c r="K747" s="406" t="s">
        <v>6510</v>
      </c>
    </row>
    <row r="748" spans="1:11" x14ac:dyDescent="0.25">
      <c r="A748" s="270" t="s">
        <v>1748</v>
      </c>
      <c r="B748" s="266"/>
      <c r="C748" s="266" t="s">
        <v>114</v>
      </c>
      <c r="D748" s="266" t="s">
        <v>6511</v>
      </c>
      <c r="E748" s="267" t="s">
        <v>6512</v>
      </c>
      <c r="F748" s="267">
        <v>27964</v>
      </c>
      <c r="G748" s="266" t="s">
        <v>812</v>
      </c>
      <c r="H748" s="266" t="s">
        <v>1750</v>
      </c>
      <c r="I748" s="266" t="s">
        <v>6367</v>
      </c>
      <c r="J748" s="266" t="s">
        <v>996</v>
      </c>
      <c r="K748" s="406" t="s">
        <v>6513</v>
      </c>
    </row>
    <row r="749" spans="1:11" x14ac:dyDescent="0.25">
      <c r="A749" s="270" t="s">
        <v>1751</v>
      </c>
      <c r="B749" s="266"/>
      <c r="C749" s="266" t="s">
        <v>969</v>
      </c>
      <c r="D749" s="266" t="s">
        <v>6514</v>
      </c>
      <c r="E749" s="267" t="s">
        <v>6515</v>
      </c>
      <c r="F749" s="267">
        <v>29438</v>
      </c>
      <c r="G749" s="266" t="s">
        <v>1753</v>
      </c>
      <c r="H749" s="266" t="s">
        <v>1696</v>
      </c>
      <c r="I749" s="266" t="s">
        <v>242</v>
      </c>
      <c r="J749" s="266" t="s">
        <v>985</v>
      </c>
      <c r="K749" s="406" t="s">
        <v>6516</v>
      </c>
    </row>
    <row r="750" spans="1:11" x14ac:dyDescent="0.25">
      <c r="A750" s="270" t="s">
        <v>1754</v>
      </c>
      <c r="B750" s="266"/>
      <c r="C750" s="266" t="s">
        <v>969</v>
      </c>
      <c r="D750" s="266" t="s">
        <v>6517</v>
      </c>
      <c r="E750" s="267" t="s">
        <v>6515</v>
      </c>
      <c r="F750" s="267">
        <v>29438</v>
      </c>
      <c r="G750" s="266" t="s">
        <v>1696</v>
      </c>
      <c r="H750" s="266" t="s">
        <v>1582</v>
      </c>
      <c r="I750" s="266" t="s">
        <v>242</v>
      </c>
      <c r="J750" s="266" t="s">
        <v>985</v>
      </c>
      <c r="K750" s="406" t="s">
        <v>6518</v>
      </c>
    </row>
    <row r="751" spans="1:11" x14ac:dyDescent="0.25">
      <c r="A751" s="270" t="s">
        <v>1756</v>
      </c>
      <c r="B751" s="266"/>
      <c r="C751" s="266" t="s">
        <v>114</v>
      </c>
      <c r="D751" s="266" t="s">
        <v>6519</v>
      </c>
      <c r="E751" s="267" t="s">
        <v>6520</v>
      </c>
      <c r="F751" s="267">
        <v>29444</v>
      </c>
      <c r="G751" s="266" t="s">
        <v>1628</v>
      </c>
      <c r="H751" s="266" t="s">
        <v>812</v>
      </c>
      <c r="I751" s="266" t="s">
        <v>5812</v>
      </c>
      <c r="J751" s="266" t="s">
        <v>996</v>
      </c>
      <c r="K751" s="406" t="s">
        <v>6521</v>
      </c>
    </row>
    <row r="752" spans="1:11" x14ac:dyDescent="0.25">
      <c r="A752" s="270" t="s">
        <v>1758</v>
      </c>
      <c r="B752" s="266"/>
      <c r="C752" s="266" t="s">
        <v>309</v>
      </c>
      <c r="D752" s="266" t="s">
        <v>838</v>
      </c>
      <c r="E752" s="267" t="s">
        <v>6522</v>
      </c>
      <c r="F752" s="267">
        <v>29669</v>
      </c>
      <c r="G752" s="266" t="s">
        <v>409</v>
      </c>
      <c r="H752" s="266" t="s">
        <v>840</v>
      </c>
      <c r="I752" s="266" t="s">
        <v>5812</v>
      </c>
      <c r="J752" s="266" t="s">
        <v>996</v>
      </c>
      <c r="K752" s="406" t="s">
        <v>6523</v>
      </c>
    </row>
    <row r="753" spans="1:11" x14ac:dyDescent="0.25">
      <c r="A753" s="270" t="s">
        <v>1760</v>
      </c>
      <c r="B753" s="266"/>
      <c r="C753" s="266" t="s">
        <v>969</v>
      </c>
      <c r="D753" s="266" t="s">
        <v>6524</v>
      </c>
      <c r="E753" s="267" t="s">
        <v>6525</v>
      </c>
      <c r="F753" s="267">
        <v>29675</v>
      </c>
      <c r="G753" s="266" t="s">
        <v>372</v>
      </c>
      <c r="H753" s="266" t="s">
        <v>1762</v>
      </c>
      <c r="I753" s="266" t="s">
        <v>242</v>
      </c>
      <c r="J753" s="266" t="s">
        <v>985</v>
      </c>
      <c r="K753" s="406" t="s">
        <v>6526</v>
      </c>
    </row>
    <row r="754" spans="1:11" x14ac:dyDescent="0.25">
      <c r="A754" s="270" t="s">
        <v>1763</v>
      </c>
      <c r="B754" s="266"/>
      <c r="C754" s="266" t="s">
        <v>969</v>
      </c>
      <c r="D754" s="266" t="s">
        <v>6527</v>
      </c>
      <c r="E754" s="267" t="s">
        <v>6528</v>
      </c>
      <c r="F754" s="267">
        <v>29714</v>
      </c>
      <c r="G754" s="266" t="s">
        <v>1765</v>
      </c>
      <c r="H754" s="266" t="s">
        <v>1766</v>
      </c>
      <c r="I754" s="266" t="s">
        <v>5812</v>
      </c>
      <c r="J754" s="266" t="s">
        <v>985</v>
      </c>
      <c r="K754" s="406" t="s">
        <v>6529</v>
      </c>
    </row>
    <row r="755" spans="1:11" x14ac:dyDescent="0.25">
      <c r="A755" s="270" t="s">
        <v>1767</v>
      </c>
      <c r="B755" s="266"/>
      <c r="C755" s="266" t="s">
        <v>969</v>
      </c>
      <c r="D755" s="266" t="s">
        <v>6530</v>
      </c>
      <c r="E755" s="267" t="s">
        <v>6528</v>
      </c>
      <c r="F755" s="267">
        <v>29714</v>
      </c>
      <c r="G755" s="266" t="s">
        <v>1766</v>
      </c>
      <c r="H755" s="266" t="s">
        <v>1769</v>
      </c>
      <c r="I755" s="266" t="s">
        <v>5812</v>
      </c>
      <c r="J755" s="266" t="s">
        <v>985</v>
      </c>
      <c r="K755" s="406" t="s">
        <v>6531</v>
      </c>
    </row>
    <row r="756" spans="1:11" x14ac:dyDescent="0.25">
      <c r="A756" s="270" t="s">
        <v>1770</v>
      </c>
      <c r="B756" s="266"/>
      <c r="C756" s="266" t="s">
        <v>969</v>
      </c>
      <c r="D756" s="266" t="s">
        <v>6532</v>
      </c>
      <c r="E756" s="267" t="s">
        <v>6533</v>
      </c>
      <c r="F756" s="267">
        <v>29767</v>
      </c>
      <c r="G756" s="266" t="s">
        <v>1762</v>
      </c>
      <c r="H756" s="266" t="s">
        <v>1772</v>
      </c>
      <c r="I756" s="266" t="s">
        <v>242</v>
      </c>
      <c r="J756" s="266" t="s">
        <v>985</v>
      </c>
      <c r="K756" s="406" t="s">
        <v>6534</v>
      </c>
    </row>
    <row r="757" spans="1:11" x14ac:dyDescent="0.25">
      <c r="A757" s="270" t="s">
        <v>1773</v>
      </c>
      <c r="B757" s="266"/>
      <c r="C757" s="266" t="s">
        <v>969</v>
      </c>
      <c r="D757" s="266" t="s">
        <v>6535</v>
      </c>
      <c r="E757" s="267" t="s">
        <v>6536</v>
      </c>
      <c r="F757" s="267">
        <v>29812</v>
      </c>
      <c r="G757" s="266" t="s">
        <v>1762</v>
      </c>
      <c r="H757" s="266" t="s">
        <v>1775</v>
      </c>
      <c r="I757" s="266" t="s">
        <v>242</v>
      </c>
      <c r="J757" s="266" t="s">
        <v>985</v>
      </c>
      <c r="K757" s="406" t="s">
        <v>6537</v>
      </c>
    </row>
    <row r="758" spans="1:11" x14ac:dyDescent="0.25">
      <c r="A758" s="270" t="s">
        <v>1776</v>
      </c>
      <c r="B758" s="266"/>
      <c r="C758" s="266" t="s">
        <v>114</v>
      </c>
      <c r="D758" s="266" t="s">
        <v>6538</v>
      </c>
      <c r="E758" s="267" t="s">
        <v>6539</v>
      </c>
      <c r="F758" s="267">
        <v>29857</v>
      </c>
      <c r="G758" s="266" t="s">
        <v>840</v>
      </c>
      <c r="H758" s="266" t="s">
        <v>1772</v>
      </c>
      <c r="I758" s="266" t="s">
        <v>242</v>
      </c>
      <c r="J758" s="266" t="s">
        <v>996</v>
      </c>
      <c r="K758" s="406" t="s">
        <v>6540</v>
      </c>
    </row>
    <row r="759" spans="1:11" x14ac:dyDescent="0.25">
      <c r="A759" s="270" t="s">
        <v>1778</v>
      </c>
      <c r="B759" s="266"/>
      <c r="C759" s="266" t="s">
        <v>114</v>
      </c>
      <c r="D759" s="266" t="s">
        <v>6541</v>
      </c>
      <c r="E759" s="267" t="s">
        <v>6539</v>
      </c>
      <c r="F759" s="267">
        <v>29857</v>
      </c>
      <c r="G759" s="266" t="s">
        <v>840</v>
      </c>
      <c r="H759" s="266" t="s">
        <v>1775</v>
      </c>
      <c r="I759" s="266" t="s">
        <v>242</v>
      </c>
      <c r="J759" s="266" t="s">
        <v>996</v>
      </c>
      <c r="K759" s="406" t="s">
        <v>6542</v>
      </c>
    </row>
    <row r="760" spans="1:11" x14ac:dyDescent="0.25">
      <c r="A760" s="270" t="s">
        <v>1780</v>
      </c>
      <c r="B760" s="266"/>
      <c r="C760" s="266" t="s">
        <v>309</v>
      </c>
      <c r="D760" s="266" t="s">
        <v>841</v>
      </c>
      <c r="E760" s="267" t="s">
        <v>6543</v>
      </c>
      <c r="F760" s="267">
        <v>29861</v>
      </c>
      <c r="G760" s="266" t="s">
        <v>404</v>
      </c>
      <c r="H760" s="266" t="s">
        <v>383</v>
      </c>
      <c r="I760" s="266" t="s">
        <v>242</v>
      </c>
      <c r="J760" s="266" t="s">
        <v>996</v>
      </c>
      <c r="K760" s="406" t="s">
        <v>6544</v>
      </c>
    </row>
    <row r="761" spans="1:11" x14ac:dyDescent="0.25">
      <c r="A761" s="270" t="s">
        <v>1782</v>
      </c>
      <c r="B761" s="266"/>
      <c r="C761" s="266" t="s">
        <v>114</v>
      </c>
      <c r="D761" s="266" t="s">
        <v>6545</v>
      </c>
      <c r="E761" s="267" t="s">
        <v>6546</v>
      </c>
      <c r="F761" s="267">
        <v>29844</v>
      </c>
      <c r="G761" s="266" t="s">
        <v>1533</v>
      </c>
      <c r="H761" s="266" t="s">
        <v>1784</v>
      </c>
      <c r="I761" s="266" t="s">
        <v>6193</v>
      </c>
      <c r="J761" s="266" t="s">
        <v>996</v>
      </c>
      <c r="K761" s="406" t="s">
        <v>6547</v>
      </c>
    </row>
    <row r="762" spans="1:11" x14ac:dyDescent="0.25">
      <c r="A762" s="270" t="s">
        <v>1785</v>
      </c>
      <c r="B762" s="266"/>
      <c r="C762" s="266" t="s">
        <v>309</v>
      </c>
      <c r="D762" s="266" t="s">
        <v>842</v>
      </c>
      <c r="E762" s="267" t="s">
        <v>6548</v>
      </c>
      <c r="F762" s="267">
        <v>29915</v>
      </c>
      <c r="G762" s="266" t="s">
        <v>411</v>
      </c>
      <c r="H762" s="266" t="s">
        <v>412</v>
      </c>
      <c r="I762" s="266" t="s">
        <v>242</v>
      </c>
      <c r="J762" s="266" t="s">
        <v>996</v>
      </c>
      <c r="K762" s="406" t="s">
        <v>6549</v>
      </c>
    </row>
    <row r="763" spans="1:11" x14ac:dyDescent="0.25">
      <c r="A763" s="270" t="s">
        <v>1787</v>
      </c>
      <c r="B763" s="266"/>
      <c r="C763" s="266" t="s">
        <v>309</v>
      </c>
      <c r="D763" s="266" t="s">
        <v>844</v>
      </c>
      <c r="E763" s="267" t="s">
        <v>6550</v>
      </c>
      <c r="F763" s="267">
        <v>29969</v>
      </c>
      <c r="G763" s="266" t="s">
        <v>413</v>
      </c>
      <c r="H763" s="266" t="s">
        <v>414</v>
      </c>
      <c r="I763" s="266" t="s">
        <v>242</v>
      </c>
      <c r="J763" s="266" t="s">
        <v>996</v>
      </c>
      <c r="K763" s="406" t="s">
        <v>6551</v>
      </c>
    </row>
    <row r="764" spans="1:11" x14ac:dyDescent="0.25">
      <c r="A764" s="270" t="s">
        <v>1789</v>
      </c>
      <c r="B764" s="266"/>
      <c r="C764" s="266" t="s">
        <v>114</v>
      </c>
      <c r="D764" s="266" t="s">
        <v>6552</v>
      </c>
      <c r="E764" s="267" t="s">
        <v>6553</v>
      </c>
      <c r="F764" s="267">
        <v>29977</v>
      </c>
      <c r="G764" s="266" t="s">
        <v>1775</v>
      </c>
      <c r="H764" s="266" t="s">
        <v>840</v>
      </c>
      <c r="I764" s="266" t="s">
        <v>242</v>
      </c>
      <c r="J764" s="266" t="s">
        <v>996</v>
      </c>
      <c r="K764" s="406" t="s">
        <v>6554</v>
      </c>
    </row>
    <row r="765" spans="1:11" x14ac:dyDescent="0.25">
      <c r="A765" s="270" t="s">
        <v>1791</v>
      </c>
      <c r="B765" s="266"/>
      <c r="C765" s="266" t="s">
        <v>309</v>
      </c>
      <c r="D765" s="266" t="s">
        <v>846</v>
      </c>
      <c r="E765" s="267" t="s">
        <v>6555</v>
      </c>
      <c r="F765" s="267">
        <v>29992</v>
      </c>
      <c r="G765" s="266" t="s">
        <v>372</v>
      </c>
      <c r="H765" s="266" t="s">
        <v>847</v>
      </c>
      <c r="I765" s="266" t="s">
        <v>242</v>
      </c>
      <c r="J765" s="266" t="s">
        <v>996</v>
      </c>
      <c r="K765" s="406" t="s">
        <v>6556</v>
      </c>
    </row>
    <row r="766" spans="1:11" x14ac:dyDescent="0.25">
      <c r="A766" s="270" t="s">
        <v>1793</v>
      </c>
      <c r="B766" s="266"/>
      <c r="C766" s="266" t="s">
        <v>969</v>
      </c>
      <c r="D766" s="266" t="s">
        <v>6557</v>
      </c>
      <c r="E766" s="267" t="s">
        <v>6558</v>
      </c>
      <c r="F766" s="267">
        <v>30015</v>
      </c>
      <c r="G766" s="266" t="s">
        <v>1582</v>
      </c>
      <c r="H766" s="266" t="s">
        <v>411</v>
      </c>
      <c r="I766" s="266" t="s">
        <v>242</v>
      </c>
      <c r="J766" s="266" t="s">
        <v>985</v>
      </c>
      <c r="K766" s="406" t="s">
        <v>6559</v>
      </c>
    </row>
    <row r="767" spans="1:11" x14ac:dyDescent="0.25">
      <c r="A767" s="270" t="s">
        <v>1795</v>
      </c>
      <c r="B767" s="266"/>
      <c r="C767" s="266" t="s">
        <v>309</v>
      </c>
      <c r="D767" s="266" t="s">
        <v>848</v>
      </c>
      <c r="E767" s="267" t="s">
        <v>6560</v>
      </c>
      <c r="F767" s="267">
        <v>30028</v>
      </c>
      <c r="G767" s="266" t="s">
        <v>416</v>
      </c>
      <c r="H767" s="266" t="s">
        <v>847</v>
      </c>
      <c r="I767" s="266" t="s">
        <v>242</v>
      </c>
      <c r="J767" s="266" t="s">
        <v>996</v>
      </c>
      <c r="K767" s="406" t="s">
        <v>6561</v>
      </c>
    </row>
    <row r="768" spans="1:11" x14ac:dyDescent="0.25">
      <c r="A768" s="270" t="s">
        <v>1797</v>
      </c>
      <c r="B768" s="266"/>
      <c r="C768" s="266" t="s">
        <v>309</v>
      </c>
      <c r="D768" s="266" t="s">
        <v>849</v>
      </c>
      <c r="E768" s="267" t="s">
        <v>6562</v>
      </c>
      <c r="F768" s="267">
        <v>30039</v>
      </c>
      <c r="G768" s="266" t="s">
        <v>1799</v>
      </c>
      <c r="H768" s="266" t="s">
        <v>847</v>
      </c>
      <c r="I768" s="266" t="s">
        <v>242</v>
      </c>
      <c r="J768" s="266" t="s">
        <v>996</v>
      </c>
      <c r="K768" s="406" t="s">
        <v>6563</v>
      </c>
    </row>
    <row r="769" spans="1:11" x14ac:dyDescent="0.25">
      <c r="A769" s="270" t="s">
        <v>1800</v>
      </c>
      <c r="B769" s="266"/>
      <c r="C769" s="266" t="s">
        <v>969</v>
      </c>
      <c r="D769" s="266" t="s">
        <v>6564</v>
      </c>
      <c r="E769" s="267" t="s">
        <v>6565</v>
      </c>
      <c r="F769" s="267">
        <v>30054</v>
      </c>
      <c r="G769" s="266" t="s">
        <v>1572</v>
      </c>
      <c r="H769" s="266" t="s">
        <v>1802</v>
      </c>
      <c r="I769" s="266" t="s">
        <v>242</v>
      </c>
      <c r="J769" s="266" t="s">
        <v>985</v>
      </c>
      <c r="K769" s="406" t="s">
        <v>6566</v>
      </c>
    </row>
    <row r="770" spans="1:11" x14ac:dyDescent="0.25">
      <c r="A770" s="270" t="s">
        <v>1803</v>
      </c>
      <c r="B770" s="266"/>
      <c r="C770" s="266" t="s">
        <v>1091</v>
      </c>
      <c r="D770" s="266" t="s">
        <v>6567</v>
      </c>
      <c r="E770" s="267" t="s">
        <v>6568</v>
      </c>
      <c r="F770" s="267">
        <v>30061</v>
      </c>
      <c r="G770" s="266" t="s">
        <v>1805</v>
      </c>
      <c r="H770" s="266" t="s">
        <v>1391</v>
      </c>
      <c r="I770" s="266" t="s">
        <v>5812</v>
      </c>
      <c r="J770" s="266" t="s">
        <v>1095</v>
      </c>
      <c r="K770" s="406" t="s">
        <v>6569</v>
      </c>
    </row>
    <row r="771" spans="1:11" x14ac:dyDescent="0.25">
      <c r="A771" s="270" t="s">
        <v>1806</v>
      </c>
      <c r="B771" s="266"/>
      <c r="C771" s="266" t="s">
        <v>993</v>
      </c>
      <c r="D771" s="266" t="s">
        <v>6570</v>
      </c>
      <c r="E771" s="267" t="s">
        <v>6571</v>
      </c>
      <c r="F771" s="267">
        <v>30076</v>
      </c>
      <c r="G771" s="266" t="s">
        <v>983</v>
      </c>
      <c r="H771" s="266" t="s">
        <v>1808</v>
      </c>
      <c r="I771" s="266" t="s">
        <v>242</v>
      </c>
      <c r="J771" s="266" t="s">
        <v>996</v>
      </c>
      <c r="K771" s="406" t="s">
        <v>6572</v>
      </c>
    </row>
    <row r="772" spans="1:11" x14ac:dyDescent="0.25">
      <c r="A772" s="270" t="s">
        <v>1809</v>
      </c>
      <c r="B772" s="266"/>
      <c r="C772" s="266" t="s">
        <v>969</v>
      </c>
      <c r="D772" s="266" t="s">
        <v>6573</v>
      </c>
      <c r="E772" s="267" t="s">
        <v>6574</v>
      </c>
      <c r="F772" s="267">
        <v>30081</v>
      </c>
      <c r="G772" s="266" t="s">
        <v>840</v>
      </c>
      <c r="H772" s="266" t="s">
        <v>1772</v>
      </c>
      <c r="I772" s="266" t="s">
        <v>242</v>
      </c>
      <c r="J772" s="266" t="s">
        <v>985</v>
      </c>
      <c r="K772" s="406" t="s">
        <v>6575</v>
      </c>
    </row>
    <row r="773" spans="1:11" x14ac:dyDescent="0.25">
      <c r="A773" s="270" t="s">
        <v>1811</v>
      </c>
      <c r="B773" s="266"/>
      <c r="C773" s="266" t="s">
        <v>114</v>
      </c>
      <c r="D773" s="266" t="s">
        <v>6576</v>
      </c>
      <c r="E773" s="267" t="s">
        <v>6574</v>
      </c>
      <c r="F773" s="267">
        <v>30081</v>
      </c>
      <c r="G773" s="266" t="s">
        <v>840</v>
      </c>
      <c r="H773" s="266" t="s">
        <v>1772</v>
      </c>
      <c r="I773" s="266" t="s">
        <v>242</v>
      </c>
      <c r="J773" s="266" t="s">
        <v>996</v>
      </c>
      <c r="K773" s="406" t="s">
        <v>6577</v>
      </c>
    </row>
    <row r="774" spans="1:11" x14ac:dyDescent="0.25">
      <c r="A774" s="270" t="s">
        <v>1813</v>
      </c>
      <c r="B774" s="266"/>
      <c r="C774" s="266" t="s">
        <v>969</v>
      </c>
      <c r="D774" s="266" t="s">
        <v>6578</v>
      </c>
      <c r="E774" s="267" t="s">
        <v>6579</v>
      </c>
      <c r="F774" s="267">
        <v>30088</v>
      </c>
      <c r="G774" s="266" t="s">
        <v>411</v>
      </c>
      <c r="H774" s="266" t="s">
        <v>436</v>
      </c>
      <c r="I774" s="266" t="s">
        <v>242</v>
      </c>
      <c r="J774" s="266" t="s">
        <v>985</v>
      </c>
      <c r="K774" s="406" t="s">
        <v>6580</v>
      </c>
    </row>
    <row r="775" spans="1:11" x14ac:dyDescent="0.25">
      <c r="A775" s="270" t="s">
        <v>1815</v>
      </c>
      <c r="B775" s="266"/>
      <c r="C775" s="266" t="s">
        <v>309</v>
      </c>
      <c r="D775" s="266" t="s">
        <v>851</v>
      </c>
      <c r="E775" s="267" t="s">
        <v>6581</v>
      </c>
      <c r="F775" s="267">
        <v>30095</v>
      </c>
      <c r="G775" s="266" t="s">
        <v>1817</v>
      </c>
      <c r="H775" s="266" t="s">
        <v>847</v>
      </c>
      <c r="I775" s="266" t="s">
        <v>242</v>
      </c>
      <c r="J775" s="266" t="s">
        <v>996</v>
      </c>
      <c r="K775" s="406" t="s">
        <v>6582</v>
      </c>
    </row>
    <row r="776" spans="1:11" x14ac:dyDescent="0.25">
      <c r="A776" s="270" t="s">
        <v>1818</v>
      </c>
      <c r="B776" s="266"/>
      <c r="C776" s="266" t="s">
        <v>114</v>
      </c>
      <c r="D776" s="266" t="s">
        <v>6583</v>
      </c>
      <c r="E776" s="267" t="s">
        <v>6581</v>
      </c>
      <c r="F776" s="267">
        <v>30095</v>
      </c>
      <c r="G776" s="266" t="s">
        <v>1820</v>
      </c>
      <c r="H776" s="266" t="s">
        <v>1821</v>
      </c>
      <c r="I776" s="266" t="s">
        <v>242</v>
      </c>
      <c r="J776" s="266" t="s">
        <v>996</v>
      </c>
      <c r="K776" s="406" t="s">
        <v>6584</v>
      </c>
    </row>
    <row r="777" spans="1:11" x14ac:dyDescent="0.25">
      <c r="A777" s="270" t="s">
        <v>1822</v>
      </c>
      <c r="B777" s="266"/>
      <c r="C777" s="266" t="s">
        <v>114</v>
      </c>
      <c r="D777" s="266" t="s">
        <v>6585</v>
      </c>
      <c r="E777" s="267" t="s">
        <v>6581</v>
      </c>
      <c r="F777" s="267">
        <v>30095</v>
      </c>
      <c r="G777" s="266" t="s">
        <v>1820</v>
      </c>
      <c r="H777" s="266" t="s">
        <v>1821</v>
      </c>
      <c r="I777" s="266" t="s">
        <v>242</v>
      </c>
      <c r="J777" s="266" t="s">
        <v>996</v>
      </c>
      <c r="K777" s="406" t="s">
        <v>6586</v>
      </c>
    </row>
    <row r="778" spans="1:11" x14ac:dyDescent="0.25">
      <c r="A778" s="270" t="s">
        <v>1824</v>
      </c>
      <c r="B778" s="266"/>
      <c r="C778" s="266" t="s">
        <v>114</v>
      </c>
      <c r="D778" s="266" t="s">
        <v>6587</v>
      </c>
      <c r="E778" s="267" t="s">
        <v>6581</v>
      </c>
      <c r="F778" s="267">
        <v>30095</v>
      </c>
      <c r="G778" s="266" t="s">
        <v>1820</v>
      </c>
      <c r="H778" s="266" t="s">
        <v>1821</v>
      </c>
      <c r="I778" s="266" t="s">
        <v>242</v>
      </c>
      <c r="J778" s="266" t="s">
        <v>996</v>
      </c>
      <c r="K778" s="406" t="s">
        <v>6588</v>
      </c>
    </row>
    <row r="779" spans="1:11" x14ac:dyDescent="0.25">
      <c r="A779" s="270" t="s">
        <v>1826</v>
      </c>
      <c r="B779" s="266"/>
      <c r="C779" s="266" t="s">
        <v>1317</v>
      </c>
      <c r="D779" s="266" t="s">
        <v>6589</v>
      </c>
      <c r="E779" s="267" t="s">
        <v>6590</v>
      </c>
      <c r="F779" s="267">
        <v>30099</v>
      </c>
      <c r="G779" s="266" t="s">
        <v>1828</v>
      </c>
      <c r="H779" s="266" t="s">
        <v>1110</v>
      </c>
      <c r="I779" s="266" t="s">
        <v>242</v>
      </c>
      <c r="J779" s="266" t="s">
        <v>1095</v>
      </c>
      <c r="K779" s="406" t="s">
        <v>6591</v>
      </c>
    </row>
    <row r="780" spans="1:11" x14ac:dyDescent="0.25">
      <c r="A780" s="270" t="s">
        <v>1829</v>
      </c>
      <c r="B780" s="266"/>
      <c r="C780" s="266" t="s">
        <v>1317</v>
      </c>
      <c r="D780" s="266" t="s">
        <v>6592</v>
      </c>
      <c r="E780" s="267" t="s">
        <v>6590</v>
      </c>
      <c r="F780" s="267">
        <v>30099</v>
      </c>
      <c r="G780" s="266" t="s">
        <v>1828</v>
      </c>
      <c r="H780" s="266" t="s">
        <v>1110</v>
      </c>
      <c r="I780" s="266" t="s">
        <v>242</v>
      </c>
      <c r="J780" s="266" t="s">
        <v>1095</v>
      </c>
      <c r="K780" s="406" t="s">
        <v>6593</v>
      </c>
    </row>
    <row r="781" spans="1:11" x14ac:dyDescent="0.25">
      <c r="A781" s="270" t="s">
        <v>1831</v>
      </c>
      <c r="B781" s="266"/>
      <c r="C781" s="266" t="s">
        <v>969</v>
      </c>
      <c r="D781" s="266" t="s">
        <v>6594</v>
      </c>
      <c r="E781" s="267" t="s">
        <v>6595</v>
      </c>
      <c r="F781" s="267">
        <v>30124</v>
      </c>
      <c r="G781" s="266" t="s">
        <v>404</v>
      </c>
      <c r="H781" s="266" t="s">
        <v>286</v>
      </c>
      <c r="I781" s="266" t="s">
        <v>242</v>
      </c>
      <c r="J781" s="266" t="s">
        <v>985</v>
      </c>
      <c r="K781" s="406" t="s">
        <v>6596</v>
      </c>
    </row>
    <row r="782" spans="1:11" x14ac:dyDescent="0.25">
      <c r="A782" s="270" t="s">
        <v>1833</v>
      </c>
      <c r="B782" s="266"/>
      <c r="C782" s="266" t="s">
        <v>114</v>
      </c>
      <c r="D782" s="266" t="s">
        <v>6597</v>
      </c>
      <c r="E782" s="267" t="s">
        <v>6598</v>
      </c>
      <c r="F782" s="267">
        <v>30130</v>
      </c>
      <c r="G782" s="266" t="s">
        <v>1820</v>
      </c>
      <c r="H782" s="266" t="s">
        <v>1821</v>
      </c>
      <c r="I782" s="266" t="s">
        <v>242</v>
      </c>
      <c r="J782" s="266" t="s">
        <v>996</v>
      </c>
      <c r="K782" s="406" t="s">
        <v>6599</v>
      </c>
    </row>
    <row r="783" spans="1:11" x14ac:dyDescent="0.25">
      <c r="A783" s="270" t="s">
        <v>1835</v>
      </c>
      <c r="B783" s="266"/>
      <c r="C783" s="266" t="s">
        <v>114</v>
      </c>
      <c r="D783" s="266" t="s">
        <v>6600</v>
      </c>
      <c r="E783" s="267" t="s">
        <v>6601</v>
      </c>
      <c r="F783" s="267">
        <v>30173</v>
      </c>
      <c r="G783" s="266" t="s">
        <v>1837</v>
      </c>
      <c r="H783" s="266" t="s">
        <v>1838</v>
      </c>
      <c r="I783" s="266" t="s">
        <v>5812</v>
      </c>
      <c r="J783" s="266" t="s">
        <v>996</v>
      </c>
      <c r="K783" s="406" t="s">
        <v>6602</v>
      </c>
    </row>
    <row r="784" spans="1:11" x14ac:dyDescent="0.25">
      <c r="A784" s="270" t="s">
        <v>1839</v>
      </c>
      <c r="B784" s="266"/>
      <c r="C784" s="266" t="s">
        <v>114</v>
      </c>
      <c r="D784" s="266" t="s">
        <v>6603</v>
      </c>
      <c r="E784" s="267" t="s">
        <v>6604</v>
      </c>
      <c r="F784" s="267">
        <v>30230</v>
      </c>
      <c r="G784" s="266" t="s">
        <v>1841</v>
      </c>
      <c r="H784" s="266" t="s">
        <v>1842</v>
      </c>
      <c r="I784" s="266" t="s">
        <v>242</v>
      </c>
      <c r="J784" s="266" t="s">
        <v>996</v>
      </c>
      <c r="K784" s="406" t="s">
        <v>6605</v>
      </c>
    </row>
    <row r="785" spans="1:11" x14ac:dyDescent="0.25">
      <c r="A785" s="270" t="s">
        <v>1843</v>
      </c>
      <c r="B785" s="266"/>
      <c r="C785" s="266" t="s">
        <v>969</v>
      </c>
      <c r="D785" s="266" t="s">
        <v>6606</v>
      </c>
      <c r="E785" s="267" t="s">
        <v>6607</v>
      </c>
      <c r="F785" s="267">
        <v>30250</v>
      </c>
      <c r="G785" s="266" t="s">
        <v>1845</v>
      </c>
      <c r="H785" s="266" t="s">
        <v>240</v>
      </c>
      <c r="I785" s="266" t="s">
        <v>5812</v>
      </c>
      <c r="J785" s="266" t="s">
        <v>985</v>
      </c>
      <c r="K785" s="406" t="s">
        <v>6608</v>
      </c>
    </row>
    <row r="786" spans="1:11" x14ac:dyDescent="0.25">
      <c r="A786" s="270" t="s">
        <v>1846</v>
      </c>
      <c r="B786" s="266"/>
      <c r="C786" s="266" t="s">
        <v>969</v>
      </c>
      <c r="D786" s="266" t="s">
        <v>6609</v>
      </c>
      <c r="E786" s="267" t="s">
        <v>6607</v>
      </c>
      <c r="F786" s="267">
        <v>30250</v>
      </c>
      <c r="G786" s="266" t="s">
        <v>1845</v>
      </c>
      <c r="H786" s="266" t="s">
        <v>263</v>
      </c>
      <c r="I786" s="266" t="s">
        <v>5812</v>
      </c>
      <c r="J786" s="266" t="s">
        <v>985</v>
      </c>
      <c r="K786" s="406" t="s">
        <v>6610</v>
      </c>
    </row>
    <row r="787" spans="1:11" x14ac:dyDescent="0.25">
      <c r="A787" s="270" t="s">
        <v>1848</v>
      </c>
      <c r="B787" s="266"/>
      <c r="C787" s="266" t="s">
        <v>969</v>
      </c>
      <c r="D787" s="266" t="s">
        <v>6611</v>
      </c>
      <c r="E787" s="267" t="s">
        <v>6607</v>
      </c>
      <c r="F787" s="267">
        <v>30250</v>
      </c>
      <c r="G787" s="266" t="s">
        <v>1845</v>
      </c>
      <c r="H787" s="266" t="s">
        <v>252</v>
      </c>
      <c r="I787" s="266" t="s">
        <v>5812</v>
      </c>
      <c r="J787" s="266" t="s">
        <v>985</v>
      </c>
      <c r="K787" s="406" t="s">
        <v>6612</v>
      </c>
    </row>
    <row r="788" spans="1:11" x14ac:dyDescent="0.25">
      <c r="A788" s="270" t="s">
        <v>1850</v>
      </c>
      <c r="B788" s="266"/>
      <c r="C788" s="266" t="s">
        <v>1091</v>
      </c>
      <c r="D788" s="266" t="s">
        <v>6613</v>
      </c>
      <c r="E788" s="267" t="s">
        <v>6614</v>
      </c>
      <c r="F788" s="267">
        <v>30369</v>
      </c>
      <c r="G788" s="266" t="s">
        <v>1604</v>
      </c>
      <c r="H788" s="266" t="s">
        <v>433</v>
      </c>
      <c r="I788" s="266" t="s">
        <v>5812</v>
      </c>
      <c r="J788" s="266" t="s">
        <v>1095</v>
      </c>
      <c r="K788" s="406" t="s">
        <v>6615</v>
      </c>
    </row>
    <row r="789" spans="1:11" x14ac:dyDescent="0.25">
      <c r="A789" s="270" t="s">
        <v>1852</v>
      </c>
      <c r="B789" s="266"/>
      <c r="C789" s="266" t="s">
        <v>969</v>
      </c>
      <c r="D789" s="266" t="s">
        <v>6616</v>
      </c>
      <c r="E789" s="267" t="s">
        <v>6614</v>
      </c>
      <c r="F789" s="267">
        <v>30369</v>
      </c>
      <c r="G789" s="266" t="s">
        <v>6617</v>
      </c>
      <c r="H789" s="266" t="s">
        <v>1855</v>
      </c>
      <c r="I789" s="266" t="s">
        <v>5812</v>
      </c>
      <c r="J789" s="266" t="s">
        <v>985</v>
      </c>
      <c r="K789" s="406" t="s">
        <v>6618</v>
      </c>
    </row>
    <row r="790" spans="1:11" x14ac:dyDescent="0.25">
      <c r="A790" s="270" t="s">
        <v>1856</v>
      </c>
      <c r="B790" s="266"/>
      <c r="C790" s="266" t="s">
        <v>1274</v>
      </c>
      <c r="D790" s="266" t="s">
        <v>6619</v>
      </c>
      <c r="E790" s="267" t="s">
        <v>6614</v>
      </c>
      <c r="F790" s="267">
        <v>30369</v>
      </c>
      <c r="G790" s="266" t="s">
        <v>1858</v>
      </c>
      <c r="H790" s="266" t="s">
        <v>1859</v>
      </c>
      <c r="I790" s="266" t="s">
        <v>5812</v>
      </c>
      <c r="J790" s="266" t="s">
        <v>985</v>
      </c>
      <c r="K790" s="406" t="s">
        <v>6620</v>
      </c>
    </row>
    <row r="791" spans="1:11" x14ac:dyDescent="0.25">
      <c r="A791" s="270" t="s">
        <v>1860</v>
      </c>
      <c r="B791" s="266"/>
      <c r="C791" s="266" t="s">
        <v>1091</v>
      </c>
      <c r="D791" s="266" t="s">
        <v>6621</v>
      </c>
      <c r="E791" s="267" t="s">
        <v>6622</v>
      </c>
      <c r="F791" s="267">
        <v>30375</v>
      </c>
      <c r="G791" s="266" t="s">
        <v>1391</v>
      </c>
      <c r="H791" s="266" t="s">
        <v>436</v>
      </c>
      <c r="I791" s="266" t="s">
        <v>5812</v>
      </c>
      <c r="J791" s="266" t="s">
        <v>1095</v>
      </c>
      <c r="K791" s="406" t="s">
        <v>6623</v>
      </c>
    </row>
    <row r="792" spans="1:11" x14ac:dyDescent="0.25">
      <c r="A792" s="270" t="s">
        <v>1862</v>
      </c>
      <c r="B792" s="266"/>
      <c r="C792" s="266" t="s">
        <v>969</v>
      </c>
      <c r="D792" s="266" t="s">
        <v>6624</v>
      </c>
      <c r="E792" s="267" t="s">
        <v>6625</v>
      </c>
      <c r="F792" s="267">
        <v>30388</v>
      </c>
      <c r="G792" s="266" t="s">
        <v>1855</v>
      </c>
      <c r="H792" s="266" t="s">
        <v>438</v>
      </c>
      <c r="I792" s="266" t="s">
        <v>5812</v>
      </c>
      <c r="J792" s="266" t="s">
        <v>985</v>
      </c>
      <c r="K792" s="406" t="s">
        <v>6626</v>
      </c>
    </row>
    <row r="793" spans="1:11" x14ac:dyDescent="0.25">
      <c r="A793" s="270" t="s">
        <v>1864</v>
      </c>
      <c r="B793" s="266"/>
      <c r="C793" s="266" t="s">
        <v>969</v>
      </c>
      <c r="D793" s="266" t="s">
        <v>6627</v>
      </c>
      <c r="E793" s="267" t="s">
        <v>6625</v>
      </c>
      <c r="F793" s="267">
        <v>30388</v>
      </c>
      <c r="G793" s="266" t="s">
        <v>1855</v>
      </c>
      <c r="H793" s="266" t="s">
        <v>1866</v>
      </c>
      <c r="I793" s="266" t="s">
        <v>5812</v>
      </c>
      <c r="J793" s="266" t="s">
        <v>985</v>
      </c>
      <c r="K793" s="406" t="s">
        <v>6628</v>
      </c>
    </row>
    <row r="794" spans="1:11" x14ac:dyDescent="0.25">
      <c r="A794" s="270" t="s">
        <v>1867</v>
      </c>
      <c r="B794" s="266"/>
      <c r="C794" s="266" t="s">
        <v>969</v>
      </c>
      <c r="D794" s="266" t="s">
        <v>6629</v>
      </c>
      <c r="E794" s="267" t="s">
        <v>6625</v>
      </c>
      <c r="F794" s="267">
        <v>30388</v>
      </c>
      <c r="G794" s="266" t="s">
        <v>1855</v>
      </c>
      <c r="H794" s="266" t="s">
        <v>430</v>
      </c>
      <c r="I794" s="266" t="s">
        <v>5812</v>
      </c>
      <c r="J794" s="266" t="s">
        <v>985</v>
      </c>
      <c r="K794" s="406" t="s">
        <v>6630</v>
      </c>
    </row>
    <row r="795" spans="1:11" x14ac:dyDescent="0.25">
      <c r="A795" s="270" t="s">
        <v>1869</v>
      </c>
      <c r="B795" s="266"/>
      <c r="C795" s="266" t="s">
        <v>969</v>
      </c>
      <c r="D795" s="266" t="s">
        <v>6631</v>
      </c>
      <c r="E795" s="267" t="s">
        <v>6625</v>
      </c>
      <c r="F795" s="267">
        <v>30388</v>
      </c>
      <c r="G795" s="266" t="s">
        <v>1855</v>
      </c>
      <c r="H795" s="266" t="s">
        <v>247</v>
      </c>
      <c r="I795" s="266" t="s">
        <v>5812</v>
      </c>
      <c r="J795" s="266" t="s">
        <v>985</v>
      </c>
      <c r="K795" s="406" t="s">
        <v>6632</v>
      </c>
    </row>
    <row r="796" spans="1:11" x14ac:dyDescent="0.25">
      <c r="A796" s="270" t="s">
        <v>1871</v>
      </c>
      <c r="B796" s="266"/>
      <c r="C796" s="266" t="s">
        <v>969</v>
      </c>
      <c r="D796" s="266" t="s">
        <v>6633</v>
      </c>
      <c r="E796" s="267" t="s">
        <v>6625</v>
      </c>
      <c r="F796" s="267">
        <v>30388</v>
      </c>
      <c r="G796" s="266" t="s">
        <v>1855</v>
      </c>
      <c r="H796" s="266" t="s">
        <v>437</v>
      </c>
      <c r="I796" s="266" t="s">
        <v>5812</v>
      </c>
      <c r="J796" s="266" t="s">
        <v>985</v>
      </c>
      <c r="K796" s="406" t="s">
        <v>6634</v>
      </c>
    </row>
    <row r="797" spans="1:11" x14ac:dyDescent="0.25">
      <c r="A797" s="270" t="s">
        <v>1873</v>
      </c>
      <c r="B797" s="266"/>
      <c r="C797" s="266" t="s">
        <v>309</v>
      </c>
      <c r="D797" s="266" t="s">
        <v>853</v>
      </c>
      <c r="E797" s="267" t="s">
        <v>6635</v>
      </c>
      <c r="F797" s="267">
        <v>30391</v>
      </c>
      <c r="G797" s="266" t="s">
        <v>407</v>
      </c>
      <c r="H797" s="266" t="s">
        <v>383</v>
      </c>
      <c r="I797" s="266" t="s">
        <v>242</v>
      </c>
      <c r="J797" s="266" t="s">
        <v>996</v>
      </c>
      <c r="K797" s="406" t="s">
        <v>6636</v>
      </c>
    </row>
    <row r="798" spans="1:11" x14ac:dyDescent="0.25">
      <c r="A798" s="270" t="s">
        <v>1875</v>
      </c>
      <c r="B798" s="266"/>
      <c r="C798" s="266" t="s">
        <v>309</v>
      </c>
      <c r="D798" s="266" t="s">
        <v>854</v>
      </c>
      <c r="E798" s="267" t="s">
        <v>6637</v>
      </c>
      <c r="F798" s="267">
        <v>30396</v>
      </c>
      <c r="G798" s="266" t="s">
        <v>407</v>
      </c>
      <c r="H798" s="266" t="s">
        <v>383</v>
      </c>
      <c r="I798" s="266" t="s">
        <v>242</v>
      </c>
      <c r="J798" s="266" t="s">
        <v>996</v>
      </c>
      <c r="K798" s="406" t="s">
        <v>6638</v>
      </c>
    </row>
    <row r="799" spans="1:11" x14ac:dyDescent="0.25">
      <c r="A799" s="270" t="s">
        <v>1877</v>
      </c>
      <c r="B799" s="266"/>
      <c r="C799" s="266" t="s">
        <v>114</v>
      </c>
      <c r="D799" s="266" t="s">
        <v>6639</v>
      </c>
      <c r="E799" s="267" t="s">
        <v>6640</v>
      </c>
      <c r="F799" s="267">
        <v>30411</v>
      </c>
      <c r="G799" s="266" t="s">
        <v>1879</v>
      </c>
      <c r="H799" s="266" t="s">
        <v>1880</v>
      </c>
      <c r="I799" s="266" t="s">
        <v>5812</v>
      </c>
      <c r="J799" s="266" t="s">
        <v>996</v>
      </c>
      <c r="K799" s="406" t="s">
        <v>6641</v>
      </c>
    </row>
    <row r="800" spans="1:11" x14ac:dyDescent="0.25">
      <c r="A800" s="270" t="s">
        <v>1881</v>
      </c>
      <c r="B800" s="266"/>
      <c r="C800" s="266" t="s">
        <v>114</v>
      </c>
      <c r="D800" s="266" t="s">
        <v>6642</v>
      </c>
      <c r="E800" s="267" t="s">
        <v>6643</v>
      </c>
      <c r="F800" s="267">
        <v>30433</v>
      </c>
      <c r="G800" s="266" t="s">
        <v>1883</v>
      </c>
      <c r="H800" s="266" t="s">
        <v>1884</v>
      </c>
      <c r="I800" s="266" t="s">
        <v>6193</v>
      </c>
      <c r="J800" s="266" t="s">
        <v>996</v>
      </c>
      <c r="K800" s="406" t="s">
        <v>6644</v>
      </c>
    </row>
    <row r="801" spans="1:11" x14ac:dyDescent="0.25">
      <c r="A801" s="270" t="s">
        <v>1885</v>
      </c>
      <c r="B801" s="266"/>
      <c r="C801" s="266" t="s">
        <v>309</v>
      </c>
      <c r="D801" s="266" t="s">
        <v>855</v>
      </c>
      <c r="E801" s="267" t="s">
        <v>6645</v>
      </c>
      <c r="F801" s="267">
        <v>30438</v>
      </c>
      <c r="G801" s="266" t="s">
        <v>348</v>
      </c>
      <c r="H801" s="266" t="s">
        <v>856</v>
      </c>
      <c r="I801" s="266" t="s">
        <v>5812</v>
      </c>
      <c r="J801" s="266" t="s">
        <v>996</v>
      </c>
      <c r="K801" s="406" t="s">
        <v>6646</v>
      </c>
    </row>
    <row r="802" spans="1:11" x14ac:dyDescent="0.25">
      <c r="A802" s="270" t="s">
        <v>1887</v>
      </c>
      <c r="B802" s="266"/>
      <c r="C802" s="266" t="s">
        <v>309</v>
      </c>
      <c r="D802" s="266" t="s">
        <v>857</v>
      </c>
      <c r="E802" s="267" t="s">
        <v>6645</v>
      </c>
      <c r="F802" s="267">
        <v>30438</v>
      </c>
      <c r="G802" s="266" t="s">
        <v>340</v>
      </c>
      <c r="H802" s="266" t="s">
        <v>856</v>
      </c>
      <c r="I802" s="266" t="s">
        <v>242</v>
      </c>
      <c r="J802" s="266" t="s">
        <v>996</v>
      </c>
      <c r="K802" s="406" t="s">
        <v>6647</v>
      </c>
    </row>
    <row r="803" spans="1:11" x14ac:dyDescent="0.25">
      <c r="A803" s="270" t="s">
        <v>1889</v>
      </c>
      <c r="B803" s="266"/>
      <c r="C803" s="266" t="s">
        <v>309</v>
      </c>
      <c r="D803" s="266" t="s">
        <v>858</v>
      </c>
      <c r="E803" s="267" t="s">
        <v>6648</v>
      </c>
      <c r="F803" s="267">
        <v>30445</v>
      </c>
      <c r="G803" s="266" t="s">
        <v>345</v>
      </c>
      <c r="H803" s="266" t="s">
        <v>856</v>
      </c>
      <c r="I803" s="266" t="s">
        <v>242</v>
      </c>
      <c r="J803" s="266" t="s">
        <v>996</v>
      </c>
      <c r="K803" s="406" t="s">
        <v>6649</v>
      </c>
    </row>
    <row r="804" spans="1:11" x14ac:dyDescent="0.25">
      <c r="A804" s="270" t="s">
        <v>1891</v>
      </c>
      <c r="B804" s="266"/>
      <c r="C804" s="266" t="s">
        <v>309</v>
      </c>
      <c r="D804" s="266" t="s">
        <v>859</v>
      </c>
      <c r="E804" s="267" t="s">
        <v>6648</v>
      </c>
      <c r="F804" s="267">
        <v>30445</v>
      </c>
      <c r="G804" s="266" t="s">
        <v>420</v>
      </c>
      <c r="H804" s="266" t="s">
        <v>856</v>
      </c>
      <c r="I804" s="266" t="s">
        <v>242</v>
      </c>
      <c r="J804" s="266" t="s">
        <v>996</v>
      </c>
      <c r="K804" s="406" t="s">
        <v>6650</v>
      </c>
    </row>
    <row r="805" spans="1:11" x14ac:dyDescent="0.25">
      <c r="A805" s="270" t="s">
        <v>1893</v>
      </c>
      <c r="B805" s="266"/>
      <c r="C805" s="266" t="s">
        <v>114</v>
      </c>
      <c r="D805" s="266" t="s">
        <v>6651</v>
      </c>
      <c r="E805" s="267" t="s">
        <v>6652</v>
      </c>
      <c r="F805" s="267">
        <v>30490</v>
      </c>
      <c r="G805" s="266" t="s">
        <v>1895</v>
      </c>
      <c r="H805" s="266" t="s">
        <v>1896</v>
      </c>
      <c r="I805" s="266" t="s">
        <v>242</v>
      </c>
      <c r="J805" s="266" t="s">
        <v>996</v>
      </c>
      <c r="K805" s="406" t="s">
        <v>6653</v>
      </c>
    </row>
    <row r="806" spans="1:11" x14ac:dyDescent="0.25">
      <c r="A806" s="270" t="s">
        <v>1897</v>
      </c>
      <c r="B806" s="266"/>
      <c r="C806" s="266" t="s">
        <v>309</v>
      </c>
      <c r="D806" s="266" t="s">
        <v>860</v>
      </c>
      <c r="E806" s="267" t="s">
        <v>6654</v>
      </c>
      <c r="F806" s="267">
        <v>30536</v>
      </c>
      <c r="G806" s="266" t="s">
        <v>421</v>
      </c>
      <c r="H806" s="266" t="s">
        <v>862</v>
      </c>
      <c r="I806" s="266" t="s">
        <v>242</v>
      </c>
      <c r="J806" s="266" t="s">
        <v>996</v>
      </c>
      <c r="K806" s="406" t="s">
        <v>6655</v>
      </c>
    </row>
    <row r="807" spans="1:11" x14ac:dyDescent="0.25">
      <c r="A807" s="270" t="s">
        <v>1899</v>
      </c>
      <c r="B807" s="266"/>
      <c r="C807" s="266" t="s">
        <v>114</v>
      </c>
      <c r="D807" s="266" t="s">
        <v>6656</v>
      </c>
      <c r="E807" s="267" t="s">
        <v>6654</v>
      </c>
      <c r="F807" s="267">
        <v>30536</v>
      </c>
      <c r="G807" s="266" t="s">
        <v>1901</v>
      </c>
      <c r="H807" s="266" t="s">
        <v>1784</v>
      </c>
      <c r="I807" s="266" t="s">
        <v>242</v>
      </c>
      <c r="J807" s="266" t="s">
        <v>996</v>
      </c>
      <c r="K807" s="406" t="s">
        <v>6657</v>
      </c>
    </row>
    <row r="808" spans="1:11" x14ac:dyDescent="0.25">
      <c r="A808" s="270" t="s">
        <v>1903</v>
      </c>
      <c r="B808" s="266"/>
      <c r="C808" s="266" t="s">
        <v>309</v>
      </c>
      <c r="D808" s="266" t="s">
        <v>863</v>
      </c>
      <c r="E808" s="267" t="s">
        <v>6654</v>
      </c>
      <c r="F808" s="267">
        <v>30536</v>
      </c>
      <c r="G808" s="266" t="s">
        <v>423</v>
      </c>
      <c r="H808" s="266" t="s">
        <v>862</v>
      </c>
      <c r="I808" s="266" t="s">
        <v>242</v>
      </c>
      <c r="J808" s="266" t="s">
        <v>996</v>
      </c>
      <c r="K808" s="406" t="s">
        <v>6658</v>
      </c>
    </row>
    <row r="809" spans="1:11" x14ac:dyDescent="0.25">
      <c r="A809" s="270" t="s">
        <v>1905</v>
      </c>
      <c r="B809" s="266"/>
      <c r="C809" s="266" t="s">
        <v>114</v>
      </c>
      <c r="D809" s="266" t="s">
        <v>6659</v>
      </c>
      <c r="E809" s="267" t="s">
        <v>6654</v>
      </c>
      <c r="F809" s="267">
        <v>30536</v>
      </c>
      <c r="G809" s="266" t="s">
        <v>1901</v>
      </c>
      <c r="H809" s="266" t="s">
        <v>1784</v>
      </c>
      <c r="I809" s="266" t="s">
        <v>242</v>
      </c>
      <c r="J809" s="266" t="s">
        <v>996</v>
      </c>
      <c r="K809" s="406" t="s">
        <v>6660</v>
      </c>
    </row>
    <row r="810" spans="1:11" x14ac:dyDescent="0.25">
      <c r="A810" s="270" t="s">
        <v>1907</v>
      </c>
      <c r="B810" s="266"/>
      <c r="C810" s="266" t="s">
        <v>993</v>
      </c>
      <c r="D810" s="266" t="s">
        <v>6661</v>
      </c>
      <c r="E810" s="267" t="s">
        <v>6662</v>
      </c>
      <c r="F810" s="267">
        <v>30557</v>
      </c>
      <c r="G810" s="266" t="s">
        <v>1909</v>
      </c>
      <c r="H810" s="266" t="s">
        <v>1910</v>
      </c>
      <c r="I810" s="266" t="s">
        <v>6455</v>
      </c>
      <c r="J810" s="266" t="s">
        <v>996</v>
      </c>
      <c r="K810" s="406" t="s">
        <v>6663</v>
      </c>
    </row>
    <row r="811" spans="1:11" x14ac:dyDescent="0.25">
      <c r="A811" s="270" t="s">
        <v>1911</v>
      </c>
      <c r="B811" s="266"/>
      <c r="C811" s="266" t="s">
        <v>309</v>
      </c>
      <c r="D811" s="266" t="s">
        <v>865</v>
      </c>
      <c r="E811" s="267" t="s">
        <v>6664</v>
      </c>
      <c r="F811" s="267">
        <v>30656</v>
      </c>
      <c r="G811" s="266" t="s">
        <v>286</v>
      </c>
      <c r="H811" s="266" t="s">
        <v>383</v>
      </c>
      <c r="I811" s="266" t="s">
        <v>242</v>
      </c>
      <c r="J811" s="266" t="s">
        <v>996</v>
      </c>
      <c r="K811" s="406" t="s">
        <v>6665</v>
      </c>
    </row>
    <row r="812" spans="1:11" x14ac:dyDescent="0.25">
      <c r="A812" s="270" t="s">
        <v>1913</v>
      </c>
      <c r="B812" s="266"/>
      <c r="C812" s="266" t="s">
        <v>309</v>
      </c>
      <c r="D812" s="266" t="s">
        <v>866</v>
      </c>
      <c r="E812" s="267" t="s">
        <v>6664</v>
      </c>
      <c r="F812" s="267">
        <v>30656</v>
      </c>
      <c r="G812" s="266" t="s">
        <v>404</v>
      </c>
      <c r="H812" s="266" t="s">
        <v>383</v>
      </c>
      <c r="I812" s="266" t="s">
        <v>242</v>
      </c>
      <c r="J812" s="266" t="s">
        <v>996</v>
      </c>
      <c r="K812" s="406" t="s">
        <v>6666</v>
      </c>
    </row>
    <row r="813" spans="1:11" x14ac:dyDescent="0.25">
      <c r="A813" s="270" t="s">
        <v>1915</v>
      </c>
      <c r="B813" s="266"/>
      <c r="C813" s="266" t="s">
        <v>1317</v>
      </c>
      <c r="D813" s="266" t="s">
        <v>6667</v>
      </c>
      <c r="E813" s="267" t="s">
        <v>6668</v>
      </c>
      <c r="F813" s="267">
        <v>30666</v>
      </c>
      <c r="G813" s="266" t="s">
        <v>1917</v>
      </c>
      <c r="H813" s="266" t="s">
        <v>1110</v>
      </c>
      <c r="I813" s="266" t="s">
        <v>242</v>
      </c>
      <c r="J813" s="266" t="s">
        <v>1095</v>
      </c>
      <c r="K813" s="406" t="s">
        <v>6669</v>
      </c>
    </row>
    <row r="814" spans="1:11" x14ac:dyDescent="0.25">
      <c r="A814" s="270" t="s">
        <v>1918</v>
      </c>
      <c r="B814" s="266"/>
      <c r="C814" s="266" t="s">
        <v>309</v>
      </c>
      <c r="D814" s="266" t="s">
        <v>867</v>
      </c>
      <c r="E814" s="267" t="s">
        <v>6670</v>
      </c>
      <c r="F814" s="267">
        <v>30726</v>
      </c>
      <c r="G814" s="266" t="s">
        <v>1920</v>
      </c>
      <c r="H814" s="266" t="s">
        <v>383</v>
      </c>
      <c r="I814" s="266" t="s">
        <v>242</v>
      </c>
      <c r="J814" s="266" t="s">
        <v>996</v>
      </c>
      <c r="K814" s="406" t="s">
        <v>6671</v>
      </c>
    </row>
    <row r="815" spans="1:11" x14ac:dyDescent="0.25">
      <c r="A815" s="270" t="s">
        <v>1921</v>
      </c>
      <c r="B815" s="266"/>
      <c r="C815" s="266" t="s">
        <v>309</v>
      </c>
      <c r="D815" s="266" t="s">
        <v>869</v>
      </c>
      <c r="E815" s="267" t="s">
        <v>6672</v>
      </c>
      <c r="F815" s="267">
        <v>30728</v>
      </c>
      <c r="G815" s="266" t="s">
        <v>425</v>
      </c>
      <c r="H815" s="266" t="s">
        <v>426</v>
      </c>
      <c r="I815" s="266" t="s">
        <v>5812</v>
      </c>
      <c r="J815" s="266" t="s">
        <v>996</v>
      </c>
      <c r="K815" s="406" t="s">
        <v>6673</v>
      </c>
    </row>
    <row r="816" spans="1:11" x14ac:dyDescent="0.25">
      <c r="A816" s="270" t="s">
        <v>1923</v>
      </c>
      <c r="B816" s="266"/>
      <c r="C816" s="266" t="s">
        <v>309</v>
      </c>
      <c r="D816" s="266" t="s">
        <v>871</v>
      </c>
      <c r="E816" s="267" t="s">
        <v>6674</v>
      </c>
      <c r="F816" s="267">
        <v>30736</v>
      </c>
      <c r="G816" s="266" t="s">
        <v>247</v>
      </c>
      <c r="H816" s="266" t="s">
        <v>383</v>
      </c>
      <c r="I816" s="266" t="s">
        <v>242</v>
      </c>
      <c r="J816" s="266" t="s">
        <v>996</v>
      </c>
      <c r="K816" s="406" t="s">
        <v>6675</v>
      </c>
    </row>
    <row r="817" spans="1:11" x14ac:dyDescent="0.25">
      <c r="A817" s="270" t="s">
        <v>1925</v>
      </c>
      <c r="B817" s="266"/>
      <c r="C817" s="266" t="s">
        <v>309</v>
      </c>
      <c r="D817" s="266" t="s">
        <v>872</v>
      </c>
      <c r="E817" s="267" t="s">
        <v>6674</v>
      </c>
      <c r="F817" s="267">
        <v>30736</v>
      </c>
      <c r="G817" s="266" t="s">
        <v>428</v>
      </c>
      <c r="H817" s="266" t="s">
        <v>383</v>
      </c>
      <c r="I817" s="266" t="s">
        <v>242</v>
      </c>
      <c r="J817" s="266" t="s">
        <v>996</v>
      </c>
      <c r="K817" s="406" t="s">
        <v>6676</v>
      </c>
    </row>
    <row r="818" spans="1:11" x14ac:dyDescent="0.25">
      <c r="A818" s="270" t="s">
        <v>1927</v>
      </c>
      <c r="B818" s="266"/>
      <c r="C818" s="266" t="s">
        <v>309</v>
      </c>
      <c r="D818" s="266" t="s">
        <v>875</v>
      </c>
      <c r="E818" s="267" t="s">
        <v>6674</v>
      </c>
      <c r="F818" s="267">
        <v>30736</v>
      </c>
      <c r="G818" s="266" t="s">
        <v>430</v>
      </c>
      <c r="H818" s="266" t="s">
        <v>383</v>
      </c>
      <c r="I818" s="266" t="s">
        <v>242</v>
      </c>
      <c r="J818" s="266" t="s">
        <v>996</v>
      </c>
      <c r="K818" s="406" t="s">
        <v>6677</v>
      </c>
    </row>
    <row r="819" spans="1:11" x14ac:dyDescent="0.25">
      <c r="A819" s="270" t="s">
        <v>1929</v>
      </c>
      <c r="B819" s="266"/>
      <c r="C819" s="266" t="s">
        <v>309</v>
      </c>
      <c r="D819" s="266" t="s">
        <v>876</v>
      </c>
      <c r="E819" s="267" t="s">
        <v>6674</v>
      </c>
      <c r="F819" s="267">
        <v>30736</v>
      </c>
      <c r="G819" s="266" t="s">
        <v>252</v>
      </c>
      <c r="H819" s="266" t="s">
        <v>383</v>
      </c>
      <c r="I819" s="266" t="s">
        <v>242</v>
      </c>
      <c r="J819" s="266" t="s">
        <v>996</v>
      </c>
      <c r="K819" s="406" t="s">
        <v>6678</v>
      </c>
    </row>
    <row r="820" spans="1:11" x14ac:dyDescent="0.25">
      <c r="A820" s="270" t="s">
        <v>1931</v>
      </c>
      <c r="B820" s="266"/>
      <c r="C820" s="266" t="s">
        <v>309</v>
      </c>
      <c r="D820" s="266" t="s">
        <v>877</v>
      </c>
      <c r="E820" s="267" t="s">
        <v>6674</v>
      </c>
      <c r="F820" s="267">
        <v>30736</v>
      </c>
      <c r="G820" s="266" t="s">
        <v>263</v>
      </c>
      <c r="H820" s="266" t="s">
        <v>383</v>
      </c>
      <c r="I820" s="266" t="s">
        <v>242</v>
      </c>
      <c r="J820" s="266" t="s">
        <v>996</v>
      </c>
      <c r="K820" s="406" t="s">
        <v>6679</v>
      </c>
    </row>
    <row r="821" spans="1:11" x14ac:dyDescent="0.25">
      <c r="A821" s="270" t="s">
        <v>1933</v>
      </c>
      <c r="B821" s="266"/>
      <c r="C821" s="266" t="s">
        <v>309</v>
      </c>
      <c r="D821" s="266" t="s">
        <v>878</v>
      </c>
      <c r="E821" s="267" t="s">
        <v>6674</v>
      </c>
      <c r="F821" s="267">
        <v>30736</v>
      </c>
      <c r="G821" s="266" t="s">
        <v>394</v>
      </c>
      <c r="H821" s="266" t="s">
        <v>383</v>
      </c>
      <c r="I821" s="266" t="s">
        <v>242</v>
      </c>
      <c r="J821" s="266" t="s">
        <v>996</v>
      </c>
      <c r="K821" s="406" t="s">
        <v>6680</v>
      </c>
    </row>
    <row r="822" spans="1:11" x14ac:dyDescent="0.25">
      <c r="A822" s="270" t="s">
        <v>1935</v>
      </c>
      <c r="B822" s="266"/>
      <c r="C822" s="266" t="s">
        <v>309</v>
      </c>
      <c r="D822" s="266" t="s">
        <v>879</v>
      </c>
      <c r="E822" s="267" t="s">
        <v>6674</v>
      </c>
      <c r="F822" s="267">
        <v>30736</v>
      </c>
      <c r="G822" s="266" t="s">
        <v>396</v>
      </c>
      <c r="H822" s="266" t="s">
        <v>383</v>
      </c>
      <c r="I822" s="266" t="s">
        <v>242</v>
      </c>
      <c r="J822" s="266" t="s">
        <v>996</v>
      </c>
      <c r="K822" s="406" t="s">
        <v>6681</v>
      </c>
    </row>
    <row r="823" spans="1:11" x14ac:dyDescent="0.25">
      <c r="A823" s="270" t="s">
        <v>1937</v>
      </c>
      <c r="B823" s="266"/>
      <c r="C823" s="266" t="s">
        <v>309</v>
      </c>
      <c r="D823" s="266" t="s">
        <v>880</v>
      </c>
      <c r="E823" s="267" t="s">
        <v>6674</v>
      </c>
      <c r="F823" s="267">
        <v>30736</v>
      </c>
      <c r="G823" s="266" t="s">
        <v>397</v>
      </c>
      <c r="H823" s="266" t="s">
        <v>383</v>
      </c>
      <c r="I823" s="266" t="s">
        <v>242</v>
      </c>
      <c r="J823" s="266" t="s">
        <v>996</v>
      </c>
      <c r="K823" s="406" t="s">
        <v>6682</v>
      </c>
    </row>
    <row r="824" spans="1:11" x14ac:dyDescent="0.25">
      <c r="A824" s="270" t="s">
        <v>1939</v>
      </c>
      <c r="B824" s="266"/>
      <c r="C824" s="266" t="s">
        <v>309</v>
      </c>
      <c r="D824" s="266" t="s">
        <v>881</v>
      </c>
      <c r="E824" s="267" t="s">
        <v>6674</v>
      </c>
      <c r="F824" s="267">
        <v>30736</v>
      </c>
      <c r="G824" s="266" t="s">
        <v>1941</v>
      </c>
      <c r="H824" s="266" t="s">
        <v>383</v>
      </c>
      <c r="I824" s="266" t="s">
        <v>242</v>
      </c>
      <c r="J824" s="266" t="s">
        <v>996</v>
      </c>
      <c r="K824" s="406" t="s">
        <v>6683</v>
      </c>
    </row>
    <row r="825" spans="1:11" x14ac:dyDescent="0.25">
      <c r="A825" s="270" t="s">
        <v>1942</v>
      </c>
      <c r="B825" s="266"/>
      <c r="C825" s="266" t="s">
        <v>309</v>
      </c>
      <c r="D825" s="266" t="s">
        <v>873</v>
      </c>
      <c r="E825" s="267" t="s">
        <v>6674</v>
      </c>
      <c r="F825" s="267">
        <v>30736</v>
      </c>
      <c r="G825" s="266" t="s">
        <v>6684</v>
      </c>
      <c r="H825" s="266" t="s">
        <v>383</v>
      </c>
      <c r="I825" s="266" t="s">
        <v>242</v>
      </c>
      <c r="J825" s="266" t="s">
        <v>996</v>
      </c>
      <c r="K825" s="406" t="s">
        <v>6685</v>
      </c>
    </row>
    <row r="826" spans="1:11" x14ac:dyDescent="0.25">
      <c r="A826" s="270" t="s">
        <v>1945</v>
      </c>
      <c r="B826" s="266"/>
      <c r="C826" s="266" t="s">
        <v>309</v>
      </c>
      <c r="D826" s="266" t="s">
        <v>886</v>
      </c>
      <c r="E826" s="267" t="s">
        <v>6686</v>
      </c>
      <c r="F826" s="267">
        <v>30739</v>
      </c>
      <c r="G826" s="266" t="s">
        <v>1947</v>
      </c>
      <c r="H826" s="266" t="s">
        <v>383</v>
      </c>
      <c r="I826" s="266" t="s">
        <v>242</v>
      </c>
      <c r="J826" s="266" t="s">
        <v>996</v>
      </c>
      <c r="K826" s="406" t="s">
        <v>6687</v>
      </c>
    </row>
    <row r="827" spans="1:11" x14ac:dyDescent="0.25">
      <c r="A827" s="270" t="s">
        <v>1948</v>
      </c>
      <c r="B827" s="266"/>
      <c r="C827" s="266" t="s">
        <v>309</v>
      </c>
      <c r="D827" s="266" t="s">
        <v>882</v>
      </c>
      <c r="E827" s="267" t="s">
        <v>6686</v>
      </c>
      <c r="F827" s="267">
        <v>30739</v>
      </c>
      <c r="G827" s="266" t="s">
        <v>392</v>
      </c>
      <c r="H827" s="266" t="s">
        <v>383</v>
      </c>
      <c r="I827" s="266" t="s">
        <v>242</v>
      </c>
      <c r="J827" s="266" t="s">
        <v>996</v>
      </c>
      <c r="K827" s="406" t="s">
        <v>6688</v>
      </c>
    </row>
    <row r="828" spans="1:11" x14ac:dyDescent="0.25">
      <c r="A828" s="270" t="s">
        <v>1950</v>
      </c>
      <c r="B828" s="266"/>
      <c r="C828" s="266" t="s">
        <v>309</v>
      </c>
      <c r="D828" s="266" t="s">
        <v>883</v>
      </c>
      <c r="E828" s="267" t="s">
        <v>6686</v>
      </c>
      <c r="F828" s="267">
        <v>30739</v>
      </c>
      <c r="G828" s="266" t="s">
        <v>6617</v>
      </c>
      <c r="H828" s="266" t="s">
        <v>383</v>
      </c>
      <c r="I828" s="266" t="s">
        <v>242</v>
      </c>
      <c r="J828" s="266" t="s">
        <v>996</v>
      </c>
      <c r="K828" s="406" t="s">
        <v>6689</v>
      </c>
    </row>
    <row r="829" spans="1:11" x14ac:dyDescent="0.25">
      <c r="A829" s="270" t="s">
        <v>1952</v>
      </c>
      <c r="B829" s="266"/>
      <c r="C829" s="266" t="s">
        <v>309</v>
      </c>
      <c r="D829" s="266" t="s">
        <v>885</v>
      </c>
      <c r="E829" s="267" t="s">
        <v>6686</v>
      </c>
      <c r="F829" s="267">
        <v>30739</v>
      </c>
      <c r="G829" s="266" t="s">
        <v>433</v>
      </c>
      <c r="H829" s="266" t="s">
        <v>383</v>
      </c>
      <c r="I829" s="266" t="s">
        <v>242</v>
      </c>
      <c r="J829" s="266" t="s">
        <v>996</v>
      </c>
      <c r="K829" s="406" t="s">
        <v>6690</v>
      </c>
    </row>
    <row r="830" spans="1:11" x14ac:dyDescent="0.25">
      <c r="A830" s="270" t="s">
        <v>1954</v>
      </c>
      <c r="B830" s="266"/>
      <c r="C830" s="266" t="s">
        <v>309</v>
      </c>
      <c r="D830" s="266" t="s">
        <v>887</v>
      </c>
      <c r="E830" s="267" t="s">
        <v>6691</v>
      </c>
      <c r="F830" s="267">
        <v>30741</v>
      </c>
      <c r="G830" s="266" t="s">
        <v>400</v>
      </c>
      <c r="H830" s="266" t="s">
        <v>383</v>
      </c>
      <c r="I830" s="266" t="s">
        <v>242</v>
      </c>
      <c r="J830" s="266" t="s">
        <v>996</v>
      </c>
      <c r="K830" s="406" t="s">
        <v>6692</v>
      </c>
    </row>
    <row r="831" spans="1:11" x14ac:dyDescent="0.25">
      <c r="A831" s="270" t="s">
        <v>1956</v>
      </c>
      <c r="B831" s="266"/>
      <c r="C831" s="266" t="s">
        <v>309</v>
      </c>
      <c r="D831" s="266" t="s">
        <v>888</v>
      </c>
      <c r="E831" s="267" t="s">
        <v>6693</v>
      </c>
      <c r="F831" s="267">
        <v>30742</v>
      </c>
      <c r="G831" s="266" t="s">
        <v>1958</v>
      </c>
      <c r="H831" s="266" t="s">
        <v>383</v>
      </c>
      <c r="I831" s="266" t="s">
        <v>242</v>
      </c>
      <c r="J831" s="266" t="s">
        <v>996</v>
      </c>
      <c r="K831" s="406" t="s">
        <v>6694</v>
      </c>
    </row>
    <row r="832" spans="1:11" x14ac:dyDescent="0.25">
      <c r="A832" s="270" t="s">
        <v>1959</v>
      </c>
      <c r="B832" s="266"/>
      <c r="C832" s="266" t="s">
        <v>309</v>
      </c>
      <c r="D832" s="266" t="s">
        <v>889</v>
      </c>
      <c r="E832" s="267" t="s">
        <v>6695</v>
      </c>
      <c r="F832" s="267">
        <v>30748</v>
      </c>
      <c r="G832" s="266" t="s">
        <v>435</v>
      </c>
      <c r="H832" s="266" t="s">
        <v>383</v>
      </c>
      <c r="I832" s="266" t="s">
        <v>242</v>
      </c>
      <c r="J832" s="266" t="s">
        <v>996</v>
      </c>
      <c r="K832" s="406" t="s">
        <v>6696</v>
      </c>
    </row>
    <row r="833" spans="1:11" x14ac:dyDescent="0.25">
      <c r="A833" s="270" t="s">
        <v>1961</v>
      </c>
      <c r="B833" s="266"/>
      <c r="C833" s="266" t="s">
        <v>309</v>
      </c>
      <c r="D833" s="266" t="s">
        <v>890</v>
      </c>
      <c r="E833" s="267" t="s">
        <v>6697</v>
      </c>
      <c r="F833" s="267">
        <v>30749</v>
      </c>
      <c r="G833" s="266" t="s">
        <v>436</v>
      </c>
      <c r="H833" s="266" t="s">
        <v>383</v>
      </c>
      <c r="I833" s="266" t="s">
        <v>242</v>
      </c>
      <c r="J833" s="266" t="s">
        <v>996</v>
      </c>
      <c r="K833" s="406" t="s">
        <v>6698</v>
      </c>
    </row>
    <row r="834" spans="1:11" x14ac:dyDescent="0.25">
      <c r="A834" s="270" t="s">
        <v>1963</v>
      </c>
      <c r="B834" s="266"/>
      <c r="C834" s="266" t="s">
        <v>309</v>
      </c>
      <c r="D834" s="266" t="s">
        <v>891</v>
      </c>
      <c r="E834" s="267" t="s">
        <v>6699</v>
      </c>
      <c r="F834" s="267">
        <v>30756</v>
      </c>
      <c r="G834" s="266" t="s">
        <v>437</v>
      </c>
      <c r="H834" s="266" t="s">
        <v>383</v>
      </c>
      <c r="I834" s="266" t="s">
        <v>242</v>
      </c>
      <c r="J834" s="266" t="s">
        <v>996</v>
      </c>
      <c r="K834" s="406" t="s">
        <v>6700</v>
      </c>
    </row>
    <row r="835" spans="1:11" x14ac:dyDescent="0.25">
      <c r="A835" s="270" t="s">
        <v>1965</v>
      </c>
      <c r="B835" s="266"/>
      <c r="C835" s="266" t="s">
        <v>309</v>
      </c>
      <c r="D835" s="266" t="s">
        <v>892</v>
      </c>
      <c r="E835" s="267" t="s">
        <v>6699</v>
      </c>
      <c r="F835" s="267">
        <v>30756</v>
      </c>
      <c r="G835" s="266" t="s">
        <v>438</v>
      </c>
      <c r="H835" s="266" t="s">
        <v>383</v>
      </c>
      <c r="I835" s="266" t="s">
        <v>242</v>
      </c>
      <c r="J835" s="266" t="s">
        <v>996</v>
      </c>
      <c r="K835" s="406" t="s">
        <v>6701</v>
      </c>
    </row>
    <row r="836" spans="1:11" x14ac:dyDescent="0.25">
      <c r="A836" s="270" t="s">
        <v>1967</v>
      </c>
      <c r="B836" s="266"/>
      <c r="C836" s="266" t="s">
        <v>309</v>
      </c>
      <c r="D836" s="266" t="s">
        <v>893</v>
      </c>
      <c r="E836" s="267" t="s">
        <v>6699</v>
      </c>
      <c r="F836" s="267">
        <v>30756</v>
      </c>
      <c r="G836" s="266" t="s">
        <v>240</v>
      </c>
      <c r="H836" s="266" t="s">
        <v>383</v>
      </c>
      <c r="I836" s="266" t="s">
        <v>242</v>
      </c>
      <c r="J836" s="266" t="s">
        <v>996</v>
      </c>
      <c r="K836" s="406" t="s">
        <v>6702</v>
      </c>
    </row>
    <row r="837" spans="1:11" x14ac:dyDescent="0.25">
      <c r="A837" s="270" t="s">
        <v>1969</v>
      </c>
      <c r="B837" s="266"/>
      <c r="C837" s="266" t="s">
        <v>114</v>
      </c>
      <c r="D837" s="266" t="s">
        <v>6703</v>
      </c>
      <c r="E837" s="267" t="s">
        <v>6704</v>
      </c>
      <c r="F837" s="267">
        <v>30757</v>
      </c>
      <c r="G837" s="266" t="s">
        <v>1628</v>
      </c>
      <c r="H837" s="266" t="s">
        <v>1971</v>
      </c>
      <c r="I837" s="266" t="s">
        <v>6193</v>
      </c>
      <c r="J837" s="266" t="s">
        <v>996</v>
      </c>
      <c r="K837" s="406" t="s">
        <v>6705</v>
      </c>
    </row>
    <row r="838" spans="1:11" x14ac:dyDescent="0.25">
      <c r="A838" s="270" t="s">
        <v>1972</v>
      </c>
      <c r="B838" s="266"/>
      <c r="C838" s="266" t="s">
        <v>993</v>
      </c>
      <c r="D838" s="266" t="s">
        <v>6706</v>
      </c>
      <c r="E838" s="267" t="s">
        <v>6707</v>
      </c>
      <c r="F838" s="267">
        <v>30769</v>
      </c>
      <c r="G838" s="266" t="s">
        <v>1309</v>
      </c>
      <c r="H838" s="266" t="s">
        <v>1974</v>
      </c>
      <c r="I838" s="266" t="s">
        <v>242</v>
      </c>
      <c r="J838" s="266" t="s">
        <v>996</v>
      </c>
      <c r="K838" s="406" t="s">
        <v>6708</v>
      </c>
    </row>
    <row r="839" spans="1:11" x14ac:dyDescent="0.25">
      <c r="A839" s="270" t="s">
        <v>1975</v>
      </c>
      <c r="B839" s="266"/>
      <c r="C839" s="266" t="s">
        <v>114</v>
      </c>
      <c r="D839" s="266" t="s">
        <v>6709</v>
      </c>
      <c r="E839" s="267" t="s">
        <v>6707</v>
      </c>
      <c r="F839" s="267">
        <v>30769</v>
      </c>
      <c r="G839" s="266" t="s">
        <v>1772</v>
      </c>
      <c r="H839" s="266" t="s">
        <v>1977</v>
      </c>
      <c r="I839" s="266" t="s">
        <v>5812</v>
      </c>
      <c r="J839" s="266" t="s">
        <v>996</v>
      </c>
      <c r="K839" s="406" t="s">
        <v>6710</v>
      </c>
    </row>
    <row r="840" spans="1:11" x14ac:dyDescent="0.25">
      <c r="A840" s="270" t="s">
        <v>1978</v>
      </c>
      <c r="B840" s="266"/>
      <c r="C840" s="266" t="s">
        <v>1623</v>
      </c>
      <c r="D840" s="266" t="s">
        <v>6711</v>
      </c>
      <c r="E840" s="267" t="s">
        <v>6712</v>
      </c>
      <c r="F840" s="267">
        <v>30741</v>
      </c>
      <c r="G840" s="266" t="s">
        <v>1772</v>
      </c>
      <c r="H840" s="266" t="s">
        <v>1977</v>
      </c>
      <c r="I840" s="266" t="s">
        <v>6713</v>
      </c>
      <c r="J840" s="266" t="s">
        <v>1625</v>
      </c>
      <c r="K840" s="406" t="s">
        <v>6714</v>
      </c>
    </row>
    <row r="841" spans="1:11" x14ac:dyDescent="0.25">
      <c r="A841" s="270" t="s">
        <v>1981</v>
      </c>
      <c r="B841" s="266"/>
      <c r="C841" s="266" t="s">
        <v>1623</v>
      </c>
      <c r="D841" s="266" t="s">
        <v>6715</v>
      </c>
      <c r="E841" s="267" t="s">
        <v>6712</v>
      </c>
      <c r="F841" s="267">
        <v>30770</v>
      </c>
      <c r="G841" s="266" t="s">
        <v>1772</v>
      </c>
      <c r="H841" s="266" t="s">
        <v>1983</v>
      </c>
      <c r="I841" s="266" t="s">
        <v>6713</v>
      </c>
      <c r="J841" s="266" t="s">
        <v>1625</v>
      </c>
      <c r="K841" s="406" t="s">
        <v>6716</v>
      </c>
    </row>
    <row r="842" spans="1:11" x14ac:dyDescent="0.25">
      <c r="A842" s="270" t="s">
        <v>1984</v>
      </c>
      <c r="B842" s="266"/>
      <c r="C842" s="266" t="s">
        <v>1623</v>
      </c>
      <c r="D842" s="266" t="s">
        <v>6717</v>
      </c>
      <c r="E842" s="267" t="s">
        <v>6718</v>
      </c>
      <c r="F842" s="267">
        <v>30791</v>
      </c>
      <c r="G842" s="266" t="s">
        <v>400</v>
      </c>
      <c r="H842" s="266" t="s">
        <v>1986</v>
      </c>
      <c r="I842" s="266" t="s">
        <v>5812</v>
      </c>
      <c r="J842" s="266" t="s">
        <v>1625</v>
      </c>
      <c r="K842" s="406" t="s">
        <v>6719</v>
      </c>
    </row>
    <row r="843" spans="1:11" x14ac:dyDescent="0.25">
      <c r="A843" s="270" t="s">
        <v>1987</v>
      </c>
      <c r="B843" s="266"/>
      <c r="C843" s="266" t="s">
        <v>114</v>
      </c>
      <c r="D843" s="266" t="s">
        <v>6720</v>
      </c>
      <c r="E843" s="267" t="s">
        <v>6721</v>
      </c>
      <c r="F843" s="267">
        <v>30937</v>
      </c>
      <c r="G843" s="266" t="s">
        <v>1585</v>
      </c>
      <c r="H843" s="266" t="s">
        <v>1989</v>
      </c>
      <c r="I843" s="266" t="s">
        <v>6193</v>
      </c>
      <c r="J843" s="266" t="s">
        <v>996</v>
      </c>
      <c r="K843" s="406" t="s">
        <v>6722</v>
      </c>
    </row>
    <row r="844" spans="1:11" x14ac:dyDescent="0.25">
      <c r="A844" s="270" t="s">
        <v>1990</v>
      </c>
      <c r="B844" s="266"/>
      <c r="C844" s="266" t="s">
        <v>1091</v>
      </c>
      <c r="D844" s="266" t="s">
        <v>6723</v>
      </c>
      <c r="E844" s="267" t="s">
        <v>6724</v>
      </c>
      <c r="F844" s="267">
        <v>30967</v>
      </c>
      <c r="G844" s="266" t="s">
        <v>1992</v>
      </c>
      <c r="H844" s="266" t="s">
        <v>1110</v>
      </c>
      <c r="I844" s="266" t="s">
        <v>5812</v>
      </c>
      <c r="J844" s="266" t="s">
        <v>1095</v>
      </c>
      <c r="K844" s="406" t="s">
        <v>6725</v>
      </c>
    </row>
    <row r="845" spans="1:11" x14ac:dyDescent="0.25">
      <c r="A845" s="270" t="s">
        <v>1993</v>
      </c>
      <c r="B845" s="266"/>
      <c r="C845" s="266" t="s">
        <v>114</v>
      </c>
      <c r="D845" s="266" t="s">
        <v>6726</v>
      </c>
      <c r="E845" s="267" t="s">
        <v>6727</v>
      </c>
      <c r="F845" s="267">
        <v>30979</v>
      </c>
      <c r="G845" s="266" t="s">
        <v>1750</v>
      </c>
      <c r="H845" s="266" t="s">
        <v>1995</v>
      </c>
      <c r="I845" s="266" t="s">
        <v>242</v>
      </c>
      <c r="J845" s="266" t="s">
        <v>996</v>
      </c>
      <c r="K845" s="406" t="s">
        <v>6728</v>
      </c>
    </row>
    <row r="846" spans="1:11" x14ac:dyDescent="0.25">
      <c r="A846" s="270" t="s">
        <v>1996</v>
      </c>
      <c r="B846" s="266"/>
      <c r="C846" s="266" t="s">
        <v>309</v>
      </c>
      <c r="D846" s="266" t="s">
        <v>894</v>
      </c>
      <c r="E846" s="267" t="s">
        <v>6729</v>
      </c>
      <c r="F846" s="267">
        <v>31051</v>
      </c>
      <c r="G846" s="266" t="s">
        <v>439</v>
      </c>
      <c r="H846" s="266" t="s">
        <v>896</v>
      </c>
      <c r="I846" s="266" t="s">
        <v>242</v>
      </c>
      <c r="J846" s="266" t="s">
        <v>996</v>
      </c>
      <c r="K846" s="406" t="s">
        <v>6730</v>
      </c>
    </row>
    <row r="847" spans="1:11" x14ac:dyDescent="0.25">
      <c r="A847" s="270" t="s">
        <v>1998</v>
      </c>
      <c r="B847" s="266"/>
      <c r="C847" s="266" t="s">
        <v>993</v>
      </c>
      <c r="D847" s="266" t="s">
        <v>6731</v>
      </c>
      <c r="E847" s="267" t="s">
        <v>6732</v>
      </c>
      <c r="F847" s="267">
        <v>31079</v>
      </c>
      <c r="G847" s="266" t="s">
        <v>412</v>
      </c>
      <c r="H847" s="266" t="s">
        <v>411</v>
      </c>
      <c r="I847" s="266" t="s">
        <v>242</v>
      </c>
      <c r="J847" s="266" t="s">
        <v>996</v>
      </c>
      <c r="K847" s="406" t="s">
        <v>6733</v>
      </c>
    </row>
    <row r="848" spans="1:11" x14ac:dyDescent="0.25">
      <c r="A848" s="270" t="s">
        <v>2000</v>
      </c>
      <c r="B848" s="266"/>
      <c r="C848" s="266" t="s">
        <v>969</v>
      </c>
      <c r="D848" s="266" t="s">
        <v>6734</v>
      </c>
      <c r="E848" s="267" t="s">
        <v>6735</v>
      </c>
      <c r="F848" s="267">
        <v>31100</v>
      </c>
      <c r="G848" s="266" t="s">
        <v>1821</v>
      </c>
      <c r="H848" s="266" t="s">
        <v>2002</v>
      </c>
      <c r="I848" s="266" t="s">
        <v>242</v>
      </c>
      <c r="J848" s="266" t="s">
        <v>985</v>
      </c>
      <c r="K848" s="406" t="s">
        <v>6736</v>
      </c>
    </row>
    <row r="849" spans="1:11" x14ac:dyDescent="0.25">
      <c r="A849" s="270" t="s">
        <v>2003</v>
      </c>
      <c r="B849" s="266"/>
      <c r="C849" s="266" t="s">
        <v>114</v>
      </c>
      <c r="D849" s="266" t="s">
        <v>6737</v>
      </c>
      <c r="E849" s="267" t="s">
        <v>6738</v>
      </c>
      <c r="F849" s="267">
        <v>31147</v>
      </c>
      <c r="G849" s="266" t="s">
        <v>896</v>
      </c>
      <c r="H849" s="266" t="s">
        <v>2005</v>
      </c>
      <c r="I849" s="266" t="s">
        <v>5812</v>
      </c>
      <c r="J849" s="266" t="s">
        <v>996</v>
      </c>
      <c r="K849" s="406" t="s">
        <v>6739</v>
      </c>
    </row>
    <row r="850" spans="1:11" x14ac:dyDescent="0.25">
      <c r="A850" s="270" t="s">
        <v>2006</v>
      </c>
      <c r="B850" s="266"/>
      <c r="C850" s="266" t="s">
        <v>309</v>
      </c>
      <c r="D850" s="266" t="s">
        <v>897</v>
      </c>
      <c r="E850" s="267" t="s">
        <v>6738</v>
      </c>
      <c r="F850" s="267">
        <v>31147</v>
      </c>
      <c r="G850" s="266" t="s">
        <v>392</v>
      </c>
      <c r="H850" s="266" t="s">
        <v>383</v>
      </c>
      <c r="I850" s="266" t="s">
        <v>242</v>
      </c>
      <c r="J850" s="266" t="s">
        <v>996</v>
      </c>
      <c r="K850" s="406" t="s">
        <v>6740</v>
      </c>
    </row>
    <row r="851" spans="1:11" x14ac:dyDescent="0.25">
      <c r="A851" s="270" t="s">
        <v>2008</v>
      </c>
      <c r="B851" s="266"/>
      <c r="C851" s="266" t="s">
        <v>309</v>
      </c>
      <c r="D851" s="266" t="s">
        <v>898</v>
      </c>
      <c r="E851" s="267" t="s">
        <v>6738</v>
      </c>
      <c r="F851" s="267">
        <v>31147</v>
      </c>
      <c r="G851" s="266" t="s">
        <v>394</v>
      </c>
      <c r="H851" s="266" t="s">
        <v>383</v>
      </c>
      <c r="I851" s="266" t="s">
        <v>242</v>
      </c>
      <c r="J851" s="266" t="s">
        <v>996</v>
      </c>
      <c r="K851" s="406" t="s">
        <v>6741</v>
      </c>
    </row>
    <row r="852" spans="1:11" x14ac:dyDescent="0.25">
      <c r="A852" s="270" t="s">
        <v>2010</v>
      </c>
      <c r="B852" s="266"/>
      <c r="C852" s="266" t="s">
        <v>309</v>
      </c>
      <c r="D852" s="266" t="s">
        <v>899</v>
      </c>
      <c r="E852" s="267" t="s">
        <v>6738</v>
      </c>
      <c r="F852" s="267">
        <v>31147</v>
      </c>
      <c r="G852" s="266" t="s">
        <v>396</v>
      </c>
      <c r="H852" s="266" t="s">
        <v>383</v>
      </c>
      <c r="I852" s="266" t="s">
        <v>242</v>
      </c>
      <c r="J852" s="266" t="s">
        <v>996</v>
      </c>
      <c r="K852" s="406" t="s">
        <v>6742</v>
      </c>
    </row>
    <row r="853" spans="1:11" x14ac:dyDescent="0.25">
      <c r="A853" s="270" t="s">
        <v>2012</v>
      </c>
      <c r="B853" s="266"/>
      <c r="C853" s="266" t="s">
        <v>309</v>
      </c>
      <c r="D853" s="266" t="s">
        <v>902</v>
      </c>
      <c r="E853" s="267" t="s">
        <v>6738</v>
      </c>
      <c r="F853" s="267">
        <v>31147</v>
      </c>
      <c r="G853" s="266" t="s">
        <v>2014</v>
      </c>
      <c r="H853" s="266" t="s">
        <v>383</v>
      </c>
      <c r="I853" s="266" t="s">
        <v>242</v>
      </c>
      <c r="J853" s="266" t="s">
        <v>996</v>
      </c>
      <c r="K853" s="406" t="s">
        <v>6743</v>
      </c>
    </row>
    <row r="854" spans="1:11" x14ac:dyDescent="0.25">
      <c r="A854" s="270" t="s">
        <v>2015</v>
      </c>
      <c r="B854" s="266"/>
      <c r="C854" s="266" t="s">
        <v>309</v>
      </c>
      <c r="D854" s="266" t="s">
        <v>904</v>
      </c>
      <c r="E854" s="267" t="s">
        <v>6738</v>
      </c>
      <c r="F854" s="267">
        <v>31147</v>
      </c>
      <c r="G854" s="266" t="s">
        <v>433</v>
      </c>
      <c r="H854" s="266" t="s">
        <v>383</v>
      </c>
      <c r="I854" s="266" t="s">
        <v>242</v>
      </c>
      <c r="J854" s="266" t="s">
        <v>996</v>
      </c>
      <c r="K854" s="406" t="s">
        <v>6744</v>
      </c>
    </row>
    <row r="855" spans="1:11" x14ac:dyDescent="0.25">
      <c r="A855" s="270" t="s">
        <v>2017</v>
      </c>
      <c r="B855" s="266"/>
      <c r="C855" s="266" t="s">
        <v>309</v>
      </c>
      <c r="D855" s="266" t="s">
        <v>900</v>
      </c>
      <c r="E855" s="267" t="s">
        <v>6738</v>
      </c>
      <c r="F855" s="267">
        <v>31147</v>
      </c>
      <c r="G855" s="266" t="s">
        <v>397</v>
      </c>
      <c r="H855" s="266" t="s">
        <v>383</v>
      </c>
      <c r="I855" s="266" t="s">
        <v>242</v>
      </c>
      <c r="J855" s="266" t="s">
        <v>996</v>
      </c>
      <c r="K855" s="406" t="s">
        <v>6745</v>
      </c>
    </row>
    <row r="856" spans="1:11" x14ac:dyDescent="0.25">
      <c r="A856" s="270" t="s">
        <v>2019</v>
      </c>
      <c r="B856" s="266"/>
      <c r="C856" s="266" t="s">
        <v>309</v>
      </c>
      <c r="D856" s="266" t="s">
        <v>901</v>
      </c>
      <c r="E856" s="267" t="s">
        <v>6738</v>
      </c>
      <c r="F856" s="267">
        <v>31147</v>
      </c>
      <c r="G856" s="266" t="s">
        <v>395</v>
      </c>
      <c r="H856" s="266" t="s">
        <v>383</v>
      </c>
      <c r="I856" s="266" t="s">
        <v>242</v>
      </c>
      <c r="J856" s="266" t="s">
        <v>996</v>
      </c>
      <c r="K856" s="406" t="s">
        <v>6746</v>
      </c>
    </row>
    <row r="857" spans="1:11" x14ac:dyDescent="0.25">
      <c r="A857" s="270" t="s">
        <v>2021</v>
      </c>
      <c r="B857" s="266"/>
      <c r="C857" s="266" t="s">
        <v>309</v>
      </c>
      <c r="D857" s="266" t="s">
        <v>905</v>
      </c>
      <c r="E857" s="267" t="s">
        <v>6738</v>
      </c>
      <c r="F857" s="267">
        <v>31147</v>
      </c>
      <c r="G857" s="266" t="s">
        <v>1941</v>
      </c>
      <c r="H857" s="266" t="s">
        <v>383</v>
      </c>
      <c r="I857" s="266" t="s">
        <v>242</v>
      </c>
      <c r="J857" s="266" t="s">
        <v>996</v>
      </c>
      <c r="K857" s="406" t="s">
        <v>6747</v>
      </c>
    </row>
    <row r="858" spans="1:11" x14ac:dyDescent="0.25">
      <c r="A858" s="270" t="s">
        <v>2023</v>
      </c>
      <c r="B858" s="266"/>
      <c r="C858" s="266" t="s">
        <v>309</v>
      </c>
      <c r="D858" s="266" t="s">
        <v>906</v>
      </c>
      <c r="E858" s="267" t="s">
        <v>6738</v>
      </c>
      <c r="F858" s="267">
        <v>31147</v>
      </c>
      <c r="G858" s="266" t="s">
        <v>2025</v>
      </c>
      <c r="H858" s="266" t="s">
        <v>383</v>
      </c>
      <c r="I858" s="266" t="s">
        <v>242</v>
      </c>
      <c r="J858" s="266" t="s">
        <v>996</v>
      </c>
      <c r="K858" s="406" t="s">
        <v>6748</v>
      </c>
    </row>
    <row r="859" spans="1:11" x14ac:dyDescent="0.25">
      <c r="A859" s="270" t="s">
        <v>2026</v>
      </c>
      <c r="B859" s="266"/>
      <c r="C859" s="266" t="s">
        <v>309</v>
      </c>
      <c r="D859" s="266" t="s">
        <v>908</v>
      </c>
      <c r="E859" s="267" t="s">
        <v>6738</v>
      </c>
      <c r="F859" s="267">
        <v>31147</v>
      </c>
      <c r="G859" s="266" t="s">
        <v>6749</v>
      </c>
      <c r="H859" s="266" t="s">
        <v>383</v>
      </c>
      <c r="I859" s="266" t="s">
        <v>242</v>
      </c>
      <c r="J859" s="266" t="s">
        <v>996</v>
      </c>
      <c r="K859" s="406" t="s">
        <v>6750</v>
      </c>
    </row>
    <row r="860" spans="1:11" x14ac:dyDescent="0.25">
      <c r="A860" s="270" t="s">
        <v>2029</v>
      </c>
      <c r="B860" s="266"/>
      <c r="C860" s="266" t="s">
        <v>969</v>
      </c>
      <c r="D860" s="266" t="s">
        <v>6751</v>
      </c>
      <c r="E860" s="267" t="s">
        <v>6752</v>
      </c>
      <c r="F860" s="267">
        <v>31158</v>
      </c>
      <c r="G860" s="266" t="s">
        <v>1769</v>
      </c>
      <c r="H860" s="266" t="s">
        <v>2031</v>
      </c>
      <c r="I860" s="266" t="s">
        <v>5812</v>
      </c>
      <c r="J860" s="266" t="s">
        <v>985</v>
      </c>
      <c r="K860" s="406" t="s">
        <v>6753</v>
      </c>
    </row>
    <row r="861" spans="1:11" x14ac:dyDescent="0.25">
      <c r="A861" s="270" t="s">
        <v>2032</v>
      </c>
      <c r="B861" s="266"/>
      <c r="C861" s="266" t="s">
        <v>309</v>
      </c>
      <c r="D861" s="266" t="s">
        <v>910</v>
      </c>
      <c r="E861" s="267" t="s">
        <v>6752</v>
      </c>
      <c r="F861" s="267">
        <v>31158</v>
      </c>
      <c r="G861" s="266" t="s">
        <v>1958</v>
      </c>
      <c r="H861" s="266" t="s">
        <v>383</v>
      </c>
      <c r="I861" s="266" t="s">
        <v>242</v>
      </c>
      <c r="J861" s="266" t="s">
        <v>996</v>
      </c>
      <c r="K861" s="406" t="s">
        <v>6754</v>
      </c>
    </row>
    <row r="862" spans="1:11" x14ac:dyDescent="0.25">
      <c r="A862" s="270" t="s">
        <v>2034</v>
      </c>
      <c r="B862" s="266"/>
      <c r="C862" s="266" t="s">
        <v>309</v>
      </c>
      <c r="D862" s="266" t="s">
        <v>911</v>
      </c>
      <c r="E862" s="267" t="s">
        <v>6752</v>
      </c>
      <c r="F862" s="267">
        <v>31158</v>
      </c>
      <c r="G862" s="266" t="s">
        <v>400</v>
      </c>
      <c r="H862" s="266" t="s">
        <v>383</v>
      </c>
      <c r="I862" s="266" t="s">
        <v>5812</v>
      </c>
      <c r="J862" s="266" t="s">
        <v>996</v>
      </c>
      <c r="K862" s="406" t="s">
        <v>6755</v>
      </c>
    </row>
    <row r="863" spans="1:11" x14ac:dyDescent="0.25">
      <c r="A863" s="270" t="s">
        <v>2036</v>
      </c>
      <c r="B863" s="266"/>
      <c r="C863" s="266" t="s">
        <v>309</v>
      </c>
      <c r="D863" s="266" t="s">
        <v>912</v>
      </c>
      <c r="E863" s="267" t="s">
        <v>6756</v>
      </c>
      <c r="F863" s="267">
        <v>31166</v>
      </c>
      <c r="G863" s="266" t="s">
        <v>249</v>
      </c>
      <c r="H863" s="266" t="s">
        <v>383</v>
      </c>
      <c r="I863" s="266" t="s">
        <v>242</v>
      </c>
      <c r="J863" s="266" t="s">
        <v>996</v>
      </c>
      <c r="K863" s="406" t="s">
        <v>6757</v>
      </c>
    </row>
    <row r="864" spans="1:11" x14ac:dyDescent="0.25">
      <c r="A864" s="270" t="s">
        <v>2038</v>
      </c>
      <c r="B864" s="266"/>
      <c r="C864" s="266" t="s">
        <v>993</v>
      </c>
      <c r="D864" s="266" t="s">
        <v>6758</v>
      </c>
      <c r="E864" s="267" t="s">
        <v>6759</v>
      </c>
      <c r="F864" s="267">
        <v>31036</v>
      </c>
      <c r="G864" s="266" t="s">
        <v>2040</v>
      </c>
      <c r="H864" s="266" t="s">
        <v>1977</v>
      </c>
      <c r="I864" s="266" t="s">
        <v>6193</v>
      </c>
      <c r="J864" s="266" t="s">
        <v>996</v>
      </c>
      <c r="K864" s="406" t="s">
        <v>6760</v>
      </c>
    </row>
    <row r="865" spans="1:11" x14ac:dyDescent="0.25">
      <c r="A865" s="270" t="s">
        <v>2041</v>
      </c>
      <c r="B865" s="266"/>
      <c r="C865" s="266" t="s">
        <v>309</v>
      </c>
      <c r="D865" s="266" t="s">
        <v>913</v>
      </c>
      <c r="E865" s="267" t="s">
        <v>6761</v>
      </c>
      <c r="F865" s="267">
        <v>31226</v>
      </c>
      <c r="G865" s="266" t="s">
        <v>435</v>
      </c>
      <c r="H865" s="266" t="s">
        <v>383</v>
      </c>
      <c r="I865" s="266" t="s">
        <v>242</v>
      </c>
      <c r="J865" s="266" t="s">
        <v>996</v>
      </c>
      <c r="K865" s="406" t="s">
        <v>6762</v>
      </c>
    </row>
    <row r="866" spans="1:11" x14ac:dyDescent="0.25">
      <c r="A866" s="270" t="s">
        <v>2043</v>
      </c>
      <c r="B866" s="266"/>
      <c r="C866" s="266" t="s">
        <v>993</v>
      </c>
      <c r="D866" s="266" t="s">
        <v>6763</v>
      </c>
      <c r="E866" s="267" t="s">
        <v>6764</v>
      </c>
      <c r="F866" s="267">
        <v>31278</v>
      </c>
      <c r="G866" s="266" t="s">
        <v>2040</v>
      </c>
      <c r="H866" s="266" t="s">
        <v>1977</v>
      </c>
      <c r="I866" s="266" t="s">
        <v>6193</v>
      </c>
      <c r="J866" s="266" t="s">
        <v>996</v>
      </c>
      <c r="K866" s="406" t="s">
        <v>6765</v>
      </c>
    </row>
    <row r="867" spans="1:11" x14ac:dyDescent="0.25">
      <c r="A867" s="270" t="s">
        <v>2045</v>
      </c>
      <c r="B867" s="266"/>
      <c r="C867" s="266" t="s">
        <v>969</v>
      </c>
      <c r="D867" s="266" t="s">
        <v>6766</v>
      </c>
      <c r="E867" s="267" t="s">
        <v>6767</v>
      </c>
      <c r="F867" s="267">
        <v>31279</v>
      </c>
      <c r="G867" s="266" t="s">
        <v>2047</v>
      </c>
      <c r="H867" s="266" t="s">
        <v>2048</v>
      </c>
      <c r="I867" s="266" t="s">
        <v>242</v>
      </c>
      <c r="J867" s="266" t="s">
        <v>985</v>
      </c>
      <c r="K867" s="406" t="s">
        <v>6768</v>
      </c>
    </row>
    <row r="868" spans="1:11" x14ac:dyDescent="0.25">
      <c r="A868" s="270" t="s">
        <v>2049</v>
      </c>
      <c r="B868" s="266"/>
      <c r="C868" s="266" t="s">
        <v>969</v>
      </c>
      <c r="D868" s="266" t="s">
        <v>6769</v>
      </c>
      <c r="E868" s="267" t="s">
        <v>6770</v>
      </c>
      <c r="F868" s="267">
        <v>31308</v>
      </c>
      <c r="G868" s="266" t="s">
        <v>573</v>
      </c>
      <c r="H868" s="266" t="s">
        <v>249</v>
      </c>
      <c r="I868" s="266" t="s">
        <v>5812</v>
      </c>
      <c r="J868" s="266" t="s">
        <v>985</v>
      </c>
      <c r="K868" s="406" t="s">
        <v>6771</v>
      </c>
    </row>
    <row r="869" spans="1:11" x14ac:dyDescent="0.25">
      <c r="A869" s="270" t="s">
        <v>2051</v>
      </c>
      <c r="B869" s="266"/>
      <c r="C869" s="266" t="s">
        <v>969</v>
      </c>
      <c r="D869" s="266" t="s">
        <v>6772</v>
      </c>
      <c r="E869" s="267" t="s">
        <v>6773</v>
      </c>
      <c r="F869" s="267">
        <v>31329</v>
      </c>
      <c r="G869" s="266" t="s">
        <v>2053</v>
      </c>
      <c r="H869" s="266" t="s">
        <v>2054</v>
      </c>
      <c r="I869" s="266" t="s">
        <v>5812</v>
      </c>
      <c r="J869" s="266" t="s">
        <v>985</v>
      </c>
      <c r="K869" s="406" t="s">
        <v>6774</v>
      </c>
    </row>
    <row r="870" spans="1:11" x14ac:dyDescent="0.25">
      <c r="A870" s="270" t="s">
        <v>2055</v>
      </c>
      <c r="B870" s="266"/>
      <c r="C870" s="266" t="s">
        <v>969</v>
      </c>
      <c r="D870" s="266" t="s">
        <v>6775</v>
      </c>
      <c r="E870" s="267" t="s">
        <v>6776</v>
      </c>
      <c r="F870" s="267">
        <v>31330</v>
      </c>
      <c r="G870" s="266" t="s">
        <v>1582</v>
      </c>
      <c r="H870" s="266" t="s">
        <v>1723</v>
      </c>
      <c r="I870" s="266" t="s">
        <v>5812</v>
      </c>
      <c r="J870" s="266" t="s">
        <v>985</v>
      </c>
      <c r="K870" s="406" t="s">
        <v>6777</v>
      </c>
    </row>
    <row r="871" spans="1:11" x14ac:dyDescent="0.25">
      <c r="A871" s="270" t="s">
        <v>2057</v>
      </c>
      <c r="B871" s="266"/>
      <c r="C871" s="266" t="s">
        <v>309</v>
      </c>
      <c r="D871" s="266" t="s">
        <v>914</v>
      </c>
      <c r="E871" s="267" t="s">
        <v>6778</v>
      </c>
      <c r="F871" s="267">
        <v>31347</v>
      </c>
      <c r="G871" s="266" t="s">
        <v>407</v>
      </c>
      <c r="H871" s="266" t="s">
        <v>383</v>
      </c>
      <c r="I871" s="266" t="s">
        <v>242</v>
      </c>
      <c r="J871" s="266" t="s">
        <v>996</v>
      </c>
      <c r="K871" s="406" t="s">
        <v>6779</v>
      </c>
    </row>
    <row r="872" spans="1:11" x14ac:dyDescent="0.25">
      <c r="A872" s="270" t="s">
        <v>2059</v>
      </c>
      <c r="B872" s="266"/>
      <c r="C872" s="266" t="s">
        <v>1623</v>
      </c>
      <c r="D872" s="266" t="s">
        <v>6780</v>
      </c>
      <c r="E872" s="267" t="s">
        <v>6781</v>
      </c>
      <c r="F872" s="267">
        <v>31408</v>
      </c>
      <c r="G872" s="266" t="s">
        <v>400</v>
      </c>
      <c r="H872" s="266" t="s">
        <v>435</v>
      </c>
      <c r="I872" s="266" t="s">
        <v>5812</v>
      </c>
      <c r="J872" s="266" t="s">
        <v>1625</v>
      </c>
      <c r="K872" s="406" t="s">
        <v>6782</v>
      </c>
    </row>
    <row r="873" spans="1:11" x14ac:dyDescent="0.25">
      <c r="A873" s="270" t="s">
        <v>2061</v>
      </c>
      <c r="B873" s="266"/>
      <c r="C873" s="266" t="s">
        <v>1623</v>
      </c>
      <c r="D873" s="266" t="s">
        <v>6783</v>
      </c>
      <c r="E873" s="267" t="s">
        <v>6781</v>
      </c>
      <c r="F873" s="267">
        <v>31408</v>
      </c>
      <c r="G873" s="266" t="s">
        <v>400</v>
      </c>
      <c r="H873" s="266" t="s">
        <v>1958</v>
      </c>
      <c r="I873" s="266" t="s">
        <v>5812</v>
      </c>
      <c r="J873" s="266" t="s">
        <v>1625</v>
      </c>
      <c r="K873" s="406" t="s">
        <v>6784</v>
      </c>
    </row>
    <row r="874" spans="1:11" x14ac:dyDescent="0.25">
      <c r="A874" s="270" t="s">
        <v>2063</v>
      </c>
      <c r="B874" s="266"/>
      <c r="C874" s="266" t="s">
        <v>969</v>
      </c>
      <c r="D874" s="266" t="s">
        <v>6785</v>
      </c>
      <c r="E874" s="267" t="s">
        <v>6786</v>
      </c>
      <c r="F874" s="267">
        <v>31418</v>
      </c>
      <c r="G874" s="266" t="s">
        <v>1799</v>
      </c>
      <c r="H874" s="266" t="s">
        <v>2065</v>
      </c>
      <c r="I874" s="266" t="s">
        <v>5812</v>
      </c>
      <c r="J874" s="266" t="s">
        <v>985</v>
      </c>
      <c r="K874" s="406" t="s">
        <v>6787</v>
      </c>
    </row>
    <row r="875" spans="1:11" x14ac:dyDescent="0.25">
      <c r="A875" s="270" t="s">
        <v>2066</v>
      </c>
      <c r="B875" s="266"/>
      <c r="C875" s="266" t="s">
        <v>969</v>
      </c>
      <c r="D875" s="266" t="s">
        <v>6788</v>
      </c>
      <c r="E875" s="267" t="s">
        <v>6789</v>
      </c>
      <c r="F875" s="267">
        <v>31434</v>
      </c>
      <c r="G875" s="266" t="s">
        <v>1977</v>
      </c>
      <c r="H875" s="266" t="s">
        <v>2068</v>
      </c>
      <c r="I875" s="266" t="s">
        <v>242</v>
      </c>
      <c r="J875" s="266" t="s">
        <v>985</v>
      </c>
      <c r="K875" s="406" t="s">
        <v>6790</v>
      </c>
    </row>
    <row r="876" spans="1:11" x14ac:dyDescent="0.25">
      <c r="A876" s="270" t="s">
        <v>2069</v>
      </c>
      <c r="B876" s="266"/>
      <c r="C876" s="266" t="s">
        <v>969</v>
      </c>
      <c r="D876" s="266" t="s">
        <v>6791</v>
      </c>
      <c r="E876" s="267" t="s">
        <v>6792</v>
      </c>
      <c r="F876" s="267">
        <v>31582</v>
      </c>
      <c r="G876" s="266" t="s">
        <v>573</v>
      </c>
      <c r="H876" s="266" t="s">
        <v>1958</v>
      </c>
      <c r="I876" s="266" t="s">
        <v>5812</v>
      </c>
      <c r="J876" s="266" t="s">
        <v>985</v>
      </c>
      <c r="K876" s="406" t="s">
        <v>6793</v>
      </c>
    </row>
    <row r="877" spans="1:11" x14ac:dyDescent="0.25">
      <c r="A877" s="270" t="s">
        <v>2071</v>
      </c>
      <c r="B877" s="266"/>
      <c r="C877" s="266" t="s">
        <v>993</v>
      </c>
      <c r="D877" s="266" t="s">
        <v>6794</v>
      </c>
      <c r="E877" s="267" t="s">
        <v>6795</v>
      </c>
      <c r="F877" s="267">
        <v>31637</v>
      </c>
      <c r="G877" s="266" t="s">
        <v>2073</v>
      </c>
      <c r="H877" s="266" t="s">
        <v>2074</v>
      </c>
      <c r="I877" s="266" t="s">
        <v>5812</v>
      </c>
      <c r="J877" s="266" t="s">
        <v>996</v>
      </c>
      <c r="K877" s="406" t="s">
        <v>6796</v>
      </c>
    </row>
    <row r="878" spans="1:11" x14ac:dyDescent="0.25">
      <c r="A878" s="270" t="s">
        <v>2075</v>
      </c>
      <c r="B878" s="266"/>
      <c r="C878" s="266" t="s">
        <v>969</v>
      </c>
      <c r="D878" s="266" t="s">
        <v>6797</v>
      </c>
      <c r="E878" s="267" t="s">
        <v>6798</v>
      </c>
      <c r="F878" s="267">
        <v>31657</v>
      </c>
      <c r="G878" s="266" t="s">
        <v>573</v>
      </c>
      <c r="H878" s="266" t="s">
        <v>394</v>
      </c>
      <c r="I878" s="266" t="s">
        <v>5812</v>
      </c>
      <c r="J878" s="266" t="s">
        <v>985</v>
      </c>
      <c r="K878" s="406" t="s">
        <v>6799</v>
      </c>
    </row>
    <row r="879" spans="1:11" x14ac:dyDescent="0.25">
      <c r="A879" s="270" t="s">
        <v>2077</v>
      </c>
      <c r="B879" s="266"/>
      <c r="C879" s="266" t="s">
        <v>969</v>
      </c>
      <c r="D879" s="266" t="s">
        <v>6800</v>
      </c>
      <c r="E879" s="267" t="s">
        <v>6801</v>
      </c>
      <c r="F879" s="267">
        <v>31684</v>
      </c>
      <c r="G879" s="266" t="s">
        <v>433</v>
      </c>
      <c r="H879" s="266" t="s">
        <v>2079</v>
      </c>
      <c r="I879" s="266" t="s">
        <v>5812</v>
      </c>
      <c r="J879" s="266" t="s">
        <v>985</v>
      </c>
      <c r="K879" s="406" t="s">
        <v>6802</v>
      </c>
    </row>
    <row r="880" spans="1:11" x14ac:dyDescent="0.25">
      <c r="A880" s="270" t="s">
        <v>2080</v>
      </c>
      <c r="B880" s="266"/>
      <c r="C880" s="266" t="s">
        <v>969</v>
      </c>
      <c r="D880" s="266" t="s">
        <v>6803</v>
      </c>
      <c r="E880" s="267" t="s">
        <v>6804</v>
      </c>
      <c r="F880" s="267">
        <v>31723</v>
      </c>
      <c r="G880" s="266" t="s">
        <v>2068</v>
      </c>
      <c r="H880" s="266" t="s">
        <v>2082</v>
      </c>
      <c r="I880" s="266" t="s">
        <v>242</v>
      </c>
      <c r="J880" s="266" t="s">
        <v>985</v>
      </c>
      <c r="K880" s="406" t="s">
        <v>6805</v>
      </c>
    </row>
    <row r="881" spans="1:11" x14ac:dyDescent="0.25">
      <c r="A881" s="270" t="s">
        <v>2083</v>
      </c>
      <c r="B881" s="266"/>
      <c r="C881" s="266" t="s">
        <v>309</v>
      </c>
      <c r="D881" s="266" t="s">
        <v>915</v>
      </c>
      <c r="E881" s="267" t="s">
        <v>6806</v>
      </c>
      <c r="F881" s="267">
        <v>31755</v>
      </c>
      <c r="G881" s="266" t="s">
        <v>411</v>
      </c>
      <c r="H881" s="266" t="s">
        <v>444</v>
      </c>
      <c r="I881" s="266" t="s">
        <v>242</v>
      </c>
      <c r="J881" s="266" t="s">
        <v>996</v>
      </c>
      <c r="K881" s="406" t="s">
        <v>6807</v>
      </c>
    </row>
    <row r="882" spans="1:11" x14ac:dyDescent="0.25">
      <c r="A882" s="270" t="s">
        <v>2085</v>
      </c>
      <c r="B882" s="266"/>
      <c r="C882" s="266" t="s">
        <v>1091</v>
      </c>
      <c r="D882" s="266" t="s">
        <v>6808</v>
      </c>
      <c r="E882" s="267" t="s">
        <v>6809</v>
      </c>
      <c r="F882" s="267">
        <v>31803</v>
      </c>
      <c r="G882" s="266" t="s">
        <v>463</v>
      </c>
      <c r="H882" s="266" t="s">
        <v>1110</v>
      </c>
      <c r="I882" s="266" t="s">
        <v>5812</v>
      </c>
      <c r="J882" s="266" t="s">
        <v>1095</v>
      </c>
      <c r="K882" s="406" t="s">
        <v>6810</v>
      </c>
    </row>
    <row r="883" spans="1:11" x14ac:dyDescent="0.25">
      <c r="A883" s="270" t="s">
        <v>2087</v>
      </c>
      <c r="B883" s="266"/>
      <c r="C883" s="266" t="s">
        <v>969</v>
      </c>
      <c r="D883" s="266" t="s">
        <v>6811</v>
      </c>
      <c r="E883" s="267" t="s">
        <v>6812</v>
      </c>
      <c r="F883" s="267">
        <v>31917</v>
      </c>
      <c r="G883" s="266" t="s">
        <v>573</v>
      </c>
      <c r="H883" s="266" t="s">
        <v>2089</v>
      </c>
      <c r="I883" s="266" t="s">
        <v>5812</v>
      </c>
      <c r="J883" s="266" t="s">
        <v>985</v>
      </c>
      <c r="K883" s="406" t="s">
        <v>6813</v>
      </c>
    </row>
    <row r="884" spans="1:11" x14ac:dyDescent="0.25">
      <c r="A884" s="270" t="s">
        <v>2090</v>
      </c>
      <c r="B884" s="266"/>
      <c r="C884" s="266" t="s">
        <v>114</v>
      </c>
      <c r="D884" s="266" t="s">
        <v>6814</v>
      </c>
      <c r="E884" s="267" t="s">
        <v>6815</v>
      </c>
      <c r="F884" s="267">
        <v>31964</v>
      </c>
      <c r="G884" s="266" t="s">
        <v>2031</v>
      </c>
      <c r="H884" s="266" t="s">
        <v>2092</v>
      </c>
      <c r="I884" s="266" t="s">
        <v>5812</v>
      </c>
      <c r="J884" s="266" t="s">
        <v>996</v>
      </c>
      <c r="K884" s="406" t="s">
        <v>6816</v>
      </c>
    </row>
    <row r="885" spans="1:11" x14ac:dyDescent="0.25">
      <c r="A885" s="270" t="s">
        <v>2093</v>
      </c>
      <c r="B885" s="266"/>
      <c r="C885" s="266" t="s">
        <v>309</v>
      </c>
      <c r="D885" s="266" t="s">
        <v>916</v>
      </c>
      <c r="E885" s="267" t="s">
        <v>6817</v>
      </c>
      <c r="F885" s="267">
        <v>31971</v>
      </c>
      <c r="G885" s="266" t="s">
        <v>436</v>
      </c>
      <c r="H885" s="266" t="s">
        <v>445</v>
      </c>
      <c r="I885" s="266" t="s">
        <v>242</v>
      </c>
      <c r="J885" s="266" t="s">
        <v>996</v>
      </c>
      <c r="K885" s="406" t="s">
        <v>6818</v>
      </c>
    </row>
    <row r="886" spans="1:11" x14ac:dyDescent="0.25">
      <c r="A886" s="270" t="s">
        <v>2095</v>
      </c>
      <c r="B886" s="266"/>
      <c r="C886" s="266" t="s">
        <v>309</v>
      </c>
      <c r="D886" s="266" t="s">
        <v>917</v>
      </c>
      <c r="E886" s="267" t="s">
        <v>6817</v>
      </c>
      <c r="F886" s="267">
        <v>31971</v>
      </c>
      <c r="G886" s="266" t="s">
        <v>446</v>
      </c>
      <c r="H886" s="266" t="s">
        <v>445</v>
      </c>
      <c r="I886" s="266" t="s">
        <v>242</v>
      </c>
      <c r="J886" s="266" t="s">
        <v>996</v>
      </c>
      <c r="K886" s="406" t="s">
        <v>6819</v>
      </c>
    </row>
    <row r="887" spans="1:11" x14ac:dyDescent="0.25">
      <c r="A887" s="270" t="s">
        <v>2097</v>
      </c>
      <c r="B887" s="266"/>
      <c r="C887" s="266" t="s">
        <v>309</v>
      </c>
      <c r="D887" s="266" t="s">
        <v>918</v>
      </c>
      <c r="E887" s="267" t="s">
        <v>6820</v>
      </c>
      <c r="F887" s="267">
        <v>32002</v>
      </c>
      <c r="G887" s="266" t="s">
        <v>407</v>
      </c>
      <c r="H887" s="266" t="s">
        <v>447</v>
      </c>
      <c r="I887" s="266" t="s">
        <v>242</v>
      </c>
      <c r="J887" s="266" t="s">
        <v>996</v>
      </c>
      <c r="K887" s="406" t="s">
        <v>6821</v>
      </c>
    </row>
    <row r="888" spans="1:11" x14ac:dyDescent="0.25">
      <c r="A888" s="270" t="s">
        <v>2099</v>
      </c>
      <c r="B888" s="266"/>
      <c r="C888" s="266" t="s">
        <v>114</v>
      </c>
      <c r="D888" s="266" t="s">
        <v>6822</v>
      </c>
      <c r="E888" s="267" t="s">
        <v>6823</v>
      </c>
      <c r="F888" s="267">
        <v>32009</v>
      </c>
      <c r="G888" s="266" t="s">
        <v>445</v>
      </c>
      <c r="H888" s="266" t="s">
        <v>2101</v>
      </c>
      <c r="I888" s="266" t="s">
        <v>242</v>
      </c>
      <c r="J888" s="266" t="s">
        <v>996</v>
      </c>
      <c r="K888" s="406" t="s">
        <v>6824</v>
      </c>
    </row>
    <row r="889" spans="1:11" x14ac:dyDescent="0.25">
      <c r="A889" s="270" t="s">
        <v>2102</v>
      </c>
      <c r="B889" s="266"/>
      <c r="C889" s="266" t="s">
        <v>114</v>
      </c>
      <c r="D889" s="266" t="s">
        <v>6825</v>
      </c>
      <c r="E889" s="267" t="s">
        <v>6823</v>
      </c>
      <c r="F889" s="267">
        <v>32009</v>
      </c>
      <c r="G889" s="266" t="s">
        <v>445</v>
      </c>
      <c r="H889" s="266" t="s">
        <v>2101</v>
      </c>
      <c r="I889" s="266" t="s">
        <v>242</v>
      </c>
      <c r="J889" s="266" t="s">
        <v>996</v>
      </c>
      <c r="K889" s="406" t="s">
        <v>6826</v>
      </c>
    </row>
    <row r="890" spans="1:11" x14ac:dyDescent="0.25">
      <c r="A890" s="270" t="s">
        <v>2104</v>
      </c>
      <c r="B890" s="266"/>
      <c r="C890" s="266" t="s">
        <v>309</v>
      </c>
      <c r="D890" s="266" t="s">
        <v>919</v>
      </c>
      <c r="E890" s="267" t="s">
        <v>6827</v>
      </c>
      <c r="F890" s="267">
        <v>32010</v>
      </c>
      <c r="G890" s="266" t="s">
        <v>446</v>
      </c>
      <c r="H890" s="266" t="s">
        <v>447</v>
      </c>
      <c r="I890" s="266" t="s">
        <v>242</v>
      </c>
      <c r="J890" s="266" t="s">
        <v>996</v>
      </c>
      <c r="K890" s="406" t="s">
        <v>6828</v>
      </c>
    </row>
    <row r="891" spans="1:11" x14ac:dyDescent="0.25">
      <c r="A891" s="270" t="s">
        <v>2106</v>
      </c>
      <c r="B891" s="266"/>
      <c r="C891" s="266" t="s">
        <v>969</v>
      </c>
      <c r="D891" s="266" t="s">
        <v>6829</v>
      </c>
      <c r="E891" s="267" t="s">
        <v>6830</v>
      </c>
      <c r="F891" s="267">
        <v>32031</v>
      </c>
      <c r="G891" s="266" t="s">
        <v>2108</v>
      </c>
      <c r="H891" s="266" t="s">
        <v>2109</v>
      </c>
      <c r="I891" s="266" t="s">
        <v>5812</v>
      </c>
      <c r="J891" s="266" t="s">
        <v>985</v>
      </c>
      <c r="K891" s="406" t="s">
        <v>6831</v>
      </c>
    </row>
    <row r="892" spans="1:11" x14ac:dyDescent="0.25">
      <c r="A892" s="270" t="s">
        <v>2110</v>
      </c>
      <c r="B892" s="266"/>
      <c r="C892" s="266" t="s">
        <v>1107</v>
      </c>
      <c r="D892" s="266" t="s">
        <v>6832</v>
      </c>
      <c r="E892" s="267" t="s">
        <v>6833</v>
      </c>
      <c r="F892" s="267">
        <v>32072</v>
      </c>
      <c r="G892" s="266" t="s">
        <v>2112</v>
      </c>
      <c r="H892" s="266" t="s">
        <v>1110</v>
      </c>
      <c r="I892" s="266" t="s">
        <v>5812</v>
      </c>
      <c r="J892" s="266" t="s">
        <v>1095</v>
      </c>
      <c r="K892" s="406" t="s">
        <v>6834</v>
      </c>
    </row>
    <row r="893" spans="1:11" x14ac:dyDescent="0.25">
      <c r="A893" s="270" t="s">
        <v>2113</v>
      </c>
      <c r="B893" s="266"/>
      <c r="C893" s="266" t="s">
        <v>969</v>
      </c>
      <c r="D893" s="266" t="s">
        <v>6835</v>
      </c>
      <c r="E893" s="267" t="s">
        <v>6833</v>
      </c>
      <c r="F893" s="267">
        <v>32072</v>
      </c>
      <c r="G893" s="266" t="s">
        <v>240</v>
      </c>
      <c r="H893" s="266" t="s">
        <v>2115</v>
      </c>
      <c r="I893" s="266" t="s">
        <v>5812</v>
      </c>
      <c r="J893" s="266" t="s">
        <v>985</v>
      </c>
      <c r="K893" s="406" t="s">
        <v>6836</v>
      </c>
    </row>
    <row r="894" spans="1:11" x14ac:dyDescent="0.25">
      <c r="A894" s="270" t="s">
        <v>2116</v>
      </c>
      <c r="B894" s="266"/>
      <c r="C894" s="266" t="s">
        <v>969</v>
      </c>
      <c r="D894" s="266" t="s">
        <v>6837</v>
      </c>
      <c r="E894" s="267" t="s">
        <v>6833</v>
      </c>
      <c r="F894" s="267">
        <v>32072</v>
      </c>
      <c r="G894" s="266" t="s">
        <v>240</v>
      </c>
      <c r="H894" s="266" t="s">
        <v>2115</v>
      </c>
      <c r="I894" s="266" t="s">
        <v>5812</v>
      </c>
      <c r="J894" s="266" t="s">
        <v>985</v>
      </c>
      <c r="K894" s="406" t="s">
        <v>6838</v>
      </c>
    </row>
    <row r="895" spans="1:11" x14ac:dyDescent="0.25">
      <c r="A895" s="270" t="s">
        <v>2118</v>
      </c>
      <c r="B895" s="266"/>
      <c r="C895" s="266" t="s">
        <v>114</v>
      </c>
      <c r="D895" s="266" t="s">
        <v>6839</v>
      </c>
      <c r="E895" s="267" t="s">
        <v>6840</v>
      </c>
      <c r="F895" s="267">
        <v>32106</v>
      </c>
      <c r="G895" s="266" t="s">
        <v>2101</v>
      </c>
      <c r="H895" s="266" t="s">
        <v>2120</v>
      </c>
      <c r="I895" s="266" t="s">
        <v>242</v>
      </c>
      <c r="J895" s="266" t="s">
        <v>996</v>
      </c>
      <c r="K895" s="406" t="s">
        <v>6841</v>
      </c>
    </row>
    <row r="896" spans="1:11" x14ac:dyDescent="0.25">
      <c r="A896" s="270" t="s">
        <v>2121</v>
      </c>
      <c r="B896" s="266"/>
      <c r="C896" s="266" t="s">
        <v>114</v>
      </c>
      <c r="D896" s="266" t="s">
        <v>6842</v>
      </c>
      <c r="E896" s="267" t="s">
        <v>6840</v>
      </c>
      <c r="F896" s="267">
        <v>32106</v>
      </c>
      <c r="G896" s="266" t="s">
        <v>2101</v>
      </c>
      <c r="H896" s="266" t="s">
        <v>2120</v>
      </c>
      <c r="I896" s="266" t="s">
        <v>242</v>
      </c>
      <c r="J896" s="266" t="s">
        <v>996</v>
      </c>
      <c r="K896" s="406" t="s">
        <v>6843</v>
      </c>
    </row>
    <row r="897" spans="1:11" x14ac:dyDescent="0.25">
      <c r="A897" s="270" t="s">
        <v>2123</v>
      </c>
      <c r="B897" s="266"/>
      <c r="C897" s="266" t="s">
        <v>114</v>
      </c>
      <c r="D897" s="266" t="s">
        <v>6844</v>
      </c>
      <c r="E897" s="267" t="s">
        <v>6840</v>
      </c>
      <c r="F897" s="267">
        <v>32106</v>
      </c>
      <c r="G897" s="266" t="s">
        <v>2120</v>
      </c>
      <c r="H897" s="266" t="s">
        <v>2125</v>
      </c>
      <c r="I897" s="266" t="s">
        <v>242</v>
      </c>
      <c r="J897" s="266" t="s">
        <v>996</v>
      </c>
      <c r="K897" s="406" t="s">
        <v>6845</v>
      </c>
    </row>
    <row r="898" spans="1:11" x14ac:dyDescent="0.25">
      <c r="A898" s="270" t="s">
        <v>2126</v>
      </c>
      <c r="B898" s="266"/>
      <c r="C898" s="266" t="s">
        <v>969</v>
      </c>
      <c r="D898" s="266" t="s">
        <v>6846</v>
      </c>
      <c r="E898" s="267" t="s">
        <v>6847</v>
      </c>
      <c r="F898" s="267">
        <v>32118</v>
      </c>
      <c r="G898" s="266" t="s">
        <v>394</v>
      </c>
      <c r="H898" s="266" t="s">
        <v>433</v>
      </c>
      <c r="I898" s="266" t="s">
        <v>5812</v>
      </c>
      <c r="J898" s="266" t="s">
        <v>985</v>
      </c>
      <c r="K898" s="406" t="s">
        <v>6848</v>
      </c>
    </row>
    <row r="899" spans="1:11" x14ac:dyDescent="0.25">
      <c r="A899" s="270" t="s">
        <v>2128</v>
      </c>
      <c r="B899" s="266"/>
      <c r="C899" s="266" t="s">
        <v>309</v>
      </c>
      <c r="D899" s="266" t="s">
        <v>920</v>
      </c>
      <c r="E899" s="267" t="s">
        <v>6849</v>
      </c>
      <c r="F899" s="267">
        <v>32129</v>
      </c>
      <c r="G899" s="266" t="s">
        <v>446</v>
      </c>
      <c r="H899" s="266" t="s">
        <v>445</v>
      </c>
      <c r="I899" s="266" t="s">
        <v>242</v>
      </c>
      <c r="J899" s="266" t="s">
        <v>996</v>
      </c>
      <c r="K899" s="406" t="s">
        <v>6850</v>
      </c>
    </row>
    <row r="900" spans="1:11" x14ac:dyDescent="0.25">
      <c r="A900" s="270" t="s">
        <v>2130</v>
      </c>
      <c r="B900" s="266"/>
      <c r="C900" s="266" t="s">
        <v>309</v>
      </c>
      <c r="D900" s="266" t="s">
        <v>921</v>
      </c>
      <c r="E900" s="267" t="s">
        <v>6851</v>
      </c>
      <c r="F900" s="267">
        <v>32155</v>
      </c>
      <c r="G900" s="266" t="s">
        <v>413</v>
      </c>
      <c r="H900" s="266" t="s">
        <v>448</v>
      </c>
      <c r="I900" s="266" t="s">
        <v>242</v>
      </c>
      <c r="J900" s="266" t="s">
        <v>996</v>
      </c>
      <c r="K900" s="406" t="s">
        <v>6852</v>
      </c>
    </row>
    <row r="901" spans="1:11" x14ac:dyDescent="0.25">
      <c r="A901" s="270" t="s">
        <v>2132</v>
      </c>
      <c r="B901" s="266"/>
      <c r="C901" s="266" t="s">
        <v>969</v>
      </c>
      <c r="D901" s="266" t="s">
        <v>6853</v>
      </c>
      <c r="E901" s="267" t="s">
        <v>6854</v>
      </c>
      <c r="F901" s="267">
        <v>32177</v>
      </c>
      <c r="G901" s="266" t="s">
        <v>1775</v>
      </c>
      <c r="H901" s="266" t="s">
        <v>2134</v>
      </c>
      <c r="I901" s="266" t="s">
        <v>5812</v>
      </c>
      <c r="J901" s="266" t="s">
        <v>985</v>
      </c>
      <c r="K901" s="406" t="s">
        <v>6855</v>
      </c>
    </row>
    <row r="902" spans="1:11" x14ac:dyDescent="0.25">
      <c r="A902" s="270" t="s">
        <v>2135</v>
      </c>
      <c r="B902" s="266"/>
      <c r="C902" s="266" t="s">
        <v>969</v>
      </c>
      <c r="D902" s="266" t="s">
        <v>6856</v>
      </c>
      <c r="E902" s="267" t="s">
        <v>6857</v>
      </c>
      <c r="F902" s="267">
        <v>32255</v>
      </c>
      <c r="G902" s="266" t="s">
        <v>1391</v>
      </c>
      <c r="H902" s="266" t="s">
        <v>436</v>
      </c>
      <c r="I902" s="266" t="s">
        <v>5812</v>
      </c>
      <c r="J902" s="266" t="s">
        <v>985</v>
      </c>
      <c r="K902" s="406" t="s">
        <v>6858</v>
      </c>
    </row>
    <row r="903" spans="1:11" x14ac:dyDescent="0.25">
      <c r="A903" s="270" t="s">
        <v>2137</v>
      </c>
      <c r="B903" s="266"/>
      <c r="C903" s="266" t="s">
        <v>969</v>
      </c>
      <c r="D903" s="266" t="s">
        <v>4150</v>
      </c>
      <c r="E903" s="267" t="s">
        <v>6859</v>
      </c>
      <c r="F903" s="267">
        <v>32216</v>
      </c>
      <c r="G903" s="266" t="s">
        <v>1747</v>
      </c>
      <c r="H903" s="266" t="s">
        <v>2139</v>
      </c>
      <c r="I903" s="266" t="s">
        <v>6860</v>
      </c>
      <c r="J903" s="266" t="s">
        <v>985</v>
      </c>
      <c r="K903" s="406" t="s">
        <v>6861</v>
      </c>
    </row>
    <row r="904" spans="1:11" x14ac:dyDescent="0.25">
      <c r="A904" s="270" t="s">
        <v>2141</v>
      </c>
      <c r="B904" s="266"/>
      <c r="C904" s="266" t="s">
        <v>309</v>
      </c>
      <c r="D904" s="266" t="s">
        <v>924</v>
      </c>
      <c r="E904" s="267" t="s">
        <v>6862</v>
      </c>
      <c r="F904" s="267">
        <v>32335</v>
      </c>
      <c r="G904" s="266" t="s">
        <v>420</v>
      </c>
      <c r="H904" s="266" t="s">
        <v>925</v>
      </c>
      <c r="I904" s="266" t="s">
        <v>242</v>
      </c>
      <c r="J904" s="266" t="s">
        <v>996</v>
      </c>
      <c r="K904" s="406" t="s">
        <v>6863</v>
      </c>
    </row>
    <row r="905" spans="1:11" x14ac:dyDescent="0.25">
      <c r="A905" s="270" t="s">
        <v>2143</v>
      </c>
      <c r="B905" s="266"/>
      <c r="C905" s="266" t="s">
        <v>309</v>
      </c>
      <c r="D905" s="266" t="s">
        <v>922</v>
      </c>
      <c r="E905" s="267" t="s">
        <v>6862</v>
      </c>
      <c r="F905" s="267">
        <v>32335</v>
      </c>
      <c r="G905" s="266" t="s">
        <v>449</v>
      </c>
      <c r="H905" s="266" t="s">
        <v>923</v>
      </c>
      <c r="I905" s="266" t="s">
        <v>242</v>
      </c>
      <c r="J905" s="266" t="s">
        <v>996</v>
      </c>
      <c r="K905" s="406" t="s">
        <v>6864</v>
      </c>
    </row>
    <row r="906" spans="1:11" x14ac:dyDescent="0.25">
      <c r="A906" s="270" t="s">
        <v>2145</v>
      </c>
      <c r="B906" s="266"/>
      <c r="C906" s="266" t="s">
        <v>309</v>
      </c>
      <c r="D906" s="266" t="s">
        <v>926</v>
      </c>
      <c r="E906" s="267" t="s">
        <v>6865</v>
      </c>
      <c r="F906" s="267">
        <v>32342</v>
      </c>
      <c r="G906" s="266" t="s">
        <v>2147</v>
      </c>
      <c r="H906" s="266" t="s">
        <v>923</v>
      </c>
      <c r="I906" s="266" t="s">
        <v>242</v>
      </c>
      <c r="J906" s="266" t="s">
        <v>996</v>
      </c>
      <c r="K906" s="406" t="s">
        <v>6866</v>
      </c>
    </row>
    <row r="907" spans="1:11" x14ac:dyDescent="0.25">
      <c r="A907" s="270" t="s">
        <v>2148</v>
      </c>
      <c r="B907" s="266"/>
      <c r="C907" s="266" t="s">
        <v>969</v>
      </c>
      <c r="D907" s="266" t="s">
        <v>6867</v>
      </c>
      <c r="E907" s="267" t="s">
        <v>6868</v>
      </c>
      <c r="F907" s="267">
        <v>32344</v>
      </c>
      <c r="G907" s="266" t="s">
        <v>394</v>
      </c>
      <c r="H907" s="266" t="s">
        <v>589</v>
      </c>
      <c r="I907" s="266" t="s">
        <v>5812</v>
      </c>
      <c r="J907" s="266" t="s">
        <v>985</v>
      </c>
      <c r="K907" s="406" t="s">
        <v>6869</v>
      </c>
    </row>
    <row r="908" spans="1:11" x14ac:dyDescent="0.25">
      <c r="A908" s="270" t="s">
        <v>2150</v>
      </c>
      <c r="B908" s="266"/>
      <c r="C908" s="266" t="s">
        <v>969</v>
      </c>
      <c r="D908" s="266" t="s">
        <v>6870</v>
      </c>
      <c r="E908" s="267" t="s">
        <v>6868</v>
      </c>
      <c r="F908" s="267">
        <v>32344</v>
      </c>
      <c r="G908" s="266" t="s">
        <v>394</v>
      </c>
      <c r="H908" s="266" t="s">
        <v>2152</v>
      </c>
      <c r="I908" s="266" t="s">
        <v>5812</v>
      </c>
      <c r="J908" s="266" t="s">
        <v>985</v>
      </c>
      <c r="K908" s="406" t="s">
        <v>6871</v>
      </c>
    </row>
    <row r="909" spans="1:11" x14ac:dyDescent="0.25">
      <c r="A909" s="270" t="s">
        <v>2153</v>
      </c>
      <c r="B909" s="266"/>
      <c r="C909" s="266" t="s">
        <v>969</v>
      </c>
      <c r="D909" s="266" t="s">
        <v>6872</v>
      </c>
      <c r="E909" s="267" t="s">
        <v>6868</v>
      </c>
      <c r="F909" s="267">
        <v>32344</v>
      </c>
      <c r="G909" s="266" t="s">
        <v>394</v>
      </c>
      <c r="H909" s="266" t="s">
        <v>591</v>
      </c>
      <c r="I909" s="266" t="s">
        <v>5812</v>
      </c>
      <c r="J909" s="266" t="s">
        <v>985</v>
      </c>
      <c r="K909" s="406" t="s">
        <v>6873</v>
      </c>
    </row>
    <row r="910" spans="1:11" x14ac:dyDescent="0.25">
      <c r="A910" s="270" t="s">
        <v>2155</v>
      </c>
      <c r="B910" s="266"/>
      <c r="C910" s="266" t="s">
        <v>969</v>
      </c>
      <c r="D910" s="266" t="s">
        <v>6874</v>
      </c>
      <c r="E910" s="267" t="s">
        <v>6868</v>
      </c>
      <c r="F910" s="267">
        <v>32344</v>
      </c>
      <c r="G910" s="266" t="s">
        <v>394</v>
      </c>
      <c r="H910" s="266" t="s">
        <v>2157</v>
      </c>
      <c r="I910" s="266" t="s">
        <v>5812</v>
      </c>
      <c r="J910" s="266" t="s">
        <v>985</v>
      </c>
      <c r="K910" s="406" t="s">
        <v>6875</v>
      </c>
    </row>
    <row r="911" spans="1:11" x14ac:dyDescent="0.25">
      <c r="A911" s="270" t="s">
        <v>2158</v>
      </c>
      <c r="B911" s="266"/>
      <c r="C911" s="266" t="s">
        <v>1274</v>
      </c>
      <c r="D911" s="266" t="s">
        <v>6876</v>
      </c>
      <c r="E911" s="267" t="s">
        <v>6877</v>
      </c>
      <c r="F911" s="267">
        <v>32350</v>
      </c>
      <c r="G911" s="266" t="s">
        <v>2160</v>
      </c>
      <c r="H911" s="266" t="s">
        <v>2161</v>
      </c>
      <c r="I911" s="266" t="s">
        <v>5812</v>
      </c>
      <c r="J911" s="266" t="s">
        <v>985</v>
      </c>
      <c r="K911" s="406" t="s">
        <v>6878</v>
      </c>
    </row>
    <row r="912" spans="1:11" x14ac:dyDescent="0.25">
      <c r="A912" s="270" t="s">
        <v>2162</v>
      </c>
      <c r="B912" s="266"/>
      <c r="C912" s="266" t="s">
        <v>993</v>
      </c>
      <c r="D912" s="266" t="s">
        <v>6879</v>
      </c>
      <c r="E912" s="267" t="s">
        <v>6877</v>
      </c>
      <c r="F912" s="267">
        <v>32350</v>
      </c>
      <c r="G912" s="266" t="s">
        <v>2164</v>
      </c>
      <c r="H912" s="266" t="s">
        <v>2165</v>
      </c>
      <c r="I912" s="266" t="s">
        <v>5812</v>
      </c>
      <c r="J912" s="266" t="s">
        <v>996</v>
      </c>
      <c r="K912" s="406" t="s">
        <v>6880</v>
      </c>
    </row>
    <row r="913" spans="1:11" x14ac:dyDescent="0.25">
      <c r="A913" s="270" t="s">
        <v>2166</v>
      </c>
      <c r="B913" s="266"/>
      <c r="C913" s="266" t="s">
        <v>993</v>
      </c>
      <c r="D913" s="266" t="s">
        <v>6881</v>
      </c>
      <c r="E913" s="267" t="s">
        <v>6882</v>
      </c>
      <c r="F913" s="267">
        <v>32398</v>
      </c>
      <c r="G913" s="266" t="s">
        <v>383</v>
      </c>
      <c r="H913" s="266" t="s">
        <v>407</v>
      </c>
      <c r="I913" s="266" t="s">
        <v>5812</v>
      </c>
      <c r="J913" s="266" t="s">
        <v>996</v>
      </c>
      <c r="K913" s="406" t="s">
        <v>6883</v>
      </c>
    </row>
    <row r="914" spans="1:11" x14ac:dyDescent="0.25">
      <c r="A914" s="270" t="s">
        <v>2168</v>
      </c>
      <c r="B914" s="266"/>
      <c r="C914" s="266" t="s">
        <v>969</v>
      </c>
      <c r="D914" s="266" t="s">
        <v>6884</v>
      </c>
      <c r="E914" s="267" t="s">
        <v>6885</v>
      </c>
      <c r="F914" s="267">
        <v>32405</v>
      </c>
      <c r="G914" s="266" t="s">
        <v>2170</v>
      </c>
      <c r="H914" s="266" t="s">
        <v>2171</v>
      </c>
      <c r="I914" s="266" t="s">
        <v>5812</v>
      </c>
      <c r="J914" s="266" t="s">
        <v>985</v>
      </c>
      <c r="K914" s="406" t="s">
        <v>6886</v>
      </c>
    </row>
    <row r="915" spans="1:11" x14ac:dyDescent="0.25">
      <c r="A915" s="270" t="s">
        <v>2172</v>
      </c>
      <c r="B915" s="266"/>
      <c r="C915" s="266" t="s">
        <v>969</v>
      </c>
      <c r="D915" s="266" t="s">
        <v>6887</v>
      </c>
      <c r="E915" s="267" t="s">
        <v>6888</v>
      </c>
      <c r="F915" s="267">
        <v>32449</v>
      </c>
      <c r="G915" s="266" t="s">
        <v>397</v>
      </c>
      <c r="H915" s="266" t="s">
        <v>463</v>
      </c>
      <c r="I915" s="266" t="s">
        <v>5812</v>
      </c>
      <c r="J915" s="266" t="s">
        <v>985</v>
      </c>
      <c r="K915" s="406" t="s">
        <v>6889</v>
      </c>
    </row>
    <row r="916" spans="1:11" x14ac:dyDescent="0.25">
      <c r="A916" s="270" t="s">
        <v>2174</v>
      </c>
      <c r="B916" s="266"/>
      <c r="C916" s="266" t="s">
        <v>309</v>
      </c>
      <c r="D916" s="266" t="s">
        <v>453</v>
      </c>
      <c r="E916" s="267" t="s">
        <v>6890</v>
      </c>
      <c r="F916" s="267">
        <v>32525</v>
      </c>
      <c r="G916" s="266" t="s">
        <v>454</v>
      </c>
      <c r="H916" s="266" t="s">
        <v>928</v>
      </c>
      <c r="I916" s="266" t="s">
        <v>242</v>
      </c>
      <c r="J916" s="266" t="s">
        <v>996</v>
      </c>
      <c r="K916" s="406" t="s">
        <v>6891</v>
      </c>
    </row>
    <row r="917" spans="1:11" x14ac:dyDescent="0.25">
      <c r="A917" s="270" t="s">
        <v>2176</v>
      </c>
      <c r="B917" s="266"/>
      <c r="C917" s="266" t="s">
        <v>309</v>
      </c>
      <c r="D917" s="266" t="s">
        <v>456</v>
      </c>
      <c r="E917" s="267" t="s">
        <v>6890</v>
      </c>
      <c r="F917" s="267">
        <v>32525</v>
      </c>
      <c r="G917" s="266" t="s">
        <v>1941</v>
      </c>
      <c r="H917" s="266" t="s">
        <v>928</v>
      </c>
      <c r="I917" s="266" t="s">
        <v>242</v>
      </c>
      <c r="J917" s="266" t="s">
        <v>996</v>
      </c>
      <c r="K917" s="406" t="s">
        <v>6892</v>
      </c>
    </row>
    <row r="918" spans="1:11" x14ac:dyDescent="0.25">
      <c r="A918" s="270" t="s">
        <v>2178</v>
      </c>
      <c r="B918" s="266"/>
      <c r="C918" s="266" t="s">
        <v>309</v>
      </c>
      <c r="D918" s="266" t="s">
        <v>457</v>
      </c>
      <c r="E918" s="267" t="s">
        <v>6890</v>
      </c>
      <c r="F918" s="267">
        <v>32525</v>
      </c>
      <c r="G918" s="266" t="s">
        <v>1941</v>
      </c>
      <c r="H918" s="266" t="s">
        <v>928</v>
      </c>
      <c r="I918" s="266" t="s">
        <v>242</v>
      </c>
      <c r="J918" s="266" t="s">
        <v>996</v>
      </c>
      <c r="K918" s="406" t="s">
        <v>6893</v>
      </c>
    </row>
    <row r="919" spans="1:11" x14ac:dyDescent="0.25">
      <c r="A919" s="270" t="s">
        <v>2180</v>
      </c>
      <c r="B919" s="266"/>
      <c r="C919" s="266" t="s">
        <v>309</v>
      </c>
      <c r="D919" s="266" t="s">
        <v>458</v>
      </c>
      <c r="E919" s="267" t="s">
        <v>6890</v>
      </c>
      <c r="F919" s="267">
        <v>32525</v>
      </c>
      <c r="G919" s="266" t="s">
        <v>395</v>
      </c>
      <c r="H919" s="266" t="s">
        <v>928</v>
      </c>
      <c r="I919" s="266" t="s">
        <v>242</v>
      </c>
      <c r="J919" s="266" t="s">
        <v>996</v>
      </c>
      <c r="K919" s="406" t="s">
        <v>6894</v>
      </c>
    </row>
    <row r="920" spans="1:11" x14ac:dyDescent="0.25">
      <c r="A920" s="270" t="s">
        <v>2182</v>
      </c>
      <c r="B920" s="266"/>
      <c r="C920" s="266" t="s">
        <v>309</v>
      </c>
      <c r="D920" s="266" t="s">
        <v>459</v>
      </c>
      <c r="E920" s="267" t="s">
        <v>6890</v>
      </c>
      <c r="F920" s="267">
        <v>32525</v>
      </c>
      <c r="G920" s="266" t="s">
        <v>460</v>
      </c>
      <c r="H920" s="266" t="s">
        <v>928</v>
      </c>
      <c r="I920" s="266" t="s">
        <v>242</v>
      </c>
      <c r="J920" s="266" t="s">
        <v>996</v>
      </c>
      <c r="K920" s="406" t="s">
        <v>6895</v>
      </c>
    </row>
    <row r="921" spans="1:11" x14ac:dyDescent="0.25">
      <c r="A921" s="270" t="s">
        <v>2184</v>
      </c>
      <c r="B921" s="266"/>
      <c r="C921" s="266" t="s">
        <v>1091</v>
      </c>
      <c r="D921" s="266" t="s">
        <v>6896</v>
      </c>
      <c r="E921" s="267" t="s">
        <v>6897</v>
      </c>
      <c r="F921" s="267">
        <v>32531</v>
      </c>
      <c r="G921" s="266" t="s">
        <v>2186</v>
      </c>
      <c r="H921" s="266" t="s">
        <v>1110</v>
      </c>
      <c r="I921" s="266" t="s">
        <v>5812</v>
      </c>
      <c r="J921" s="266" t="s">
        <v>1095</v>
      </c>
      <c r="K921" s="406" t="s">
        <v>6898</v>
      </c>
    </row>
    <row r="922" spans="1:11" x14ac:dyDescent="0.25">
      <c r="A922" s="270" t="s">
        <v>2187</v>
      </c>
      <c r="B922" s="266"/>
      <c r="C922" s="266" t="s">
        <v>309</v>
      </c>
      <c r="D922" s="266" t="s">
        <v>461</v>
      </c>
      <c r="E922" s="267" t="s">
        <v>6899</v>
      </c>
      <c r="F922" s="267">
        <v>32560</v>
      </c>
      <c r="G922" s="266" t="s">
        <v>392</v>
      </c>
      <c r="H922" s="266" t="s">
        <v>928</v>
      </c>
      <c r="I922" s="266" t="s">
        <v>242</v>
      </c>
      <c r="J922" s="266" t="s">
        <v>996</v>
      </c>
      <c r="K922" s="406" t="s">
        <v>6900</v>
      </c>
    </row>
    <row r="923" spans="1:11" x14ac:dyDescent="0.25">
      <c r="A923" s="270" t="s">
        <v>2189</v>
      </c>
      <c r="B923" s="266"/>
      <c r="C923" s="266" t="s">
        <v>969</v>
      </c>
      <c r="D923" s="266" t="s">
        <v>6901</v>
      </c>
      <c r="E923" s="267" t="s">
        <v>6902</v>
      </c>
      <c r="F923" s="267">
        <v>32566</v>
      </c>
      <c r="G923" s="266" t="s">
        <v>465</v>
      </c>
      <c r="H923" s="266" t="s">
        <v>2191</v>
      </c>
      <c r="I923" s="266" t="s">
        <v>5812</v>
      </c>
      <c r="J923" s="266" t="s">
        <v>985</v>
      </c>
      <c r="K923" s="406" t="s">
        <v>6903</v>
      </c>
    </row>
    <row r="924" spans="1:11" x14ac:dyDescent="0.25">
      <c r="A924" s="270" t="s">
        <v>2192</v>
      </c>
      <c r="B924" s="266"/>
      <c r="C924" s="266" t="s">
        <v>1274</v>
      </c>
      <c r="D924" s="266" t="s">
        <v>6904</v>
      </c>
      <c r="E924" s="267" t="s">
        <v>6905</v>
      </c>
      <c r="F924" s="267">
        <v>32579</v>
      </c>
      <c r="G924" s="266" t="s">
        <v>2194</v>
      </c>
      <c r="H924" s="266" t="s">
        <v>2195</v>
      </c>
      <c r="I924" s="266" t="s">
        <v>5812</v>
      </c>
      <c r="J924" s="266" t="s">
        <v>985</v>
      </c>
      <c r="K924" s="406" t="s">
        <v>6906</v>
      </c>
    </row>
    <row r="925" spans="1:11" x14ac:dyDescent="0.25">
      <c r="A925" s="270" t="s">
        <v>2196</v>
      </c>
      <c r="B925" s="266"/>
      <c r="C925" s="266" t="s">
        <v>993</v>
      </c>
      <c r="D925" s="266" t="s">
        <v>6907</v>
      </c>
      <c r="E925" s="267" t="s">
        <v>6908</v>
      </c>
      <c r="F925" s="267">
        <v>32590</v>
      </c>
      <c r="G925" s="266" t="s">
        <v>2198</v>
      </c>
      <c r="H925" s="266" t="s">
        <v>2199</v>
      </c>
      <c r="I925" s="266" t="s">
        <v>5812</v>
      </c>
      <c r="J925" s="266" t="s">
        <v>996</v>
      </c>
      <c r="K925" s="406" t="s">
        <v>6909</v>
      </c>
    </row>
    <row r="926" spans="1:11" x14ac:dyDescent="0.25">
      <c r="A926" s="270" t="s">
        <v>2200</v>
      </c>
      <c r="B926" s="266"/>
      <c r="C926" s="266" t="s">
        <v>1107</v>
      </c>
      <c r="D926" s="266" t="s">
        <v>6910</v>
      </c>
      <c r="E926" s="267" t="s">
        <v>6911</v>
      </c>
      <c r="F926" s="267">
        <v>32531</v>
      </c>
      <c r="G926" s="266" t="s">
        <v>2202</v>
      </c>
      <c r="H926" s="266" t="s">
        <v>1110</v>
      </c>
      <c r="I926" s="266" t="s">
        <v>6193</v>
      </c>
      <c r="J926" s="266" t="s">
        <v>1095</v>
      </c>
      <c r="K926" s="406" t="s">
        <v>6912</v>
      </c>
    </row>
    <row r="927" spans="1:11" x14ac:dyDescent="0.25">
      <c r="A927" s="270" t="s">
        <v>2203</v>
      </c>
      <c r="B927" s="266"/>
      <c r="C927" s="266" t="s">
        <v>969</v>
      </c>
      <c r="D927" s="266" t="s">
        <v>6913</v>
      </c>
      <c r="E927" s="267" t="s">
        <v>6914</v>
      </c>
      <c r="F927" s="267">
        <v>32612</v>
      </c>
      <c r="G927" s="266" t="s">
        <v>394</v>
      </c>
      <c r="H927" s="266" t="s">
        <v>589</v>
      </c>
      <c r="I927" s="266" t="s">
        <v>5812</v>
      </c>
      <c r="J927" s="266" t="s">
        <v>985</v>
      </c>
      <c r="K927" s="406" t="s">
        <v>6915</v>
      </c>
    </row>
    <row r="928" spans="1:11" x14ac:dyDescent="0.25">
      <c r="A928" s="270" t="s">
        <v>2205</v>
      </c>
      <c r="B928" s="266"/>
      <c r="C928" s="266" t="s">
        <v>969</v>
      </c>
      <c r="D928" s="266" t="s">
        <v>6916</v>
      </c>
      <c r="E928" s="267" t="s">
        <v>6914</v>
      </c>
      <c r="F928" s="267">
        <v>32612</v>
      </c>
      <c r="G928" s="266" t="s">
        <v>394</v>
      </c>
      <c r="H928" s="266" t="s">
        <v>591</v>
      </c>
      <c r="I928" s="266" t="s">
        <v>5812</v>
      </c>
      <c r="J928" s="266" t="s">
        <v>985</v>
      </c>
      <c r="K928" s="406" t="s">
        <v>6917</v>
      </c>
    </row>
    <row r="929" spans="1:11" x14ac:dyDescent="0.25">
      <c r="A929" s="270" t="s">
        <v>2207</v>
      </c>
      <c r="B929" s="266"/>
      <c r="C929" s="266" t="s">
        <v>969</v>
      </c>
      <c r="D929" s="266" t="s">
        <v>6918</v>
      </c>
      <c r="E929" s="267" t="s">
        <v>6914</v>
      </c>
      <c r="F929" s="267">
        <v>32612</v>
      </c>
      <c r="G929" s="266" t="s">
        <v>394</v>
      </c>
      <c r="H929" s="266" t="s">
        <v>2152</v>
      </c>
      <c r="I929" s="266" t="s">
        <v>5812</v>
      </c>
      <c r="J929" s="266" t="s">
        <v>985</v>
      </c>
      <c r="K929" s="406" t="s">
        <v>6919</v>
      </c>
    </row>
    <row r="930" spans="1:11" x14ac:dyDescent="0.25">
      <c r="A930" s="270" t="s">
        <v>2209</v>
      </c>
      <c r="B930" s="266"/>
      <c r="C930" s="266" t="s">
        <v>969</v>
      </c>
      <c r="D930" s="266" t="s">
        <v>6920</v>
      </c>
      <c r="E930" s="267" t="s">
        <v>6914</v>
      </c>
      <c r="F930" s="267">
        <v>32612</v>
      </c>
      <c r="G930" s="266" t="s">
        <v>394</v>
      </c>
      <c r="H930" s="266" t="s">
        <v>2157</v>
      </c>
      <c r="I930" s="266" t="s">
        <v>5812</v>
      </c>
      <c r="J930" s="266" t="s">
        <v>985</v>
      </c>
      <c r="K930" s="406" t="s">
        <v>6921</v>
      </c>
    </row>
    <row r="931" spans="1:11" x14ac:dyDescent="0.25">
      <c r="A931" s="270" t="s">
        <v>2211</v>
      </c>
      <c r="B931" s="266"/>
      <c r="C931" s="266" t="s">
        <v>993</v>
      </c>
      <c r="D931" s="266" t="s">
        <v>6922</v>
      </c>
      <c r="E931" s="267" t="s">
        <v>6923</v>
      </c>
      <c r="F931" s="267">
        <v>32622</v>
      </c>
      <c r="G931" s="266" t="s">
        <v>383</v>
      </c>
      <c r="H931" s="266" t="s">
        <v>407</v>
      </c>
      <c r="I931" s="266" t="s">
        <v>242</v>
      </c>
      <c r="J931" s="266" t="s">
        <v>996</v>
      </c>
      <c r="K931" s="406" t="s">
        <v>6924</v>
      </c>
    </row>
    <row r="932" spans="1:11" x14ac:dyDescent="0.25">
      <c r="A932" s="270" t="s">
        <v>2213</v>
      </c>
      <c r="B932" s="266"/>
      <c r="C932" s="266" t="s">
        <v>309</v>
      </c>
      <c r="D932" s="266" t="s">
        <v>462</v>
      </c>
      <c r="E932" s="267" t="s">
        <v>6925</v>
      </c>
      <c r="F932" s="267">
        <v>32653</v>
      </c>
      <c r="G932" s="266" t="s">
        <v>463</v>
      </c>
      <c r="H932" s="266" t="s">
        <v>928</v>
      </c>
      <c r="I932" s="266" t="s">
        <v>242</v>
      </c>
      <c r="J932" s="266" t="s">
        <v>996</v>
      </c>
      <c r="K932" s="406" t="s">
        <v>6926</v>
      </c>
    </row>
    <row r="933" spans="1:11" x14ac:dyDescent="0.25">
      <c r="A933" s="270" t="s">
        <v>2215</v>
      </c>
      <c r="B933" s="266"/>
      <c r="C933" s="266" t="s">
        <v>114</v>
      </c>
      <c r="D933" s="266" t="s">
        <v>6927</v>
      </c>
      <c r="E933" s="267" t="s">
        <v>6928</v>
      </c>
      <c r="F933" s="267">
        <v>32674</v>
      </c>
      <c r="G933" s="266" t="s">
        <v>1766</v>
      </c>
      <c r="H933" s="266" t="s">
        <v>2217</v>
      </c>
      <c r="I933" s="266" t="s">
        <v>5812</v>
      </c>
      <c r="J933" s="266" t="s">
        <v>996</v>
      </c>
      <c r="K933" s="406" t="s">
        <v>6929</v>
      </c>
    </row>
    <row r="934" spans="1:11" x14ac:dyDescent="0.25">
      <c r="A934" s="270" t="s">
        <v>2218</v>
      </c>
      <c r="B934" s="266"/>
      <c r="C934" s="266" t="s">
        <v>309</v>
      </c>
      <c r="D934" s="266" t="s">
        <v>464</v>
      </c>
      <c r="E934" s="267" t="s">
        <v>6930</v>
      </c>
      <c r="F934" s="267">
        <v>32678</v>
      </c>
      <c r="G934" s="266" t="s">
        <v>465</v>
      </c>
      <c r="H934" s="266" t="s">
        <v>466</v>
      </c>
      <c r="I934" s="266" t="s">
        <v>5812</v>
      </c>
      <c r="J934" s="266" t="s">
        <v>996</v>
      </c>
      <c r="K934" s="406" t="s">
        <v>6931</v>
      </c>
    </row>
    <row r="935" spans="1:11" x14ac:dyDescent="0.25">
      <c r="A935" s="270" t="s">
        <v>2220</v>
      </c>
      <c r="B935" s="266"/>
      <c r="C935" s="266" t="s">
        <v>1623</v>
      </c>
      <c r="D935" s="266" t="s">
        <v>6932</v>
      </c>
      <c r="E935" s="267" t="s">
        <v>6933</v>
      </c>
      <c r="F935" s="267">
        <v>32706</v>
      </c>
      <c r="G935" s="266" t="s">
        <v>6934</v>
      </c>
      <c r="H935" s="266" t="s">
        <v>2222</v>
      </c>
      <c r="I935" s="266" t="s">
        <v>5812</v>
      </c>
      <c r="J935" s="266" t="s">
        <v>1625</v>
      </c>
      <c r="K935" s="406" t="s">
        <v>6935</v>
      </c>
    </row>
    <row r="936" spans="1:11" x14ac:dyDescent="0.25">
      <c r="A936" s="270" t="s">
        <v>2223</v>
      </c>
      <c r="B936" s="266"/>
      <c r="C936" s="266" t="s">
        <v>969</v>
      </c>
      <c r="D936" s="266" t="s">
        <v>6936</v>
      </c>
      <c r="E936" s="267" t="s">
        <v>6933</v>
      </c>
      <c r="F936" s="267">
        <v>32706</v>
      </c>
      <c r="G936" s="266" t="s">
        <v>6937</v>
      </c>
      <c r="H936" s="266" t="s">
        <v>433</v>
      </c>
      <c r="I936" s="266" t="s">
        <v>5812</v>
      </c>
      <c r="J936" s="266" t="s">
        <v>985</v>
      </c>
      <c r="K936" s="406" t="s">
        <v>6938</v>
      </c>
    </row>
    <row r="937" spans="1:11" x14ac:dyDescent="0.25">
      <c r="A937" s="270" t="s">
        <v>2225</v>
      </c>
      <c r="B937" s="266"/>
      <c r="C937" s="266" t="s">
        <v>969</v>
      </c>
      <c r="D937" s="266" t="s">
        <v>6939</v>
      </c>
      <c r="E937" s="267" t="s">
        <v>6933</v>
      </c>
      <c r="F937" s="267">
        <v>32706</v>
      </c>
      <c r="G937" s="266" t="s">
        <v>6934</v>
      </c>
      <c r="H937" s="266" t="s">
        <v>2227</v>
      </c>
      <c r="I937" s="266" t="s">
        <v>5812</v>
      </c>
      <c r="J937" s="266" t="s">
        <v>985</v>
      </c>
      <c r="K937" s="406" t="s">
        <v>6940</v>
      </c>
    </row>
    <row r="938" spans="1:11" x14ac:dyDescent="0.25">
      <c r="A938" s="270" t="s">
        <v>2228</v>
      </c>
      <c r="B938" s="266"/>
      <c r="C938" s="266" t="s">
        <v>969</v>
      </c>
      <c r="D938" s="266" t="s">
        <v>6941</v>
      </c>
      <c r="E938" s="267" t="s">
        <v>6933</v>
      </c>
      <c r="F938" s="267">
        <v>32706</v>
      </c>
      <c r="G938" s="266" t="s">
        <v>6934</v>
      </c>
      <c r="H938" s="266" t="s">
        <v>2230</v>
      </c>
      <c r="I938" s="266" t="s">
        <v>5812</v>
      </c>
      <c r="J938" s="266" t="s">
        <v>985</v>
      </c>
      <c r="K938" s="406" t="s">
        <v>6942</v>
      </c>
    </row>
    <row r="939" spans="1:11" x14ac:dyDescent="0.25">
      <c r="A939" s="270" t="s">
        <v>2231</v>
      </c>
      <c r="B939" s="266"/>
      <c r="C939" s="266" t="s">
        <v>969</v>
      </c>
      <c r="D939" s="266" t="s">
        <v>6943</v>
      </c>
      <c r="E939" s="267" t="s">
        <v>6933</v>
      </c>
      <c r="F939" s="267">
        <v>32706</v>
      </c>
      <c r="G939" s="266" t="s">
        <v>6934</v>
      </c>
      <c r="H939" s="266" t="s">
        <v>1941</v>
      </c>
      <c r="I939" s="266" t="s">
        <v>5812</v>
      </c>
      <c r="J939" s="266" t="s">
        <v>985</v>
      </c>
      <c r="K939" s="406" t="s">
        <v>6944</v>
      </c>
    </row>
    <row r="940" spans="1:11" x14ac:dyDescent="0.25">
      <c r="A940" s="270" t="s">
        <v>2233</v>
      </c>
      <c r="B940" s="266"/>
      <c r="C940" s="266" t="s">
        <v>969</v>
      </c>
      <c r="D940" s="266" t="s">
        <v>6945</v>
      </c>
      <c r="E940" s="267" t="s">
        <v>6933</v>
      </c>
      <c r="F940" s="267">
        <v>32706</v>
      </c>
      <c r="G940" s="266" t="s">
        <v>6934</v>
      </c>
      <c r="H940" s="266" t="s">
        <v>2235</v>
      </c>
      <c r="I940" s="266" t="s">
        <v>5812</v>
      </c>
      <c r="J940" s="266" t="s">
        <v>985</v>
      </c>
      <c r="K940" s="406" t="s">
        <v>6946</v>
      </c>
    </row>
    <row r="941" spans="1:11" x14ac:dyDescent="0.25">
      <c r="A941" s="270" t="s">
        <v>2236</v>
      </c>
      <c r="B941" s="266"/>
      <c r="C941" s="266" t="s">
        <v>969</v>
      </c>
      <c r="D941" s="266" t="s">
        <v>6947</v>
      </c>
      <c r="E941" s="267" t="s">
        <v>6933</v>
      </c>
      <c r="F941" s="267">
        <v>32706</v>
      </c>
      <c r="G941" s="266" t="s">
        <v>6934</v>
      </c>
      <c r="H941" s="266" t="s">
        <v>2238</v>
      </c>
      <c r="I941" s="266" t="s">
        <v>5812</v>
      </c>
      <c r="J941" s="266" t="s">
        <v>985</v>
      </c>
      <c r="K941" s="406" t="s">
        <v>6948</v>
      </c>
    </row>
    <row r="942" spans="1:11" x14ac:dyDescent="0.25">
      <c r="A942" s="270" t="s">
        <v>2239</v>
      </c>
      <c r="B942" s="266"/>
      <c r="C942" s="266" t="s">
        <v>969</v>
      </c>
      <c r="D942" s="266" t="s">
        <v>6949</v>
      </c>
      <c r="E942" s="267" t="s">
        <v>6933</v>
      </c>
      <c r="F942" s="267">
        <v>32706</v>
      </c>
      <c r="G942" s="266" t="s">
        <v>6934</v>
      </c>
      <c r="H942" s="266" t="s">
        <v>2241</v>
      </c>
      <c r="I942" s="266" t="s">
        <v>5812</v>
      </c>
      <c r="J942" s="266" t="s">
        <v>985</v>
      </c>
      <c r="K942" s="406" t="s">
        <v>6950</v>
      </c>
    </row>
    <row r="943" spans="1:11" x14ac:dyDescent="0.25">
      <c r="A943" s="270" t="s">
        <v>2242</v>
      </c>
      <c r="B943" s="266"/>
      <c r="C943" s="266" t="s">
        <v>969</v>
      </c>
      <c r="D943" s="266" t="s">
        <v>6951</v>
      </c>
      <c r="E943" s="267" t="s">
        <v>6933</v>
      </c>
      <c r="F943" s="267">
        <v>32706</v>
      </c>
      <c r="G943" s="266" t="s">
        <v>6934</v>
      </c>
      <c r="H943" s="266" t="s">
        <v>2244</v>
      </c>
      <c r="I943" s="266" t="s">
        <v>5812</v>
      </c>
      <c r="J943" s="266" t="s">
        <v>985</v>
      </c>
      <c r="K943" s="406" t="s">
        <v>6952</v>
      </c>
    </row>
    <row r="944" spans="1:11" x14ac:dyDescent="0.25">
      <c r="A944" s="270" t="s">
        <v>2245</v>
      </c>
      <c r="B944" s="266"/>
      <c r="C944" s="266" t="s">
        <v>993</v>
      </c>
      <c r="D944" s="266" t="s">
        <v>6953</v>
      </c>
      <c r="E944" s="267" t="s">
        <v>6954</v>
      </c>
      <c r="F944" s="267">
        <v>32709</v>
      </c>
      <c r="G944" s="266" t="s">
        <v>2247</v>
      </c>
      <c r="H944" s="266" t="s">
        <v>2248</v>
      </c>
      <c r="I944" s="266" t="s">
        <v>5812</v>
      </c>
      <c r="J944" s="266" t="s">
        <v>996</v>
      </c>
      <c r="K944" s="406" t="s">
        <v>6955</v>
      </c>
    </row>
    <row r="945" spans="1:11" x14ac:dyDescent="0.25">
      <c r="A945" s="270" t="s">
        <v>2249</v>
      </c>
      <c r="B945" s="266"/>
      <c r="C945" s="266" t="s">
        <v>114</v>
      </c>
      <c r="D945" s="266" t="s">
        <v>6956</v>
      </c>
      <c r="E945" s="267" t="s">
        <v>6957</v>
      </c>
      <c r="F945" s="267">
        <v>32713</v>
      </c>
      <c r="G945" s="266" t="s">
        <v>2251</v>
      </c>
      <c r="H945" s="266" t="s">
        <v>2252</v>
      </c>
      <c r="I945" s="266" t="s">
        <v>5812</v>
      </c>
      <c r="J945" s="266" t="s">
        <v>996</v>
      </c>
      <c r="K945" s="406" t="s">
        <v>6958</v>
      </c>
    </row>
    <row r="946" spans="1:11" x14ac:dyDescent="0.25">
      <c r="A946" s="270" t="s">
        <v>2253</v>
      </c>
      <c r="B946" s="266"/>
      <c r="C946" s="266" t="s">
        <v>993</v>
      </c>
      <c r="D946" s="266" t="s">
        <v>6959</v>
      </c>
      <c r="E946" s="267" t="s">
        <v>6960</v>
      </c>
      <c r="F946" s="267">
        <v>32787</v>
      </c>
      <c r="G946" s="266" t="s">
        <v>2031</v>
      </c>
      <c r="H946" s="266" t="s">
        <v>2255</v>
      </c>
      <c r="I946" s="266" t="s">
        <v>5812</v>
      </c>
      <c r="J946" s="266" t="s">
        <v>996</v>
      </c>
      <c r="K946" s="406" t="s">
        <v>6961</v>
      </c>
    </row>
    <row r="947" spans="1:11" x14ac:dyDescent="0.25">
      <c r="A947" s="270" t="s">
        <v>2256</v>
      </c>
      <c r="B947" s="266"/>
      <c r="C947" s="266" t="s">
        <v>114</v>
      </c>
      <c r="D947" s="266" t="s">
        <v>6962</v>
      </c>
      <c r="E947" s="267" t="s">
        <v>6960</v>
      </c>
      <c r="F947" s="267">
        <v>32787</v>
      </c>
      <c r="G947" s="266" t="s">
        <v>2031</v>
      </c>
      <c r="H947" s="266" t="s">
        <v>2258</v>
      </c>
      <c r="I947" s="266" t="s">
        <v>5812</v>
      </c>
      <c r="J947" s="266" t="s">
        <v>996</v>
      </c>
      <c r="K947" s="406" t="s">
        <v>6963</v>
      </c>
    </row>
    <row r="948" spans="1:11" x14ac:dyDescent="0.25">
      <c r="A948" s="270" t="s">
        <v>2259</v>
      </c>
      <c r="B948" s="266"/>
      <c r="C948" s="266" t="s">
        <v>1274</v>
      </c>
      <c r="D948" s="266" t="s">
        <v>6964</v>
      </c>
      <c r="E948" s="267" t="s">
        <v>6965</v>
      </c>
      <c r="F948" s="267">
        <v>32794</v>
      </c>
      <c r="G948" s="266" t="s">
        <v>2261</v>
      </c>
      <c r="H948" s="266" t="s">
        <v>2262</v>
      </c>
      <c r="I948" s="266" t="s">
        <v>5812</v>
      </c>
      <c r="J948" s="266" t="s">
        <v>985</v>
      </c>
      <c r="K948" s="406" t="s">
        <v>6966</v>
      </c>
    </row>
    <row r="949" spans="1:11" x14ac:dyDescent="0.25">
      <c r="A949" s="270" t="s">
        <v>2263</v>
      </c>
      <c r="B949" s="266"/>
      <c r="C949" s="266" t="s">
        <v>309</v>
      </c>
      <c r="D949" s="266" t="s">
        <v>467</v>
      </c>
      <c r="E949" s="267" t="s">
        <v>6967</v>
      </c>
      <c r="F949" s="267">
        <v>32800</v>
      </c>
      <c r="G949" s="266" t="s">
        <v>411</v>
      </c>
      <c r="H949" s="266" t="s">
        <v>266</v>
      </c>
      <c r="I949" s="266" t="s">
        <v>242</v>
      </c>
      <c r="J949" s="266" t="s">
        <v>996</v>
      </c>
      <c r="K949" s="406" t="s">
        <v>6968</v>
      </c>
    </row>
    <row r="950" spans="1:11" x14ac:dyDescent="0.25">
      <c r="A950" s="270" t="s">
        <v>2265</v>
      </c>
      <c r="B950" s="266"/>
      <c r="C950" s="266" t="s">
        <v>114</v>
      </c>
      <c r="D950" s="266" t="s">
        <v>6969</v>
      </c>
      <c r="E950" s="267" t="s">
        <v>6967</v>
      </c>
      <c r="F950" s="267">
        <v>32800</v>
      </c>
      <c r="G950" s="266" t="s">
        <v>266</v>
      </c>
      <c r="H950" s="266" t="s">
        <v>2267</v>
      </c>
      <c r="I950" s="266" t="s">
        <v>242</v>
      </c>
      <c r="J950" s="266" t="s">
        <v>996</v>
      </c>
      <c r="K950" s="406" t="s">
        <v>6970</v>
      </c>
    </row>
    <row r="951" spans="1:11" x14ac:dyDescent="0.25">
      <c r="A951" s="270" t="s">
        <v>2268</v>
      </c>
      <c r="B951" s="266"/>
      <c r="C951" s="266" t="s">
        <v>1091</v>
      </c>
      <c r="D951" s="266" t="s">
        <v>6971</v>
      </c>
      <c r="E951" s="267" t="s">
        <v>6972</v>
      </c>
      <c r="F951" s="267">
        <v>32806</v>
      </c>
      <c r="G951" s="266" t="s">
        <v>712</v>
      </c>
      <c r="H951" s="266" t="s">
        <v>602</v>
      </c>
      <c r="I951" s="266" t="s">
        <v>5812</v>
      </c>
      <c r="J951" s="266" t="s">
        <v>1095</v>
      </c>
      <c r="K951" s="406" t="s">
        <v>6973</v>
      </c>
    </row>
    <row r="952" spans="1:11" x14ac:dyDescent="0.25">
      <c r="A952" s="270" t="s">
        <v>2270</v>
      </c>
      <c r="B952" s="266"/>
      <c r="C952" s="266" t="s">
        <v>969</v>
      </c>
      <c r="D952" s="266" t="s">
        <v>6974</v>
      </c>
      <c r="E952" s="267" t="s">
        <v>6975</v>
      </c>
      <c r="F952" s="267">
        <v>32847</v>
      </c>
      <c r="G952" s="266" t="s">
        <v>2065</v>
      </c>
      <c r="H952" s="266" t="s">
        <v>2272</v>
      </c>
      <c r="I952" s="266" t="s">
        <v>5812</v>
      </c>
      <c r="J952" s="266" t="s">
        <v>985</v>
      </c>
      <c r="K952" s="406" t="s">
        <v>6976</v>
      </c>
    </row>
    <row r="953" spans="1:11" x14ac:dyDescent="0.25">
      <c r="A953" s="270" t="s">
        <v>2273</v>
      </c>
      <c r="B953" s="266"/>
      <c r="C953" s="266" t="s">
        <v>309</v>
      </c>
      <c r="D953" s="266" t="s">
        <v>468</v>
      </c>
      <c r="E953" s="267" t="s">
        <v>6977</v>
      </c>
      <c r="F953" s="267">
        <v>32864</v>
      </c>
      <c r="G953" s="266" t="s">
        <v>286</v>
      </c>
      <c r="H953" s="266" t="s">
        <v>928</v>
      </c>
      <c r="I953" s="266" t="s">
        <v>242</v>
      </c>
      <c r="J953" s="266" t="s">
        <v>996</v>
      </c>
      <c r="K953" s="406" t="s">
        <v>6978</v>
      </c>
    </row>
    <row r="954" spans="1:11" x14ac:dyDescent="0.25">
      <c r="A954" s="270" t="s">
        <v>2275</v>
      </c>
      <c r="B954" s="266"/>
      <c r="C954" s="266" t="s">
        <v>309</v>
      </c>
      <c r="D954" s="266" t="s">
        <v>469</v>
      </c>
      <c r="E954" s="267" t="s">
        <v>6977</v>
      </c>
      <c r="F954" s="267">
        <v>32864</v>
      </c>
      <c r="G954" s="266" t="s">
        <v>470</v>
      </c>
      <c r="H954" s="266" t="s">
        <v>928</v>
      </c>
      <c r="I954" s="266" t="s">
        <v>242</v>
      </c>
      <c r="J954" s="266" t="s">
        <v>996</v>
      </c>
      <c r="K954" s="406" t="s">
        <v>6979</v>
      </c>
    </row>
    <row r="955" spans="1:11" x14ac:dyDescent="0.25">
      <c r="A955" s="270" t="s">
        <v>2277</v>
      </c>
      <c r="B955" s="266"/>
      <c r="C955" s="266" t="s">
        <v>969</v>
      </c>
      <c r="D955" s="266" t="s">
        <v>6980</v>
      </c>
      <c r="E955" s="267" t="s">
        <v>6981</v>
      </c>
      <c r="F955" s="267">
        <v>32869</v>
      </c>
      <c r="G955" s="266" t="s">
        <v>2279</v>
      </c>
      <c r="H955" s="266" t="s">
        <v>577</v>
      </c>
      <c r="I955" s="266" t="s">
        <v>5812</v>
      </c>
      <c r="J955" s="266" t="s">
        <v>985</v>
      </c>
      <c r="K955" s="406" t="s">
        <v>6982</v>
      </c>
    </row>
    <row r="956" spans="1:11" x14ac:dyDescent="0.25">
      <c r="A956" s="270" t="s">
        <v>2280</v>
      </c>
      <c r="B956" s="266"/>
      <c r="C956" s="266" t="s">
        <v>969</v>
      </c>
      <c r="D956" s="266" t="s">
        <v>6983</v>
      </c>
      <c r="E956" s="267" t="s">
        <v>6981</v>
      </c>
      <c r="F956" s="267">
        <v>32869</v>
      </c>
      <c r="G956" s="266" t="s">
        <v>2279</v>
      </c>
      <c r="H956" s="266" t="s">
        <v>571</v>
      </c>
      <c r="I956" s="266" t="s">
        <v>5812</v>
      </c>
      <c r="J956" s="266" t="s">
        <v>985</v>
      </c>
      <c r="K956" s="406" t="s">
        <v>6984</v>
      </c>
    </row>
    <row r="957" spans="1:11" x14ac:dyDescent="0.25">
      <c r="A957" s="270" t="s">
        <v>2282</v>
      </c>
      <c r="B957" s="266"/>
      <c r="C957" s="266" t="s">
        <v>993</v>
      </c>
      <c r="D957" s="266" t="s">
        <v>6985</v>
      </c>
      <c r="E957" s="267" t="s">
        <v>6986</v>
      </c>
      <c r="F957" s="267">
        <v>32897</v>
      </c>
      <c r="G957" s="266" t="s">
        <v>2284</v>
      </c>
      <c r="H957" s="266" t="s">
        <v>2285</v>
      </c>
      <c r="I957" s="266" t="s">
        <v>5812</v>
      </c>
      <c r="J957" s="266" t="s">
        <v>996</v>
      </c>
      <c r="K957" s="406" t="s">
        <v>6987</v>
      </c>
    </row>
    <row r="958" spans="1:11" x14ac:dyDescent="0.25">
      <c r="A958" s="270" t="s">
        <v>2286</v>
      </c>
      <c r="B958" s="266"/>
      <c r="C958" s="266" t="s">
        <v>114</v>
      </c>
      <c r="D958" s="266" t="s">
        <v>6988</v>
      </c>
      <c r="E958" s="267" t="s">
        <v>6989</v>
      </c>
      <c r="F958" s="267">
        <v>32903</v>
      </c>
      <c r="G958" s="266" t="s">
        <v>928</v>
      </c>
      <c r="H958" s="266" t="s">
        <v>2288</v>
      </c>
      <c r="I958" s="266" t="s">
        <v>5812</v>
      </c>
      <c r="J958" s="266" t="s">
        <v>996</v>
      </c>
      <c r="K958" s="406" t="s">
        <v>6990</v>
      </c>
    </row>
    <row r="959" spans="1:11" x14ac:dyDescent="0.25">
      <c r="A959" s="270" t="s">
        <v>2289</v>
      </c>
      <c r="B959" s="266"/>
      <c r="C959" s="266" t="s">
        <v>309</v>
      </c>
      <c r="D959" s="266" t="s">
        <v>476</v>
      </c>
      <c r="E959" s="267" t="s">
        <v>6989</v>
      </c>
      <c r="F959" s="267">
        <v>32903</v>
      </c>
      <c r="G959" s="266" t="s">
        <v>1941</v>
      </c>
      <c r="H959" s="266" t="s">
        <v>928</v>
      </c>
      <c r="I959" s="266" t="s">
        <v>5812</v>
      </c>
      <c r="J959" s="266" t="s">
        <v>996</v>
      </c>
      <c r="K959" s="406" t="s">
        <v>6991</v>
      </c>
    </row>
    <row r="960" spans="1:11" x14ac:dyDescent="0.25">
      <c r="A960" s="270" t="s">
        <v>2291</v>
      </c>
      <c r="B960" s="266"/>
      <c r="C960" s="266" t="s">
        <v>309</v>
      </c>
      <c r="D960" s="266" t="s">
        <v>477</v>
      </c>
      <c r="E960" s="267" t="s">
        <v>6989</v>
      </c>
      <c r="F960" s="267">
        <v>32903</v>
      </c>
      <c r="G960" s="266" t="s">
        <v>478</v>
      </c>
      <c r="H960" s="266" t="s">
        <v>2293</v>
      </c>
      <c r="I960" s="266" t="s">
        <v>242</v>
      </c>
      <c r="J960" s="266" t="s">
        <v>996</v>
      </c>
      <c r="K960" s="406" t="s">
        <v>6992</v>
      </c>
    </row>
    <row r="961" spans="1:11" x14ac:dyDescent="0.25">
      <c r="A961" s="270" t="s">
        <v>2294</v>
      </c>
      <c r="B961" s="266"/>
      <c r="C961" s="266" t="s">
        <v>309</v>
      </c>
      <c r="D961" s="266" t="s">
        <v>479</v>
      </c>
      <c r="E961" s="267" t="s">
        <v>6989</v>
      </c>
      <c r="F961" s="267">
        <v>32903</v>
      </c>
      <c r="G961" s="266" t="s">
        <v>480</v>
      </c>
      <c r="H961" s="266" t="s">
        <v>2293</v>
      </c>
      <c r="I961" s="266" t="s">
        <v>242</v>
      </c>
      <c r="J961" s="266" t="s">
        <v>996</v>
      </c>
      <c r="K961" s="406" t="s">
        <v>6993</v>
      </c>
    </row>
    <row r="962" spans="1:11" x14ac:dyDescent="0.25">
      <c r="A962" s="270" t="s">
        <v>2296</v>
      </c>
      <c r="B962" s="266"/>
      <c r="C962" s="266" t="s">
        <v>309</v>
      </c>
      <c r="D962" s="266" t="s">
        <v>481</v>
      </c>
      <c r="E962" s="267" t="s">
        <v>6989</v>
      </c>
      <c r="F962" s="267">
        <v>32903</v>
      </c>
      <c r="G962" s="266" t="s">
        <v>482</v>
      </c>
      <c r="H962" s="266" t="s">
        <v>2293</v>
      </c>
      <c r="I962" s="266" t="s">
        <v>242</v>
      </c>
      <c r="J962" s="266" t="s">
        <v>996</v>
      </c>
      <c r="K962" s="406" t="s">
        <v>6994</v>
      </c>
    </row>
    <row r="963" spans="1:11" x14ac:dyDescent="0.25">
      <c r="A963" s="270" t="s">
        <v>2298</v>
      </c>
      <c r="B963" s="266"/>
      <c r="C963" s="266" t="s">
        <v>309</v>
      </c>
      <c r="D963" s="266" t="s">
        <v>471</v>
      </c>
      <c r="E963" s="267" t="s">
        <v>6989</v>
      </c>
      <c r="F963" s="267">
        <v>32903</v>
      </c>
      <c r="G963" s="266" t="s">
        <v>472</v>
      </c>
      <c r="H963" s="266" t="s">
        <v>2293</v>
      </c>
      <c r="I963" s="266" t="s">
        <v>242</v>
      </c>
      <c r="J963" s="266" t="s">
        <v>996</v>
      </c>
      <c r="K963" s="406" t="s">
        <v>6995</v>
      </c>
    </row>
    <row r="964" spans="1:11" x14ac:dyDescent="0.25">
      <c r="A964" s="270" t="s">
        <v>2300</v>
      </c>
      <c r="B964" s="266"/>
      <c r="C964" s="266" t="s">
        <v>309</v>
      </c>
      <c r="D964" s="266" t="s">
        <v>474</v>
      </c>
      <c r="E964" s="267" t="s">
        <v>6989</v>
      </c>
      <c r="F964" s="267">
        <v>32903</v>
      </c>
      <c r="G964" s="266" t="s">
        <v>475</v>
      </c>
      <c r="H964" s="266" t="s">
        <v>928</v>
      </c>
      <c r="I964" s="266" t="s">
        <v>5812</v>
      </c>
      <c r="J964" s="266" t="s">
        <v>996</v>
      </c>
      <c r="K964" s="406" t="s">
        <v>6996</v>
      </c>
    </row>
    <row r="965" spans="1:11" x14ac:dyDescent="0.25">
      <c r="A965" s="270" t="s">
        <v>2302</v>
      </c>
      <c r="B965" s="266"/>
      <c r="C965" s="266" t="s">
        <v>114</v>
      </c>
      <c r="D965" s="266" t="s">
        <v>6997</v>
      </c>
      <c r="E965" s="267" t="s">
        <v>6998</v>
      </c>
      <c r="F965" s="267">
        <v>32904</v>
      </c>
      <c r="G965" s="266" t="s">
        <v>923</v>
      </c>
      <c r="H965" s="266" t="s">
        <v>928</v>
      </c>
      <c r="I965" s="266" t="s">
        <v>5812</v>
      </c>
      <c r="J965" s="266" t="s">
        <v>996</v>
      </c>
      <c r="K965" s="406" t="s">
        <v>6999</v>
      </c>
    </row>
    <row r="966" spans="1:11" x14ac:dyDescent="0.25">
      <c r="A966" s="270" t="s">
        <v>2304</v>
      </c>
      <c r="B966" s="266"/>
      <c r="C966" s="266" t="s">
        <v>114</v>
      </c>
      <c r="D966" s="266" t="s">
        <v>7000</v>
      </c>
      <c r="E966" s="267" t="s">
        <v>6998</v>
      </c>
      <c r="F966" s="267">
        <v>32904</v>
      </c>
      <c r="G966" s="266" t="s">
        <v>925</v>
      </c>
      <c r="H966" s="266" t="s">
        <v>928</v>
      </c>
      <c r="I966" s="266" t="s">
        <v>242</v>
      </c>
      <c r="J966" s="266" t="s">
        <v>996</v>
      </c>
      <c r="K966" s="406" t="s">
        <v>7001</v>
      </c>
    </row>
    <row r="967" spans="1:11" x14ac:dyDescent="0.25">
      <c r="A967" s="270" t="s">
        <v>2306</v>
      </c>
      <c r="B967" s="266"/>
      <c r="C967" s="266" t="s">
        <v>309</v>
      </c>
      <c r="D967" s="266" t="s">
        <v>483</v>
      </c>
      <c r="E967" s="267" t="s">
        <v>6998</v>
      </c>
      <c r="F967" s="267">
        <v>32904</v>
      </c>
      <c r="G967" s="266" t="s">
        <v>392</v>
      </c>
      <c r="H967" s="266" t="s">
        <v>928</v>
      </c>
      <c r="I967" s="266" t="s">
        <v>242</v>
      </c>
      <c r="J967" s="266" t="s">
        <v>996</v>
      </c>
      <c r="K967" s="406" t="s">
        <v>7002</v>
      </c>
    </row>
    <row r="968" spans="1:11" x14ac:dyDescent="0.25">
      <c r="A968" s="270" t="s">
        <v>2308</v>
      </c>
      <c r="B968" s="266"/>
      <c r="C968" s="266" t="s">
        <v>309</v>
      </c>
      <c r="D968" s="266" t="s">
        <v>484</v>
      </c>
      <c r="E968" s="267" t="s">
        <v>6998</v>
      </c>
      <c r="F968" s="267">
        <v>32904</v>
      </c>
      <c r="G968" s="266" t="s">
        <v>7003</v>
      </c>
      <c r="H968" s="266" t="s">
        <v>928</v>
      </c>
      <c r="I968" s="266" t="s">
        <v>242</v>
      </c>
      <c r="J968" s="266" t="s">
        <v>996</v>
      </c>
      <c r="K968" s="406" t="s">
        <v>7004</v>
      </c>
    </row>
    <row r="969" spans="1:11" x14ac:dyDescent="0.25">
      <c r="A969" s="270" t="s">
        <v>2311</v>
      </c>
      <c r="B969" s="266"/>
      <c r="C969" s="266" t="s">
        <v>114</v>
      </c>
      <c r="D969" s="266" t="s">
        <v>7005</v>
      </c>
      <c r="E969" s="267" t="s">
        <v>7006</v>
      </c>
      <c r="F969" s="267">
        <v>32911</v>
      </c>
      <c r="G969" s="266" t="s">
        <v>2313</v>
      </c>
      <c r="H969" s="266" t="s">
        <v>2217</v>
      </c>
      <c r="I969" s="266" t="s">
        <v>242</v>
      </c>
      <c r="J969" s="266" t="s">
        <v>996</v>
      </c>
      <c r="K969" s="406" t="s">
        <v>7007</v>
      </c>
    </row>
    <row r="970" spans="1:11" x14ac:dyDescent="0.25">
      <c r="A970" s="270" t="s">
        <v>2314</v>
      </c>
      <c r="B970" s="266"/>
      <c r="C970" s="266" t="s">
        <v>969</v>
      </c>
      <c r="D970" s="266" t="s">
        <v>7008</v>
      </c>
      <c r="E970" s="267" t="s">
        <v>7009</v>
      </c>
      <c r="F970" s="267">
        <v>32920</v>
      </c>
      <c r="G970" s="266" t="s">
        <v>7010</v>
      </c>
      <c r="H970" s="266" t="s">
        <v>400</v>
      </c>
      <c r="I970" s="266" t="s">
        <v>5812</v>
      </c>
      <c r="J970" s="266" t="s">
        <v>985</v>
      </c>
      <c r="K970" s="406" t="s">
        <v>7011</v>
      </c>
    </row>
    <row r="971" spans="1:11" x14ac:dyDescent="0.25">
      <c r="A971" s="270" t="s">
        <v>2316</v>
      </c>
      <c r="B971" s="266"/>
      <c r="C971" s="266" t="s">
        <v>969</v>
      </c>
      <c r="D971" s="266" t="s">
        <v>7012</v>
      </c>
      <c r="E971" s="267" t="s">
        <v>7009</v>
      </c>
      <c r="F971" s="267">
        <v>32920</v>
      </c>
      <c r="G971" s="266" t="s">
        <v>7010</v>
      </c>
      <c r="H971" s="266" t="s">
        <v>1737</v>
      </c>
      <c r="I971" s="266" t="s">
        <v>5812</v>
      </c>
      <c r="J971" s="266" t="s">
        <v>985</v>
      </c>
      <c r="K971" s="406" t="s">
        <v>7013</v>
      </c>
    </row>
    <row r="972" spans="1:11" x14ac:dyDescent="0.25">
      <c r="A972" s="270" t="s">
        <v>2318</v>
      </c>
      <c r="B972" s="266"/>
      <c r="C972" s="266" t="s">
        <v>969</v>
      </c>
      <c r="D972" s="266" t="s">
        <v>7014</v>
      </c>
      <c r="E972" s="267" t="s">
        <v>7009</v>
      </c>
      <c r="F972" s="267">
        <v>32920</v>
      </c>
      <c r="G972" s="266" t="s">
        <v>7015</v>
      </c>
      <c r="H972" s="266" t="s">
        <v>395</v>
      </c>
      <c r="I972" s="266" t="s">
        <v>5812</v>
      </c>
      <c r="J972" s="266" t="s">
        <v>985</v>
      </c>
      <c r="K972" s="406" t="s">
        <v>7016</v>
      </c>
    </row>
    <row r="973" spans="1:11" x14ac:dyDescent="0.25">
      <c r="A973" s="270" t="s">
        <v>2320</v>
      </c>
      <c r="B973" s="266"/>
      <c r="C973" s="266" t="s">
        <v>969</v>
      </c>
      <c r="D973" s="266" t="s">
        <v>7017</v>
      </c>
      <c r="E973" s="267" t="s">
        <v>7009</v>
      </c>
      <c r="F973" s="267">
        <v>32920</v>
      </c>
      <c r="G973" s="266" t="s">
        <v>7010</v>
      </c>
      <c r="H973" s="266" t="s">
        <v>392</v>
      </c>
      <c r="I973" s="266" t="s">
        <v>5812</v>
      </c>
      <c r="J973" s="266" t="s">
        <v>985</v>
      </c>
      <c r="K973" s="406" t="s">
        <v>7018</v>
      </c>
    </row>
    <row r="974" spans="1:11" x14ac:dyDescent="0.25">
      <c r="A974" s="270" t="s">
        <v>2322</v>
      </c>
      <c r="B974" s="266"/>
      <c r="C974" s="266" t="s">
        <v>969</v>
      </c>
      <c r="D974" s="266" t="s">
        <v>7019</v>
      </c>
      <c r="E974" s="267" t="s">
        <v>7009</v>
      </c>
      <c r="F974" s="267">
        <v>32920</v>
      </c>
      <c r="G974" s="266" t="s">
        <v>7010</v>
      </c>
      <c r="H974" s="266" t="s">
        <v>1604</v>
      </c>
      <c r="I974" s="266" t="s">
        <v>5812</v>
      </c>
      <c r="J974" s="266" t="s">
        <v>985</v>
      </c>
      <c r="K974" s="406" t="s">
        <v>7020</v>
      </c>
    </row>
    <row r="975" spans="1:11" x14ac:dyDescent="0.25">
      <c r="A975" s="270" t="s">
        <v>2324</v>
      </c>
      <c r="B975" s="266"/>
      <c r="C975" s="266" t="s">
        <v>969</v>
      </c>
      <c r="D975" s="266" t="s">
        <v>7021</v>
      </c>
      <c r="E975" s="267" t="s">
        <v>7009</v>
      </c>
      <c r="F975" s="267">
        <v>32920</v>
      </c>
      <c r="G975" s="266" t="s">
        <v>7010</v>
      </c>
      <c r="H975" s="266" t="s">
        <v>397</v>
      </c>
      <c r="I975" s="266" t="s">
        <v>5812</v>
      </c>
      <c r="J975" s="266" t="s">
        <v>985</v>
      </c>
      <c r="K975" s="406" t="s">
        <v>7022</v>
      </c>
    </row>
    <row r="976" spans="1:11" x14ac:dyDescent="0.25">
      <c r="A976" s="270" t="s">
        <v>2326</v>
      </c>
      <c r="B976" s="266"/>
      <c r="C976" s="266" t="s">
        <v>969</v>
      </c>
      <c r="D976" s="266" t="s">
        <v>7023</v>
      </c>
      <c r="E976" s="267" t="s">
        <v>7009</v>
      </c>
      <c r="F976" s="267">
        <v>32920</v>
      </c>
      <c r="G976" s="266" t="s">
        <v>7010</v>
      </c>
      <c r="H976" s="266" t="s">
        <v>573</v>
      </c>
      <c r="I976" s="266" t="s">
        <v>5812</v>
      </c>
      <c r="J976" s="266" t="s">
        <v>985</v>
      </c>
      <c r="K976" s="406" t="s">
        <v>7024</v>
      </c>
    </row>
    <row r="977" spans="1:11" x14ac:dyDescent="0.25">
      <c r="A977" s="270" t="s">
        <v>2328</v>
      </c>
      <c r="B977" s="266"/>
      <c r="C977" s="266" t="s">
        <v>969</v>
      </c>
      <c r="D977" s="266" t="s">
        <v>7025</v>
      </c>
      <c r="E977" s="267" t="s">
        <v>7009</v>
      </c>
      <c r="F977" s="267">
        <v>32920</v>
      </c>
      <c r="G977" s="266" t="s">
        <v>7010</v>
      </c>
      <c r="H977" s="266" t="s">
        <v>394</v>
      </c>
      <c r="I977" s="266" t="s">
        <v>5812</v>
      </c>
      <c r="J977" s="266" t="s">
        <v>985</v>
      </c>
      <c r="K977" s="406" t="s">
        <v>7026</v>
      </c>
    </row>
    <row r="978" spans="1:11" x14ac:dyDescent="0.25">
      <c r="A978" s="270" t="s">
        <v>2330</v>
      </c>
      <c r="B978" s="266"/>
      <c r="C978" s="266" t="s">
        <v>969</v>
      </c>
      <c r="D978" s="266" t="s">
        <v>7027</v>
      </c>
      <c r="E978" s="267" t="s">
        <v>7009</v>
      </c>
      <c r="F978" s="267">
        <v>32920</v>
      </c>
      <c r="G978" s="266" t="s">
        <v>7010</v>
      </c>
      <c r="H978" s="266" t="s">
        <v>396</v>
      </c>
      <c r="I978" s="266" t="s">
        <v>242</v>
      </c>
      <c r="J978" s="266" t="s">
        <v>985</v>
      </c>
      <c r="K978" s="406" t="s">
        <v>7028</v>
      </c>
    </row>
    <row r="979" spans="1:11" x14ac:dyDescent="0.25">
      <c r="A979" s="270" t="s">
        <v>2332</v>
      </c>
      <c r="B979" s="266"/>
      <c r="C979" s="266" t="s">
        <v>114</v>
      </c>
      <c r="D979" s="266" t="s">
        <v>7029</v>
      </c>
      <c r="E979" s="267" t="s">
        <v>7030</v>
      </c>
      <c r="F979" s="267">
        <v>32930</v>
      </c>
      <c r="G979" s="266" t="s">
        <v>2334</v>
      </c>
      <c r="H979" s="266" t="s">
        <v>2335</v>
      </c>
      <c r="I979" s="266" t="s">
        <v>6193</v>
      </c>
      <c r="J979" s="266" t="s">
        <v>996</v>
      </c>
      <c r="K979" s="406" t="s">
        <v>7031</v>
      </c>
    </row>
    <row r="980" spans="1:11" x14ac:dyDescent="0.25">
      <c r="A980" s="270" t="s">
        <v>2336</v>
      </c>
      <c r="B980" s="266"/>
      <c r="C980" s="266" t="s">
        <v>1274</v>
      </c>
      <c r="D980" s="266" t="s">
        <v>7032</v>
      </c>
      <c r="E980" s="267" t="s">
        <v>7033</v>
      </c>
      <c r="F980" s="267">
        <v>32952</v>
      </c>
      <c r="G980" s="266" t="s">
        <v>2338</v>
      </c>
      <c r="H980" s="266" t="s">
        <v>1110</v>
      </c>
      <c r="I980" s="266" t="s">
        <v>5812</v>
      </c>
      <c r="J980" s="266" t="s">
        <v>985</v>
      </c>
      <c r="K980" s="406" t="s">
        <v>7034</v>
      </c>
    </row>
    <row r="981" spans="1:11" x14ac:dyDescent="0.25">
      <c r="A981" s="270" t="s">
        <v>2339</v>
      </c>
      <c r="B981" s="266"/>
      <c r="C981" s="266" t="s">
        <v>993</v>
      </c>
      <c r="D981" s="266" t="s">
        <v>7035</v>
      </c>
      <c r="E981" s="267" t="s">
        <v>7036</v>
      </c>
      <c r="F981" s="267">
        <v>32957</v>
      </c>
      <c r="G981" s="266" t="s">
        <v>2341</v>
      </c>
      <c r="H981" s="266" t="s">
        <v>377</v>
      </c>
      <c r="I981" s="266" t="s">
        <v>242</v>
      </c>
      <c r="J981" s="266" t="s">
        <v>996</v>
      </c>
      <c r="K981" s="406" t="s">
        <v>7037</v>
      </c>
    </row>
    <row r="982" spans="1:11" x14ac:dyDescent="0.25">
      <c r="A982" s="270" t="s">
        <v>2342</v>
      </c>
      <c r="B982" s="266"/>
      <c r="C982" s="266" t="s">
        <v>993</v>
      </c>
      <c r="D982" s="266" t="s">
        <v>7038</v>
      </c>
      <c r="E982" s="267" t="s">
        <v>7036</v>
      </c>
      <c r="F982" s="267">
        <v>32957</v>
      </c>
      <c r="G982" s="266" t="s">
        <v>2341</v>
      </c>
      <c r="H982" s="266" t="s">
        <v>377</v>
      </c>
      <c r="I982" s="266" t="s">
        <v>242</v>
      </c>
      <c r="J982" s="266" t="s">
        <v>996</v>
      </c>
      <c r="K982" s="406" t="s">
        <v>7039</v>
      </c>
    </row>
    <row r="983" spans="1:11" x14ac:dyDescent="0.25">
      <c r="A983" s="270" t="s">
        <v>2344</v>
      </c>
      <c r="B983" s="266"/>
      <c r="C983" s="266" t="s">
        <v>993</v>
      </c>
      <c r="D983" s="266" t="s">
        <v>7040</v>
      </c>
      <c r="E983" s="267" t="s">
        <v>7036</v>
      </c>
      <c r="F983" s="267">
        <v>32957</v>
      </c>
      <c r="G983" s="266" t="s">
        <v>2341</v>
      </c>
      <c r="H983" s="266" t="s">
        <v>2346</v>
      </c>
      <c r="I983" s="266" t="s">
        <v>242</v>
      </c>
      <c r="J983" s="266" t="s">
        <v>996</v>
      </c>
      <c r="K983" s="406" t="s">
        <v>7041</v>
      </c>
    </row>
    <row r="984" spans="1:11" x14ac:dyDescent="0.25">
      <c r="A984" s="270" t="s">
        <v>2347</v>
      </c>
      <c r="B984" s="266"/>
      <c r="C984" s="266" t="s">
        <v>993</v>
      </c>
      <c r="D984" s="266" t="s">
        <v>7042</v>
      </c>
      <c r="E984" s="267" t="s">
        <v>7036</v>
      </c>
      <c r="F984" s="267">
        <v>32957</v>
      </c>
      <c r="G984" s="266" t="s">
        <v>2341</v>
      </c>
      <c r="H984" s="266" t="s">
        <v>2346</v>
      </c>
      <c r="I984" s="266" t="s">
        <v>242</v>
      </c>
      <c r="J984" s="266" t="s">
        <v>996</v>
      </c>
      <c r="K984" s="406" t="s">
        <v>7043</v>
      </c>
    </row>
    <row r="985" spans="1:11" x14ac:dyDescent="0.25">
      <c r="A985" s="270" t="s">
        <v>2349</v>
      </c>
      <c r="B985" s="266"/>
      <c r="C985" s="266" t="s">
        <v>969</v>
      </c>
      <c r="D985" s="266" t="s">
        <v>7044</v>
      </c>
      <c r="E985" s="267" t="s">
        <v>7036</v>
      </c>
      <c r="F985" s="267">
        <v>32957</v>
      </c>
      <c r="G985" s="266" t="s">
        <v>2279</v>
      </c>
      <c r="H985" s="266" t="s">
        <v>571</v>
      </c>
      <c r="I985" s="266" t="s">
        <v>5812</v>
      </c>
      <c r="J985" s="266" t="s">
        <v>985</v>
      </c>
      <c r="K985" s="406" t="s">
        <v>7045</v>
      </c>
    </row>
    <row r="986" spans="1:11" x14ac:dyDescent="0.25">
      <c r="A986" s="270" t="s">
        <v>2351</v>
      </c>
      <c r="B986" s="266"/>
      <c r="C986" s="266" t="s">
        <v>969</v>
      </c>
      <c r="D986" s="266" t="s">
        <v>7046</v>
      </c>
      <c r="E986" s="267" t="s">
        <v>7036</v>
      </c>
      <c r="F986" s="267">
        <v>32957</v>
      </c>
      <c r="G986" s="266" t="s">
        <v>2279</v>
      </c>
      <c r="H986" s="266" t="s">
        <v>577</v>
      </c>
      <c r="I986" s="266" t="s">
        <v>5812</v>
      </c>
      <c r="J986" s="266" t="s">
        <v>985</v>
      </c>
      <c r="K986" s="406" t="s">
        <v>7047</v>
      </c>
    </row>
    <row r="987" spans="1:11" x14ac:dyDescent="0.25">
      <c r="A987" s="270" t="s">
        <v>2353</v>
      </c>
      <c r="B987" s="266"/>
      <c r="C987" s="266" t="s">
        <v>969</v>
      </c>
      <c r="D987" s="266" t="s">
        <v>7048</v>
      </c>
      <c r="E987" s="267" t="s">
        <v>7049</v>
      </c>
      <c r="F987" s="267">
        <v>32960</v>
      </c>
      <c r="G987" s="266" t="s">
        <v>2235</v>
      </c>
      <c r="H987" s="266" t="s">
        <v>7050</v>
      </c>
      <c r="I987" s="266" t="s">
        <v>5812</v>
      </c>
      <c r="J987" s="266" t="s">
        <v>985</v>
      </c>
      <c r="K987" s="406" t="s">
        <v>7051</v>
      </c>
    </row>
    <row r="988" spans="1:11" x14ac:dyDescent="0.25">
      <c r="A988" s="270" t="s">
        <v>2356</v>
      </c>
      <c r="B988" s="266"/>
      <c r="C988" s="266" t="s">
        <v>969</v>
      </c>
      <c r="D988" s="266" t="s">
        <v>7052</v>
      </c>
      <c r="E988" s="267" t="s">
        <v>7053</v>
      </c>
      <c r="F988" s="267">
        <v>32969</v>
      </c>
      <c r="G988" s="266" t="s">
        <v>2313</v>
      </c>
      <c r="H988" s="266" t="s">
        <v>2358</v>
      </c>
      <c r="I988" s="266" t="s">
        <v>5812</v>
      </c>
      <c r="J988" s="266" t="s">
        <v>985</v>
      </c>
      <c r="K988" s="406" t="s">
        <v>7054</v>
      </c>
    </row>
    <row r="989" spans="1:11" x14ac:dyDescent="0.25">
      <c r="A989" s="270" t="s">
        <v>2359</v>
      </c>
      <c r="B989" s="266"/>
      <c r="C989" s="266" t="s">
        <v>1274</v>
      </c>
      <c r="D989" s="266" t="s">
        <v>7055</v>
      </c>
      <c r="E989" s="267" t="s">
        <v>7053</v>
      </c>
      <c r="F989" s="267">
        <v>32969</v>
      </c>
      <c r="G989" s="266" t="s">
        <v>2160</v>
      </c>
      <c r="H989" s="266" t="s">
        <v>2161</v>
      </c>
      <c r="I989" s="266" t="s">
        <v>5812</v>
      </c>
      <c r="J989" s="266" t="s">
        <v>985</v>
      </c>
      <c r="K989" s="406" t="s">
        <v>7056</v>
      </c>
    </row>
    <row r="990" spans="1:11" x14ac:dyDescent="0.25">
      <c r="A990" s="270" t="s">
        <v>2361</v>
      </c>
      <c r="B990" s="266"/>
      <c r="C990" s="266" t="s">
        <v>1274</v>
      </c>
      <c r="D990" s="266" t="s">
        <v>7057</v>
      </c>
      <c r="E990" s="267" t="s">
        <v>7053</v>
      </c>
      <c r="F990" s="267">
        <v>32969</v>
      </c>
      <c r="G990" s="266" t="s">
        <v>2160</v>
      </c>
      <c r="H990" s="266" t="s">
        <v>2161</v>
      </c>
      <c r="I990" s="266" t="s">
        <v>5812</v>
      </c>
      <c r="J990" s="266" t="s">
        <v>985</v>
      </c>
      <c r="K990" s="406" t="s">
        <v>7058</v>
      </c>
    </row>
    <row r="991" spans="1:11" x14ac:dyDescent="0.25">
      <c r="A991" s="270" t="s">
        <v>2363</v>
      </c>
      <c r="B991" s="266"/>
      <c r="C991" s="266" t="s">
        <v>1274</v>
      </c>
      <c r="D991" s="266" t="s">
        <v>7059</v>
      </c>
      <c r="E991" s="267" t="s">
        <v>7053</v>
      </c>
      <c r="F991" s="267">
        <v>32969</v>
      </c>
      <c r="G991" s="266" t="s">
        <v>2160</v>
      </c>
      <c r="H991" s="266" t="s">
        <v>2161</v>
      </c>
      <c r="I991" s="266" t="s">
        <v>242</v>
      </c>
      <c r="J991" s="266" t="s">
        <v>985</v>
      </c>
      <c r="K991" s="406" t="s">
        <v>7060</v>
      </c>
    </row>
    <row r="992" spans="1:11" x14ac:dyDescent="0.25">
      <c r="A992" s="270" t="s">
        <v>2365</v>
      </c>
      <c r="B992" s="266"/>
      <c r="C992" s="266" t="s">
        <v>1274</v>
      </c>
      <c r="D992" s="266" t="s">
        <v>7061</v>
      </c>
      <c r="E992" s="267" t="s">
        <v>7053</v>
      </c>
      <c r="F992" s="267">
        <v>32969</v>
      </c>
      <c r="G992" s="266" t="s">
        <v>2160</v>
      </c>
      <c r="H992" s="266" t="s">
        <v>2161</v>
      </c>
      <c r="I992" s="266" t="s">
        <v>242</v>
      </c>
      <c r="J992" s="266" t="s">
        <v>985</v>
      </c>
      <c r="K992" s="406" t="s">
        <v>7062</v>
      </c>
    </row>
    <row r="993" spans="1:11" x14ac:dyDescent="0.25">
      <c r="A993" s="270" t="s">
        <v>2367</v>
      </c>
      <c r="B993" s="266"/>
      <c r="C993" s="266" t="s">
        <v>1274</v>
      </c>
      <c r="D993" s="266" t="s">
        <v>7063</v>
      </c>
      <c r="E993" s="267" t="s">
        <v>7053</v>
      </c>
      <c r="F993" s="267">
        <v>32969</v>
      </c>
      <c r="G993" s="266" t="s">
        <v>2160</v>
      </c>
      <c r="H993" s="266" t="s">
        <v>2161</v>
      </c>
      <c r="I993" s="266" t="s">
        <v>242</v>
      </c>
      <c r="J993" s="266" t="s">
        <v>985</v>
      </c>
      <c r="K993" s="406" t="s">
        <v>7064</v>
      </c>
    </row>
    <row r="994" spans="1:11" x14ac:dyDescent="0.25">
      <c r="A994" s="270" t="s">
        <v>2369</v>
      </c>
      <c r="B994" s="266"/>
      <c r="C994" s="266" t="s">
        <v>1274</v>
      </c>
      <c r="D994" s="266" t="s">
        <v>7065</v>
      </c>
      <c r="E994" s="267" t="s">
        <v>7053</v>
      </c>
      <c r="F994" s="267">
        <v>32969</v>
      </c>
      <c r="G994" s="266" t="s">
        <v>2160</v>
      </c>
      <c r="H994" s="266" t="s">
        <v>2161</v>
      </c>
      <c r="I994" s="266" t="s">
        <v>5812</v>
      </c>
      <c r="J994" s="266" t="s">
        <v>985</v>
      </c>
      <c r="K994" s="406" t="s">
        <v>7066</v>
      </c>
    </row>
    <row r="995" spans="1:11" x14ac:dyDescent="0.25">
      <c r="A995" s="270" t="s">
        <v>2371</v>
      </c>
      <c r="B995" s="266"/>
      <c r="C995" s="266" t="s">
        <v>969</v>
      </c>
      <c r="D995" s="266" t="s">
        <v>7067</v>
      </c>
      <c r="E995" s="267" t="s">
        <v>7068</v>
      </c>
      <c r="F995" s="267">
        <v>32975</v>
      </c>
      <c r="G995" s="266" t="s">
        <v>2373</v>
      </c>
      <c r="H995" s="266" t="s">
        <v>944</v>
      </c>
      <c r="I995" s="266" t="s">
        <v>5812</v>
      </c>
      <c r="J995" s="266" t="s">
        <v>985</v>
      </c>
      <c r="K995" s="406" t="s">
        <v>7069</v>
      </c>
    </row>
    <row r="996" spans="1:11" x14ac:dyDescent="0.25">
      <c r="A996" s="270" t="s">
        <v>2374</v>
      </c>
      <c r="B996" s="266"/>
      <c r="C996" s="266" t="s">
        <v>969</v>
      </c>
      <c r="D996" s="266" t="s">
        <v>7070</v>
      </c>
      <c r="E996" s="267" t="s">
        <v>7071</v>
      </c>
      <c r="F996" s="267">
        <v>32993</v>
      </c>
      <c r="G996" s="266" t="s">
        <v>944</v>
      </c>
      <c r="H996" s="266" t="s">
        <v>2376</v>
      </c>
      <c r="I996" s="266" t="s">
        <v>5812</v>
      </c>
      <c r="J996" s="266" t="s">
        <v>985</v>
      </c>
      <c r="K996" s="406" t="s">
        <v>7072</v>
      </c>
    </row>
    <row r="997" spans="1:11" x14ac:dyDescent="0.25">
      <c r="A997" s="270" t="s">
        <v>2377</v>
      </c>
      <c r="B997" s="266"/>
      <c r="C997" s="266" t="s">
        <v>114</v>
      </c>
      <c r="D997" s="266" t="s">
        <v>7073</v>
      </c>
      <c r="E997" s="267" t="s">
        <v>7074</v>
      </c>
      <c r="F997" s="267">
        <v>32997</v>
      </c>
      <c r="G997" s="266" t="s">
        <v>2379</v>
      </c>
      <c r="H997" s="266" t="s">
        <v>2380</v>
      </c>
      <c r="I997" s="266" t="s">
        <v>5812</v>
      </c>
      <c r="J997" s="266" t="s">
        <v>996</v>
      </c>
      <c r="K997" s="406" t="s">
        <v>7075</v>
      </c>
    </row>
    <row r="998" spans="1:11" x14ac:dyDescent="0.25">
      <c r="A998" s="270" t="s">
        <v>2381</v>
      </c>
      <c r="B998" s="266"/>
      <c r="C998" s="266" t="s">
        <v>969</v>
      </c>
      <c r="D998" s="266" t="s">
        <v>7076</v>
      </c>
      <c r="E998" s="267" t="s">
        <v>7077</v>
      </c>
      <c r="F998" s="267">
        <v>33000</v>
      </c>
      <c r="G998" s="266" t="s">
        <v>2383</v>
      </c>
      <c r="H998" s="266" t="s">
        <v>2384</v>
      </c>
      <c r="I998" s="266" t="s">
        <v>5812</v>
      </c>
      <c r="J998" s="266" t="s">
        <v>985</v>
      </c>
      <c r="K998" s="406" t="s">
        <v>7078</v>
      </c>
    </row>
    <row r="999" spans="1:11" x14ac:dyDescent="0.25">
      <c r="A999" s="270" t="s">
        <v>2385</v>
      </c>
      <c r="B999" s="266"/>
      <c r="C999" s="266" t="s">
        <v>969</v>
      </c>
      <c r="D999" s="266" t="s">
        <v>7079</v>
      </c>
      <c r="E999" s="267" t="s">
        <v>7080</v>
      </c>
      <c r="F999" s="267">
        <v>33025</v>
      </c>
      <c r="G999" s="266" t="s">
        <v>2358</v>
      </c>
      <c r="H999" s="266" t="s">
        <v>944</v>
      </c>
      <c r="I999" s="266" t="s">
        <v>5812</v>
      </c>
      <c r="J999" s="266" t="s">
        <v>985</v>
      </c>
      <c r="K999" s="406" t="s">
        <v>7081</v>
      </c>
    </row>
    <row r="1000" spans="1:11" x14ac:dyDescent="0.25">
      <c r="A1000" s="270" t="s">
        <v>2387</v>
      </c>
      <c r="B1000" s="266"/>
      <c r="C1000" s="266" t="s">
        <v>114</v>
      </c>
      <c r="D1000" s="266" t="s">
        <v>7082</v>
      </c>
      <c r="E1000" s="267" t="s">
        <v>7083</v>
      </c>
      <c r="F1000" s="267">
        <v>33033</v>
      </c>
      <c r="G1000" s="266" t="s">
        <v>928</v>
      </c>
      <c r="H1000" s="266" t="s">
        <v>2288</v>
      </c>
      <c r="I1000" s="266" t="s">
        <v>5812</v>
      </c>
      <c r="J1000" s="266" t="s">
        <v>996</v>
      </c>
      <c r="K1000" s="406" t="s">
        <v>7084</v>
      </c>
    </row>
    <row r="1001" spans="1:11" x14ac:dyDescent="0.25">
      <c r="A1001" s="270" t="s">
        <v>2389</v>
      </c>
      <c r="B1001" s="266"/>
      <c r="C1001" s="266" t="s">
        <v>969</v>
      </c>
      <c r="D1001" s="266" t="s">
        <v>7085</v>
      </c>
      <c r="E1001" s="267" t="s">
        <v>7086</v>
      </c>
      <c r="F1001" s="267">
        <v>33059</v>
      </c>
      <c r="G1001" s="266" t="s">
        <v>944</v>
      </c>
      <c r="H1001" s="266" t="s">
        <v>2391</v>
      </c>
      <c r="I1001" s="266" t="s">
        <v>5812</v>
      </c>
      <c r="J1001" s="266" t="s">
        <v>985</v>
      </c>
      <c r="K1001" s="406" t="s">
        <v>7087</v>
      </c>
    </row>
    <row r="1002" spans="1:11" x14ac:dyDescent="0.25">
      <c r="A1002" s="270" t="s">
        <v>2392</v>
      </c>
      <c r="B1002" s="266"/>
      <c r="C1002" s="266" t="s">
        <v>969</v>
      </c>
      <c r="D1002" s="266" t="s">
        <v>7088</v>
      </c>
      <c r="E1002" s="267" t="s">
        <v>7089</v>
      </c>
      <c r="F1002" s="267">
        <v>33073</v>
      </c>
      <c r="G1002" s="266" t="s">
        <v>2394</v>
      </c>
      <c r="H1002" s="266" t="s">
        <v>2395</v>
      </c>
      <c r="I1002" s="266" t="s">
        <v>6193</v>
      </c>
      <c r="J1002" s="266" t="s">
        <v>985</v>
      </c>
      <c r="K1002" s="406" t="s">
        <v>7090</v>
      </c>
    </row>
    <row r="1003" spans="1:11" x14ac:dyDescent="0.25">
      <c r="A1003" s="270" t="s">
        <v>2396</v>
      </c>
      <c r="B1003" s="266"/>
      <c r="C1003" s="266" t="s">
        <v>969</v>
      </c>
      <c r="D1003" s="266" t="s">
        <v>7091</v>
      </c>
      <c r="E1003" s="267" t="s">
        <v>7092</v>
      </c>
      <c r="F1003" s="267">
        <v>33114</v>
      </c>
      <c r="G1003" s="266" t="s">
        <v>2171</v>
      </c>
      <c r="H1003" s="266" t="s">
        <v>610</v>
      </c>
      <c r="I1003" s="266" t="s">
        <v>5812</v>
      </c>
      <c r="J1003" s="266" t="s">
        <v>985</v>
      </c>
      <c r="K1003" s="406" t="s">
        <v>7093</v>
      </c>
    </row>
    <row r="1004" spans="1:11" x14ac:dyDescent="0.25">
      <c r="A1004" s="270" t="s">
        <v>2398</v>
      </c>
      <c r="B1004" s="266"/>
      <c r="C1004" s="266" t="s">
        <v>969</v>
      </c>
      <c r="D1004" s="266" t="s">
        <v>7094</v>
      </c>
      <c r="E1004" s="267" t="s">
        <v>7092</v>
      </c>
      <c r="F1004" s="267">
        <v>33114</v>
      </c>
      <c r="G1004" s="266" t="s">
        <v>304</v>
      </c>
      <c r="H1004" s="266" t="s">
        <v>610</v>
      </c>
      <c r="I1004" s="266" t="s">
        <v>5812</v>
      </c>
      <c r="J1004" s="266" t="s">
        <v>985</v>
      </c>
      <c r="K1004" s="406" t="s">
        <v>7095</v>
      </c>
    </row>
    <row r="1005" spans="1:11" x14ac:dyDescent="0.25">
      <c r="A1005" s="270" t="s">
        <v>2400</v>
      </c>
      <c r="B1005" s="266"/>
      <c r="C1005" s="266" t="s">
        <v>993</v>
      </c>
      <c r="D1005" s="266" t="s">
        <v>7096</v>
      </c>
      <c r="E1005" s="267" t="s">
        <v>7097</v>
      </c>
      <c r="F1005" s="267">
        <v>33140</v>
      </c>
      <c r="G1005" s="266" t="s">
        <v>447</v>
      </c>
      <c r="H1005" s="266" t="s">
        <v>407</v>
      </c>
      <c r="I1005" s="266" t="s">
        <v>242</v>
      </c>
      <c r="J1005" s="266" t="s">
        <v>996</v>
      </c>
      <c r="K1005" s="406" t="s">
        <v>7098</v>
      </c>
    </row>
    <row r="1006" spans="1:11" x14ac:dyDescent="0.25">
      <c r="A1006" s="270" t="s">
        <v>2402</v>
      </c>
      <c r="B1006" s="266"/>
      <c r="C1006" s="266" t="s">
        <v>969</v>
      </c>
      <c r="D1006" s="266" t="s">
        <v>7099</v>
      </c>
      <c r="E1006" s="267" t="s">
        <v>7100</v>
      </c>
      <c r="F1006" s="267">
        <v>33158</v>
      </c>
      <c r="G1006" s="266" t="s">
        <v>2404</v>
      </c>
      <c r="H1006" s="266" t="s">
        <v>2405</v>
      </c>
      <c r="I1006" s="266" t="s">
        <v>5812</v>
      </c>
      <c r="J1006" s="266" t="s">
        <v>985</v>
      </c>
      <c r="K1006" s="406" t="s">
        <v>7101</v>
      </c>
    </row>
    <row r="1007" spans="1:11" x14ac:dyDescent="0.25">
      <c r="A1007" s="270" t="s">
        <v>2406</v>
      </c>
      <c r="B1007" s="266"/>
      <c r="C1007" s="266" t="s">
        <v>1274</v>
      </c>
      <c r="D1007" s="266" t="s">
        <v>7102</v>
      </c>
      <c r="E1007" s="267" t="s">
        <v>7103</v>
      </c>
      <c r="F1007" s="267">
        <v>33205</v>
      </c>
      <c r="G1007" s="266" t="s">
        <v>381</v>
      </c>
      <c r="H1007" s="266" t="s">
        <v>2408</v>
      </c>
      <c r="I1007" s="266" t="s">
        <v>5812</v>
      </c>
      <c r="J1007" s="266" t="s">
        <v>985</v>
      </c>
      <c r="K1007" s="406" t="s">
        <v>7104</v>
      </c>
    </row>
    <row r="1008" spans="1:11" x14ac:dyDescent="0.25">
      <c r="A1008" s="270" t="s">
        <v>2409</v>
      </c>
      <c r="B1008" s="266"/>
      <c r="C1008" s="266" t="s">
        <v>969</v>
      </c>
      <c r="D1008" s="266" t="s">
        <v>7105</v>
      </c>
      <c r="E1008" s="267" t="s">
        <v>7106</v>
      </c>
      <c r="F1008" s="267">
        <v>33277</v>
      </c>
      <c r="G1008" s="266" t="s">
        <v>2411</v>
      </c>
      <c r="H1008" s="266" t="s">
        <v>2412</v>
      </c>
      <c r="I1008" s="266" t="s">
        <v>5812</v>
      </c>
      <c r="J1008" s="266" t="s">
        <v>985</v>
      </c>
      <c r="K1008" s="406" t="s">
        <v>7107</v>
      </c>
    </row>
    <row r="1009" spans="1:11" x14ac:dyDescent="0.25">
      <c r="A1009" s="270" t="s">
        <v>2413</v>
      </c>
      <c r="B1009" s="266"/>
      <c r="C1009" s="266" t="s">
        <v>114</v>
      </c>
      <c r="D1009" s="266" t="s">
        <v>7108</v>
      </c>
      <c r="E1009" s="267" t="s">
        <v>7109</v>
      </c>
      <c r="F1009" s="267">
        <v>33315</v>
      </c>
      <c r="G1009" s="266" t="s">
        <v>466</v>
      </c>
      <c r="H1009" s="266" t="s">
        <v>2415</v>
      </c>
      <c r="I1009" s="266" t="s">
        <v>5812</v>
      </c>
      <c r="J1009" s="266" t="s">
        <v>996</v>
      </c>
      <c r="K1009" s="406" t="s">
        <v>7110</v>
      </c>
    </row>
    <row r="1010" spans="1:11" x14ac:dyDescent="0.25">
      <c r="A1010" s="270" t="s">
        <v>2416</v>
      </c>
      <c r="B1010" s="266"/>
      <c r="C1010" s="266" t="s">
        <v>114</v>
      </c>
      <c r="D1010" s="266" t="s">
        <v>7111</v>
      </c>
      <c r="E1010" s="267" t="s">
        <v>7112</v>
      </c>
      <c r="F1010" s="267">
        <v>33378</v>
      </c>
      <c r="G1010" s="266" t="s">
        <v>928</v>
      </c>
      <c r="H1010" s="266" t="s">
        <v>2288</v>
      </c>
      <c r="I1010" s="266" t="s">
        <v>5812</v>
      </c>
      <c r="J1010" s="266" t="s">
        <v>996</v>
      </c>
      <c r="K1010" s="406" t="s">
        <v>7113</v>
      </c>
    </row>
    <row r="1011" spans="1:11" x14ac:dyDescent="0.25">
      <c r="A1011" s="270" t="s">
        <v>2418</v>
      </c>
      <c r="B1011" s="266"/>
      <c r="C1011" s="266" t="s">
        <v>1107</v>
      </c>
      <c r="D1011" s="266" t="s">
        <v>7114</v>
      </c>
      <c r="E1011" s="267" t="s">
        <v>7115</v>
      </c>
      <c r="F1011" s="267">
        <v>33399</v>
      </c>
      <c r="G1011" s="266" t="s">
        <v>2420</v>
      </c>
      <c r="H1011" s="266" t="s">
        <v>2420</v>
      </c>
      <c r="I1011" s="266" t="s">
        <v>5812</v>
      </c>
      <c r="J1011" s="266" t="s">
        <v>1095</v>
      </c>
      <c r="K1011" s="406" t="s">
        <v>7116</v>
      </c>
    </row>
    <row r="1012" spans="1:11" x14ac:dyDescent="0.25">
      <c r="A1012" s="270" t="s">
        <v>2421</v>
      </c>
      <c r="B1012" s="266"/>
      <c r="C1012" s="266" t="s">
        <v>114</v>
      </c>
      <c r="D1012" s="266" t="s">
        <v>7117</v>
      </c>
      <c r="E1012" s="267" t="s">
        <v>7118</v>
      </c>
      <c r="F1012" s="267">
        <v>33444</v>
      </c>
      <c r="G1012" s="266" t="s">
        <v>2423</v>
      </c>
      <c r="H1012" s="266" t="s">
        <v>2415</v>
      </c>
      <c r="I1012" s="266" t="s">
        <v>5812</v>
      </c>
      <c r="J1012" s="266" t="s">
        <v>996</v>
      </c>
      <c r="K1012" s="406" t="s">
        <v>7119</v>
      </c>
    </row>
    <row r="1013" spans="1:11" x14ac:dyDescent="0.25">
      <c r="A1013" s="270" t="s">
        <v>2425</v>
      </c>
      <c r="B1013" s="266"/>
      <c r="C1013" s="266" t="s">
        <v>114</v>
      </c>
      <c r="D1013" s="266" t="s">
        <v>7120</v>
      </c>
      <c r="E1013" s="267" t="s">
        <v>7121</v>
      </c>
      <c r="F1013" s="267">
        <v>33451</v>
      </c>
      <c r="G1013" s="266" t="s">
        <v>2427</v>
      </c>
      <c r="H1013" s="266" t="s">
        <v>2428</v>
      </c>
      <c r="I1013" s="266" t="s">
        <v>5812</v>
      </c>
      <c r="J1013" s="266" t="s">
        <v>996</v>
      </c>
      <c r="K1013" s="406" t="s">
        <v>7122</v>
      </c>
    </row>
    <row r="1014" spans="1:11" x14ac:dyDescent="0.25">
      <c r="A1014" s="270" t="s">
        <v>2429</v>
      </c>
      <c r="B1014" s="266"/>
      <c r="C1014" s="266" t="s">
        <v>2430</v>
      </c>
      <c r="D1014" s="266" t="s">
        <v>7123</v>
      </c>
      <c r="E1014" s="267" t="s">
        <v>7124</v>
      </c>
      <c r="F1014" s="267">
        <v>33456</v>
      </c>
      <c r="G1014" s="266" t="s">
        <v>2432</v>
      </c>
      <c r="H1014" s="266" t="s">
        <v>345</v>
      </c>
      <c r="I1014" s="266" t="s">
        <v>5812</v>
      </c>
      <c r="J1014" s="266" t="s">
        <v>985</v>
      </c>
      <c r="K1014" s="406" t="s">
        <v>7125</v>
      </c>
    </row>
    <row r="1015" spans="1:11" x14ac:dyDescent="0.25">
      <c r="A1015" s="270" t="s">
        <v>2433</v>
      </c>
      <c r="B1015" s="266"/>
      <c r="C1015" s="266" t="s">
        <v>114</v>
      </c>
      <c r="D1015" s="266" t="s">
        <v>7126</v>
      </c>
      <c r="E1015" s="267" t="s">
        <v>7127</v>
      </c>
      <c r="F1015" s="267">
        <v>33456</v>
      </c>
      <c r="G1015" s="266" t="s">
        <v>2082</v>
      </c>
      <c r="H1015" s="266" t="s">
        <v>2435</v>
      </c>
      <c r="I1015" s="266" t="s">
        <v>6193</v>
      </c>
      <c r="J1015" s="266" t="s">
        <v>996</v>
      </c>
      <c r="K1015" s="406" t="s">
        <v>7128</v>
      </c>
    </row>
    <row r="1016" spans="1:11" x14ac:dyDescent="0.25">
      <c r="A1016" s="270" t="s">
        <v>2436</v>
      </c>
      <c r="B1016" s="266"/>
      <c r="C1016" s="266" t="s">
        <v>2437</v>
      </c>
      <c r="D1016" s="266" t="s">
        <v>7129</v>
      </c>
      <c r="E1016" s="267" t="s">
        <v>7130</v>
      </c>
      <c r="F1016" s="267">
        <v>33522</v>
      </c>
      <c r="G1016" s="266" t="s">
        <v>806</v>
      </c>
      <c r="H1016" s="266" t="s">
        <v>2439</v>
      </c>
      <c r="I1016" s="266" t="s">
        <v>6193</v>
      </c>
      <c r="J1016" s="266" t="s">
        <v>985</v>
      </c>
      <c r="K1016" s="406" t="s">
        <v>7131</v>
      </c>
    </row>
    <row r="1017" spans="1:11" x14ac:dyDescent="0.25">
      <c r="A1017" s="270" t="s">
        <v>2440</v>
      </c>
      <c r="B1017" s="266"/>
      <c r="C1017" s="266" t="s">
        <v>2441</v>
      </c>
      <c r="D1017" s="266" t="s">
        <v>7132</v>
      </c>
      <c r="E1017" s="267" t="s">
        <v>7133</v>
      </c>
      <c r="F1017" s="267">
        <v>33528</v>
      </c>
      <c r="G1017" s="266" t="s">
        <v>2443</v>
      </c>
      <c r="H1017" s="266" t="s">
        <v>2444</v>
      </c>
      <c r="I1017" s="266" t="s">
        <v>5812</v>
      </c>
      <c r="J1017" s="266" t="s">
        <v>1095</v>
      </c>
      <c r="K1017" s="406" t="s">
        <v>7134</v>
      </c>
    </row>
    <row r="1018" spans="1:11" x14ac:dyDescent="0.25">
      <c r="A1018" s="270" t="s">
        <v>2445</v>
      </c>
      <c r="B1018" s="266"/>
      <c r="C1018" s="266" t="s">
        <v>2441</v>
      </c>
      <c r="D1018" s="266" t="s">
        <v>7135</v>
      </c>
      <c r="E1018" s="267" t="s">
        <v>7136</v>
      </c>
      <c r="F1018" s="267">
        <v>33574</v>
      </c>
      <c r="G1018" s="266" t="s">
        <v>2411</v>
      </c>
      <c r="H1018" s="266" t="s">
        <v>2447</v>
      </c>
      <c r="I1018" s="266" t="s">
        <v>5812</v>
      </c>
      <c r="J1018" s="266" t="s">
        <v>1095</v>
      </c>
      <c r="K1018" s="406" t="s">
        <v>7137</v>
      </c>
    </row>
    <row r="1019" spans="1:11" x14ac:dyDescent="0.25">
      <c r="A1019" s="270" t="s">
        <v>2448</v>
      </c>
      <c r="B1019" s="266"/>
      <c r="C1019" s="266" t="s">
        <v>1107</v>
      </c>
      <c r="D1019" s="266" t="s">
        <v>7138</v>
      </c>
      <c r="E1019" s="267" t="s">
        <v>7139</v>
      </c>
      <c r="F1019" s="267">
        <v>33682</v>
      </c>
      <c r="G1019" s="266" t="s">
        <v>2376</v>
      </c>
      <c r="H1019" s="266" t="s">
        <v>1110</v>
      </c>
      <c r="I1019" s="266" t="s">
        <v>5812</v>
      </c>
      <c r="J1019" s="266" t="s">
        <v>1095</v>
      </c>
      <c r="K1019" s="406" t="s">
        <v>7140</v>
      </c>
    </row>
    <row r="1020" spans="1:11" x14ac:dyDescent="0.25">
      <c r="A1020" s="270" t="s">
        <v>2450</v>
      </c>
      <c r="B1020" s="266"/>
      <c r="C1020" s="266" t="s">
        <v>1623</v>
      </c>
      <c r="D1020" s="266" t="s">
        <v>7141</v>
      </c>
      <c r="E1020" s="267" t="s">
        <v>7142</v>
      </c>
      <c r="F1020" s="267">
        <v>33693</v>
      </c>
      <c r="G1020" s="266" t="s">
        <v>2452</v>
      </c>
      <c r="H1020" s="266" t="s">
        <v>492</v>
      </c>
      <c r="I1020" s="266" t="s">
        <v>5812</v>
      </c>
      <c r="J1020" s="266" t="s">
        <v>1625</v>
      </c>
      <c r="K1020" s="406" t="s">
        <v>7143</v>
      </c>
    </row>
    <row r="1021" spans="1:11" x14ac:dyDescent="0.25">
      <c r="A1021" s="270" t="s">
        <v>2453</v>
      </c>
      <c r="B1021" s="266"/>
      <c r="C1021" s="266" t="s">
        <v>969</v>
      </c>
      <c r="D1021" s="266" t="s">
        <v>7144</v>
      </c>
      <c r="E1021" s="267" t="s">
        <v>7145</v>
      </c>
      <c r="F1021" s="267">
        <v>33737</v>
      </c>
      <c r="G1021" s="266" t="s">
        <v>610</v>
      </c>
      <c r="H1021" s="266" t="s">
        <v>507</v>
      </c>
      <c r="I1021" s="266" t="s">
        <v>5812</v>
      </c>
      <c r="J1021" s="266" t="s">
        <v>985</v>
      </c>
      <c r="K1021" s="406" t="s">
        <v>7146</v>
      </c>
    </row>
    <row r="1022" spans="1:11" x14ac:dyDescent="0.25">
      <c r="A1022" s="270" t="s">
        <v>2455</v>
      </c>
      <c r="B1022" s="266"/>
      <c r="C1022" s="266" t="s">
        <v>969</v>
      </c>
      <c r="D1022" s="266" t="s">
        <v>7147</v>
      </c>
      <c r="E1022" s="267" t="s">
        <v>7148</v>
      </c>
      <c r="F1022" s="267">
        <v>33750</v>
      </c>
      <c r="G1022" s="266" t="s">
        <v>2457</v>
      </c>
      <c r="H1022" s="266" t="s">
        <v>463</v>
      </c>
      <c r="I1022" s="266" t="s">
        <v>5812</v>
      </c>
      <c r="J1022" s="266" t="s">
        <v>985</v>
      </c>
      <c r="K1022" s="406" t="s">
        <v>7149</v>
      </c>
    </row>
    <row r="1023" spans="1:11" x14ac:dyDescent="0.25">
      <c r="A1023" s="270" t="s">
        <v>2458</v>
      </c>
      <c r="B1023" s="266"/>
      <c r="C1023" s="266" t="s">
        <v>969</v>
      </c>
      <c r="D1023" s="266" t="s">
        <v>7150</v>
      </c>
      <c r="E1023" s="267" t="s">
        <v>7148</v>
      </c>
      <c r="F1023" s="267">
        <v>33750</v>
      </c>
      <c r="G1023" s="266" t="s">
        <v>2457</v>
      </c>
      <c r="H1023" s="266" t="s">
        <v>2241</v>
      </c>
      <c r="I1023" s="266" t="s">
        <v>5812</v>
      </c>
      <c r="J1023" s="266" t="s">
        <v>985</v>
      </c>
      <c r="K1023" s="406" t="s">
        <v>7151</v>
      </c>
    </row>
    <row r="1024" spans="1:11" x14ac:dyDescent="0.25">
      <c r="A1024" s="270" t="s">
        <v>2460</v>
      </c>
      <c r="B1024" s="266"/>
      <c r="C1024" s="266" t="s">
        <v>969</v>
      </c>
      <c r="D1024" s="266" t="s">
        <v>7152</v>
      </c>
      <c r="E1024" s="267" t="s">
        <v>7148</v>
      </c>
      <c r="F1024" s="267">
        <v>33750</v>
      </c>
      <c r="G1024" s="266" t="s">
        <v>2457</v>
      </c>
      <c r="H1024" s="266" t="s">
        <v>2227</v>
      </c>
      <c r="I1024" s="266" t="s">
        <v>5812</v>
      </c>
      <c r="J1024" s="266" t="s">
        <v>985</v>
      </c>
      <c r="K1024" s="406" t="s">
        <v>7153</v>
      </c>
    </row>
    <row r="1025" spans="1:11" x14ac:dyDescent="0.25">
      <c r="A1025" s="270" t="s">
        <v>2462</v>
      </c>
      <c r="B1025" s="266"/>
      <c r="C1025" s="266" t="s">
        <v>969</v>
      </c>
      <c r="D1025" s="266" t="s">
        <v>7154</v>
      </c>
      <c r="E1025" s="267" t="s">
        <v>7148</v>
      </c>
      <c r="F1025" s="267">
        <v>33750</v>
      </c>
      <c r="G1025" s="266" t="s">
        <v>2457</v>
      </c>
      <c r="H1025" s="266" t="s">
        <v>2230</v>
      </c>
      <c r="I1025" s="266" t="s">
        <v>5812</v>
      </c>
      <c r="J1025" s="266" t="s">
        <v>985</v>
      </c>
      <c r="K1025" s="406" t="s">
        <v>7155</v>
      </c>
    </row>
    <row r="1026" spans="1:11" x14ac:dyDescent="0.25">
      <c r="A1026" s="270" t="s">
        <v>2464</v>
      </c>
      <c r="B1026" s="266"/>
      <c r="C1026" s="266" t="s">
        <v>969</v>
      </c>
      <c r="D1026" s="266" t="s">
        <v>7156</v>
      </c>
      <c r="E1026" s="267" t="s">
        <v>7148</v>
      </c>
      <c r="F1026" s="267">
        <v>33750</v>
      </c>
      <c r="G1026" s="266" t="s">
        <v>2457</v>
      </c>
      <c r="H1026" s="266" t="s">
        <v>2466</v>
      </c>
      <c r="I1026" s="266" t="s">
        <v>5812</v>
      </c>
      <c r="J1026" s="266" t="s">
        <v>985</v>
      </c>
      <c r="K1026" s="406" t="s">
        <v>7157</v>
      </c>
    </row>
    <row r="1027" spans="1:11" x14ac:dyDescent="0.25">
      <c r="A1027" s="270" t="s">
        <v>2467</v>
      </c>
      <c r="B1027" s="266"/>
      <c r="C1027" s="266" t="s">
        <v>969</v>
      </c>
      <c r="D1027" s="266" t="s">
        <v>7158</v>
      </c>
      <c r="E1027" s="267" t="s">
        <v>7148</v>
      </c>
      <c r="F1027" s="267">
        <v>33750</v>
      </c>
      <c r="G1027" s="266" t="s">
        <v>2457</v>
      </c>
      <c r="H1027" s="266" t="s">
        <v>2222</v>
      </c>
      <c r="I1027" s="266" t="s">
        <v>5812</v>
      </c>
      <c r="J1027" s="266" t="s">
        <v>985</v>
      </c>
      <c r="K1027" s="406" t="s">
        <v>7159</v>
      </c>
    </row>
    <row r="1028" spans="1:11" x14ac:dyDescent="0.25">
      <c r="A1028" s="270" t="s">
        <v>2469</v>
      </c>
      <c r="B1028" s="266"/>
      <c r="C1028" s="266" t="s">
        <v>969</v>
      </c>
      <c r="D1028" s="266" t="s">
        <v>7160</v>
      </c>
      <c r="E1028" s="267" t="s">
        <v>7161</v>
      </c>
      <c r="F1028" s="267">
        <v>33857</v>
      </c>
      <c r="G1028" s="266" t="s">
        <v>472</v>
      </c>
      <c r="H1028" s="266" t="s">
        <v>265</v>
      </c>
      <c r="I1028" s="266" t="s">
        <v>5812</v>
      </c>
      <c r="J1028" s="266" t="s">
        <v>985</v>
      </c>
      <c r="K1028" s="406" t="s">
        <v>7162</v>
      </c>
    </row>
    <row r="1029" spans="1:11" x14ac:dyDescent="0.25">
      <c r="A1029" s="270" t="s">
        <v>2471</v>
      </c>
      <c r="B1029" s="266"/>
      <c r="C1029" s="266" t="s">
        <v>969</v>
      </c>
      <c r="D1029" s="266" t="s">
        <v>7163</v>
      </c>
      <c r="E1029" s="267" t="s">
        <v>7164</v>
      </c>
      <c r="F1029" s="267">
        <v>33868</v>
      </c>
      <c r="G1029" s="266" t="s">
        <v>2157</v>
      </c>
      <c r="H1029" s="266" t="s">
        <v>394</v>
      </c>
      <c r="I1029" s="266" t="s">
        <v>5812</v>
      </c>
      <c r="J1029" s="266" t="s">
        <v>985</v>
      </c>
      <c r="K1029" s="406" t="s">
        <v>7165</v>
      </c>
    </row>
    <row r="1030" spans="1:11" x14ac:dyDescent="0.25">
      <c r="A1030" s="270" t="s">
        <v>2473</v>
      </c>
      <c r="B1030" s="266"/>
      <c r="C1030" s="266" t="s">
        <v>114</v>
      </c>
      <c r="D1030" s="266" t="s">
        <v>7166</v>
      </c>
      <c r="E1030" s="267" t="s">
        <v>7167</v>
      </c>
      <c r="F1030" s="267">
        <v>33898</v>
      </c>
      <c r="G1030" s="266" t="s">
        <v>2475</v>
      </c>
      <c r="H1030" s="266" t="s">
        <v>2476</v>
      </c>
      <c r="I1030" s="266" t="s">
        <v>6193</v>
      </c>
      <c r="J1030" s="266" t="s">
        <v>996</v>
      </c>
      <c r="K1030" s="406" t="s">
        <v>7168</v>
      </c>
    </row>
    <row r="1031" spans="1:11" x14ac:dyDescent="0.25">
      <c r="A1031" s="270" t="s">
        <v>2477</v>
      </c>
      <c r="B1031" s="266"/>
      <c r="C1031" s="266" t="s">
        <v>114</v>
      </c>
      <c r="D1031" s="266" t="s">
        <v>7169</v>
      </c>
      <c r="E1031" s="267" t="s">
        <v>7170</v>
      </c>
      <c r="F1031" s="267">
        <v>33966</v>
      </c>
      <c r="G1031" s="266" t="s">
        <v>2479</v>
      </c>
      <c r="H1031" s="266" t="s">
        <v>2480</v>
      </c>
      <c r="I1031" s="266" t="s">
        <v>5812</v>
      </c>
      <c r="J1031" s="266" t="s">
        <v>996</v>
      </c>
      <c r="K1031" s="406" t="s">
        <v>7171</v>
      </c>
    </row>
    <row r="1032" spans="1:11" x14ac:dyDescent="0.25">
      <c r="A1032" s="270" t="s">
        <v>2481</v>
      </c>
      <c r="B1032" s="266"/>
      <c r="C1032" s="266" t="s">
        <v>114</v>
      </c>
      <c r="D1032" s="266" t="s">
        <v>7172</v>
      </c>
      <c r="E1032" s="267" t="s">
        <v>7173</v>
      </c>
      <c r="F1032" s="267">
        <v>33977</v>
      </c>
      <c r="G1032" s="266" t="s">
        <v>2475</v>
      </c>
      <c r="H1032" s="266" t="s">
        <v>2476</v>
      </c>
      <c r="I1032" s="266" t="s">
        <v>6193</v>
      </c>
      <c r="J1032" s="266" t="s">
        <v>996</v>
      </c>
      <c r="K1032" s="406" t="s">
        <v>7174</v>
      </c>
    </row>
    <row r="1033" spans="1:11" x14ac:dyDescent="0.25">
      <c r="A1033" s="270" t="s">
        <v>2483</v>
      </c>
      <c r="B1033" s="266"/>
      <c r="C1033" s="266" t="s">
        <v>1091</v>
      </c>
      <c r="D1033" s="266" t="s">
        <v>7175</v>
      </c>
      <c r="E1033" s="267" t="s">
        <v>7176</v>
      </c>
      <c r="F1033" s="267">
        <v>34018</v>
      </c>
      <c r="G1033" s="266" t="s">
        <v>2485</v>
      </c>
      <c r="H1033" s="266" t="s">
        <v>2486</v>
      </c>
      <c r="I1033" s="266" t="s">
        <v>5812</v>
      </c>
      <c r="J1033" s="266" t="s">
        <v>1095</v>
      </c>
      <c r="K1033" s="406" t="s">
        <v>7177</v>
      </c>
    </row>
    <row r="1034" spans="1:11" x14ac:dyDescent="0.25">
      <c r="A1034" s="270" t="s">
        <v>2487</v>
      </c>
      <c r="B1034" s="266"/>
      <c r="C1034" s="266" t="s">
        <v>1274</v>
      </c>
      <c r="D1034" s="266" t="s">
        <v>4349</v>
      </c>
      <c r="E1034" s="267" t="s">
        <v>7178</v>
      </c>
      <c r="F1034" s="267">
        <v>34032</v>
      </c>
      <c r="G1034" s="266" t="s">
        <v>2489</v>
      </c>
      <c r="H1034" s="266" t="s">
        <v>2490</v>
      </c>
      <c r="I1034" s="266" t="s">
        <v>7179</v>
      </c>
      <c r="J1034" s="266" t="s">
        <v>985</v>
      </c>
      <c r="K1034" s="406" t="s">
        <v>7180</v>
      </c>
    </row>
    <row r="1035" spans="1:11" x14ac:dyDescent="0.25">
      <c r="A1035" s="270" t="s">
        <v>2492</v>
      </c>
      <c r="B1035" s="266"/>
      <c r="C1035" s="266" t="s">
        <v>1107</v>
      </c>
      <c r="D1035" s="266" t="s">
        <v>7181</v>
      </c>
      <c r="E1035" s="267" t="s">
        <v>7182</v>
      </c>
      <c r="F1035" s="267">
        <v>34036</v>
      </c>
      <c r="G1035" s="266" t="s">
        <v>566</v>
      </c>
      <c r="H1035" s="266" t="s">
        <v>1110</v>
      </c>
      <c r="I1035" s="266" t="s">
        <v>5812</v>
      </c>
      <c r="J1035" s="266" t="s">
        <v>1095</v>
      </c>
      <c r="K1035" s="406" t="s">
        <v>7183</v>
      </c>
    </row>
    <row r="1036" spans="1:11" x14ac:dyDescent="0.25">
      <c r="A1036" s="270" t="s">
        <v>2494</v>
      </c>
      <c r="B1036" s="266"/>
      <c r="C1036" s="266" t="s">
        <v>114</v>
      </c>
      <c r="D1036" s="266" t="s">
        <v>7184</v>
      </c>
      <c r="E1036" s="267" t="s">
        <v>7185</v>
      </c>
      <c r="F1036" s="267">
        <v>34088</v>
      </c>
      <c r="G1036" s="266" t="s">
        <v>2496</v>
      </c>
      <c r="H1036" s="266" t="s">
        <v>2497</v>
      </c>
      <c r="I1036" s="266" t="s">
        <v>5812</v>
      </c>
      <c r="J1036" s="266" t="s">
        <v>996</v>
      </c>
      <c r="K1036" s="406" t="s">
        <v>7186</v>
      </c>
    </row>
    <row r="1037" spans="1:11" x14ac:dyDescent="0.25">
      <c r="A1037" s="270" t="s">
        <v>2498</v>
      </c>
      <c r="B1037" s="266"/>
      <c r="C1037" s="266" t="s">
        <v>114</v>
      </c>
      <c r="D1037" s="266" t="s">
        <v>7187</v>
      </c>
      <c r="E1037" s="267" t="s">
        <v>7188</v>
      </c>
      <c r="F1037" s="267">
        <v>34116</v>
      </c>
      <c r="G1037" s="266" t="s">
        <v>2500</v>
      </c>
      <c r="H1037" s="266" t="s">
        <v>2501</v>
      </c>
      <c r="I1037" s="266" t="s">
        <v>6193</v>
      </c>
      <c r="J1037" s="266" t="s">
        <v>996</v>
      </c>
      <c r="K1037" s="406" t="s">
        <v>7189</v>
      </c>
    </row>
    <row r="1038" spans="1:11" x14ac:dyDescent="0.25">
      <c r="A1038" s="270" t="s">
        <v>2502</v>
      </c>
      <c r="B1038" s="266"/>
      <c r="C1038" s="266" t="s">
        <v>969</v>
      </c>
      <c r="D1038" s="266" t="s">
        <v>7190</v>
      </c>
      <c r="E1038" s="267" t="s">
        <v>7191</v>
      </c>
      <c r="F1038" s="267">
        <v>34199</v>
      </c>
      <c r="G1038" s="266" t="s">
        <v>2504</v>
      </c>
      <c r="H1038" s="266" t="s">
        <v>2428</v>
      </c>
      <c r="I1038" s="266" t="s">
        <v>5812</v>
      </c>
      <c r="J1038" s="266" t="s">
        <v>985</v>
      </c>
      <c r="K1038" s="406" t="s">
        <v>7192</v>
      </c>
    </row>
    <row r="1039" spans="1:11" x14ac:dyDescent="0.25">
      <c r="A1039" s="270" t="s">
        <v>2505</v>
      </c>
      <c r="B1039" s="266"/>
      <c r="C1039" s="266" t="s">
        <v>2506</v>
      </c>
      <c r="D1039" s="266" t="s">
        <v>7193</v>
      </c>
      <c r="E1039" s="267" t="s">
        <v>7194</v>
      </c>
      <c r="F1039" s="267">
        <v>34432</v>
      </c>
      <c r="G1039" s="266" t="s">
        <v>568</v>
      </c>
      <c r="H1039" s="266" t="s">
        <v>2508</v>
      </c>
      <c r="I1039" s="266" t="s">
        <v>5812</v>
      </c>
      <c r="J1039" s="266" t="s">
        <v>985</v>
      </c>
      <c r="K1039" s="406" t="s">
        <v>7195</v>
      </c>
    </row>
    <row r="1040" spans="1:11" x14ac:dyDescent="0.25">
      <c r="A1040" s="270" t="s">
        <v>2509</v>
      </c>
      <c r="B1040" s="266"/>
      <c r="C1040" s="266" t="s">
        <v>1274</v>
      </c>
      <c r="D1040" s="266" t="s">
        <v>7196</v>
      </c>
      <c r="E1040" s="267" t="s">
        <v>7197</v>
      </c>
      <c r="F1040" s="267">
        <v>34452</v>
      </c>
      <c r="G1040" s="266" t="s">
        <v>2511</v>
      </c>
      <c r="H1040" s="266" t="s">
        <v>1110</v>
      </c>
      <c r="I1040" s="266" t="s">
        <v>5812</v>
      </c>
      <c r="J1040" s="266" t="s">
        <v>985</v>
      </c>
      <c r="K1040" s="406" t="s">
        <v>7198</v>
      </c>
    </row>
    <row r="1041" spans="1:11" x14ac:dyDescent="0.25">
      <c r="A1041" s="270" t="s">
        <v>2512</v>
      </c>
      <c r="B1041" s="266"/>
      <c r="C1041" s="266" t="s">
        <v>1623</v>
      </c>
      <c r="D1041" s="266" t="s">
        <v>4151</v>
      </c>
      <c r="E1041" s="267" t="s">
        <v>7199</v>
      </c>
      <c r="F1041" s="267">
        <v>34542</v>
      </c>
      <c r="G1041" s="266" t="s">
        <v>610</v>
      </c>
      <c r="H1041" s="266" t="s">
        <v>2514</v>
      </c>
      <c r="I1041" s="266" t="s">
        <v>7200</v>
      </c>
      <c r="J1041" s="266" t="s">
        <v>1625</v>
      </c>
      <c r="K1041" s="406" t="s">
        <v>7201</v>
      </c>
    </row>
    <row r="1042" spans="1:11" x14ac:dyDescent="0.25">
      <c r="A1042" s="270" t="s">
        <v>2516</v>
      </c>
      <c r="B1042" s="266"/>
      <c r="C1042" s="266" t="s">
        <v>1623</v>
      </c>
      <c r="D1042" s="266" t="s">
        <v>4152</v>
      </c>
      <c r="E1042" s="267" t="s">
        <v>7202</v>
      </c>
      <c r="F1042" s="267">
        <v>34754</v>
      </c>
      <c r="G1042" s="266" t="s">
        <v>2518</v>
      </c>
      <c r="H1042" s="266" t="s">
        <v>2519</v>
      </c>
      <c r="I1042" s="266" t="s">
        <v>7200</v>
      </c>
      <c r="J1042" s="266" t="s">
        <v>1625</v>
      </c>
      <c r="K1042" s="406" t="s">
        <v>7203</v>
      </c>
    </row>
    <row r="1043" spans="1:11" x14ac:dyDescent="0.25">
      <c r="A1043" s="270" t="s">
        <v>2520</v>
      </c>
      <c r="B1043" s="266"/>
      <c r="C1043" s="266" t="s">
        <v>114</v>
      </c>
      <c r="D1043" s="266" t="s">
        <v>7204</v>
      </c>
      <c r="E1043" s="267" t="s">
        <v>7205</v>
      </c>
      <c r="F1043" s="267">
        <v>34757</v>
      </c>
      <c r="G1043" s="266" t="s">
        <v>2476</v>
      </c>
      <c r="H1043" s="266" t="s">
        <v>2522</v>
      </c>
      <c r="I1043" s="266" t="s">
        <v>6193</v>
      </c>
      <c r="J1043" s="266" t="s">
        <v>996</v>
      </c>
      <c r="K1043" s="406" t="s">
        <v>7206</v>
      </c>
    </row>
    <row r="1044" spans="1:11" x14ac:dyDescent="0.25">
      <c r="A1044" s="270" t="s">
        <v>2523</v>
      </c>
      <c r="B1044" s="266"/>
      <c r="C1044" s="266" t="s">
        <v>2506</v>
      </c>
      <c r="D1044" s="266" t="s">
        <v>4350</v>
      </c>
      <c r="E1044" s="267" t="s">
        <v>7207</v>
      </c>
      <c r="F1044" s="267">
        <v>34778</v>
      </c>
      <c r="G1044" s="266" t="s">
        <v>566</v>
      </c>
      <c r="H1044" s="266" t="s">
        <v>2525</v>
      </c>
      <c r="I1044" s="266" t="s">
        <v>7208</v>
      </c>
      <c r="J1044" s="266" t="s">
        <v>985</v>
      </c>
      <c r="K1044" s="406" t="s">
        <v>7209</v>
      </c>
    </row>
    <row r="1045" spans="1:11" x14ac:dyDescent="0.25">
      <c r="A1045" s="270" t="s">
        <v>2527</v>
      </c>
      <c r="B1045" s="266"/>
      <c r="C1045" s="266" t="s">
        <v>2506</v>
      </c>
      <c r="D1045" s="266" t="s">
        <v>4218</v>
      </c>
      <c r="E1045" s="267" t="s">
        <v>7210</v>
      </c>
      <c r="F1045" s="267">
        <v>34806</v>
      </c>
      <c r="G1045" s="266" t="s">
        <v>2529</v>
      </c>
      <c r="H1045" s="266" t="s">
        <v>2530</v>
      </c>
      <c r="I1045" s="266" t="s">
        <v>497</v>
      </c>
      <c r="J1045" s="266" t="s">
        <v>985</v>
      </c>
      <c r="K1045" s="406" t="s">
        <v>7211</v>
      </c>
    </row>
    <row r="1046" spans="1:11" x14ac:dyDescent="0.25">
      <c r="A1046" s="270" t="s">
        <v>2531</v>
      </c>
      <c r="B1046" s="266"/>
      <c r="C1046" s="266" t="s">
        <v>1623</v>
      </c>
      <c r="D1046" s="266" t="s">
        <v>4219</v>
      </c>
      <c r="E1046" s="267" t="s">
        <v>7212</v>
      </c>
      <c r="F1046" s="267">
        <v>34920</v>
      </c>
      <c r="G1046" s="266" t="s">
        <v>2533</v>
      </c>
      <c r="H1046" s="266" t="s">
        <v>525</v>
      </c>
      <c r="I1046" s="266" t="s">
        <v>7213</v>
      </c>
      <c r="J1046" s="266" t="s">
        <v>1625</v>
      </c>
      <c r="K1046" s="406" t="s">
        <v>7214</v>
      </c>
    </row>
    <row r="1047" spans="1:11" x14ac:dyDescent="0.25">
      <c r="A1047" s="270" t="s">
        <v>2535</v>
      </c>
      <c r="B1047" s="266"/>
      <c r="C1047" s="266" t="s">
        <v>82</v>
      </c>
      <c r="D1047" s="266" t="s">
        <v>4351</v>
      </c>
      <c r="E1047" s="267" t="s">
        <v>7215</v>
      </c>
      <c r="F1047" s="267">
        <v>34950</v>
      </c>
      <c r="G1047" s="266" t="s">
        <v>2537</v>
      </c>
      <c r="H1047" s="266" t="s">
        <v>2538</v>
      </c>
      <c r="I1047" s="266" t="s">
        <v>7216</v>
      </c>
      <c r="J1047" s="266" t="s">
        <v>1625</v>
      </c>
      <c r="K1047" s="406" t="s">
        <v>7217</v>
      </c>
    </row>
    <row r="1048" spans="1:11" x14ac:dyDescent="0.25">
      <c r="A1048" s="270" t="s">
        <v>2540</v>
      </c>
      <c r="B1048" s="266"/>
      <c r="C1048" s="266" t="s">
        <v>1274</v>
      </c>
      <c r="D1048" s="266" t="s">
        <v>4220</v>
      </c>
      <c r="E1048" s="267" t="s">
        <v>7218</v>
      </c>
      <c r="F1048" s="267">
        <v>35038</v>
      </c>
      <c r="G1048" s="266" t="s">
        <v>2542</v>
      </c>
      <c r="H1048" s="266" t="s">
        <v>1110</v>
      </c>
      <c r="I1048" s="266" t="s">
        <v>7219</v>
      </c>
      <c r="J1048" s="266" t="s">
        <v>985</v>
      </c>
      <c r="K1048" s="406" t="s">
        <v>7220</v>
      </c>
    </row>
    <row r="1049" spans="1:11" x14ac:dyDescent="0.25">
      <c r="A1049" s="270" t="s">
        <v>2544</v>
      </c>
      <c r="B1049" s="266"/>
      <c r="C1049" s="266" t="s">
        <v>114</v>
      </c>
      <c r="D1049" s="266" t="s">
        <v>7221</v>
      </c>
      <c r="E1049" s="267" t="s">
        <v>7222</v>
      </c>
      <c r="F1049" s="267">
        <v>35159</v>
      </c>
      <c r="G1049" s="266" t="s">
        <v>2480</v>
      </c>
      <c r="H1049" s="266" t="s">
        <v>2546</v>
      </c>
      <c r="I1049" s="266" t="s">
        <v>6193</v>
      </c>
      <c r="J1049" s="266" t="s">
        <v>996</v>
      </c>
      <c r="K1049" s="406" t="s">
        <v>7223</v>
      </c>
    </row>
    <row r="1050" spans="1:11" x14ac:dyDescent="0.25">
      <c r="A1050" s="270" t="s">
        <v>2547</v>
      </c>
      <c r="B1050" s="266"/>
      <c r="C1050" s="266" t="s">
        <v>993</v>
      </c>
      <c r="D1050" s="266" t="s">
        <v>7224</v>
      </c>
      <c r="E1050" s="267" t="s">
        <v>7225</v>
      </c>
      <c r="F1050" s="267">
        <v>35199</v>
      </c>
      <c r="G1050" s="266" t="s">
        <v>1391</v>
      </c>
      <c r="H1050" s="266" t="s">
        <v>436</v>
      </c>
      <c r="I1050" s="266" t="s">
        <v>7226</v>
      </c>
      <c r="J1050" s="266" t="s">
        <v>996</v>
      </c>
      <c r="K1050" s="406" t="s">
        <v>7227</v>
      </c>
    </row>
    <row r="1051" spans="1:11" x14ac:dyDescent="0.25">
      <c r="A1051" s="270" t="s">
        <v>2550</v>
      </c>
      <c r="B1051" s="266"/>
      <c r="C1051" s="266" t="s">
        <v>2430</v>
      </c>
      <c r="D1051" s="266" t="s">
        <v>4153</v>
      </c>
      <c r="E1051" s="267" t="s">
        <v>7228</v>
      </c>
      <c r="F1051" s="267">
        <v>35429</v>
      </c>
      <c r="G1051" s="266" t="s">
        <v>436</v>
      </c>
      <c r="H1051" s="266" t="s">
        <v>2552</v>
      </c>
      <c r="I1051" s="266" t="s">
        <v>7229</v>
      </c>
      <c r="J1051" s="266" t="s">
        <v>985</v>
      </c>
      <c r="K1051" s="406" t="s">
        <v>7230</v>
      </c>
    </row>
    <row r="1052" spans="1:11" x14ac:dyDescent="0.25">
      <c r="A1052" s="270" t="s">
        <v>2554</v>
      </c>
      <c r="B1052" s="266"/>
      <c r="C1052" s="266" t="s">
        <v>2506</v>
      </c>
      <c r="D1052" s="266" t="s">
        <v>7231</v>
      </c>
      <c r="E1052" s="267" t="s">
        <v>7232</v>
      </c>
      <c r="F1052" s="267">
        <v>35430</v>
      </c>
      <c r="G1052" s="266" t="s">
        <v>2556</v>
      </c>
      <c r="H1052" s="266" t="s">
        <v>2557</v>
      </c>
      <c r="I1052" s="266" t="s">
        <v>6193</v>
      </c>
      <c r="J1052" s="266" t="s">
        <v>985</v>
      </c>
      <c r="K1052" s="406" t="s">
        <v>7233</v>
      </c>
    </row>
    <row r="1053" spans="1:11" x14ac:dyDescent="0.25">
      <c r="A1053" s="270" t="s">
        <v>2559</v>
      </c>
      <c r="B1053" s="266"/>
      <c r="C1053" s="266" t="s">
        <v>2506</v>
      </c>
      <c r="D1053" s="266" t="s">
        <v>7234</v>
      </c>
      <c r="E1053" s="267" t="s">
        <v>7235</v>
      </c>
      <c r="F1053" s="267">
        <v>35432</v>
      </c>
      <c r="G1053" s="266" t="s">
        <v>2556</v>
      </c>
      <c r="H1053" s="266" t="s">
        <v>2557</v>
      </c>
      <c r="I1053" s="266" t="s">
        <v>6193</v>
      </c>
      <c r="J1053" s="266" t="s">
        <v>985</v>
      </c>
      <c r="K1053" s="406" t="s">
        <v>7236</v>
      </c>
    </row>
    <row r="1054" spans="1:11" x14ac:dyDescent="0.25">
      <c r="A1054" s="270" t="s">
        <v>2561</v>
      </c>
      <c r="B1054" s="266"/>
      <c r="C1054" s="266" t="s">
        <v>114</v>
      </c>
      <c r="D1054" s="266" t="s">
        <v>7237</v>
      </c>
      <c r="E1054" s="267" t="s">
        <v>7238</v>
      </c>
      <c r="F1054" s="267">
        <v>35443</v>
      </c>
      <c r="G1054" s="266" t="s">
        <v>2563</v>
      </c>
      <c r="H1054" s="266" t="s">
        <v>2564</v>
      </c>
      <c r="I1054" s="266" t="s">
        <v>6193</v>
      </c>
      <c r="J1054" s="266" t="s">
        <v>996</v>
      </c>
      <c r="K1054" s="406" t="s">
        <v>7239</v>
      </c>
    </row>
    <row r="1055" spans="1:11" x14ac:dyDescent="0.25">
      <c r="A1055" s="270" t="s">
        <v>2565</v>
      </c>
      <c r="B1055" s="266"/>
      <c r="C1055" s="266" t="s">
        <v>2430</v>
      </c>
      <c r="D1055" s="266" t="s">
        <v>4352</v>
      </c>
      <c r="E1055" s="267" t="s">
        <v>7240</v>
      </c>
      <c r="F1055" s="267">
        <v>35479</v>
      </c>
      <c r="G1055" s="266" t="s">
        <v>436</v>
      </c>
      <c r="H1055" s="266" t="s">
        <v>2567</v>
      </c>
      <c r="I1055" s="266" t="s">
        <v>7241</v>
      </c>
      <c r="J1055" s="266" t="s">
        <v>985</v>
      </c>
      <c r="K1055" s="406" t="s">
        <v>7242</v>
      </c>
    </row>
    <row r="1056" spans="1:11" x14ac:dyDescent="0.25">
      <c r="A1056" s="270" t="s">
        <v>2570</v>
      </c>
      <c r="B1056" s="266"/>
      <c r="C1056" s="266" t="s">
        <v>1107</v>
      </c>
      <c r="D1056" s="266" t="s">
        <v>7243</v>
      </c>
      <c r="E1056" s="267" t="s">
        <v>7244</v>
      </c>
      <c r="F1056" s="267">
        <v>35549</v>
      </c>
      <c r="G1056" s="266" t="s">
        <v>2572</v>
      </c>
      <c r="H1056" s="266" t="s">
        <v>1110</v>
      </c>
      <c r="I1056" s="266" t="s">
        <v>7216</v>
      </c>
      <c r="J1056" s="266" t="s">
        <v>1095</v>
      </c>
      <c r="K1056" s="406" t="s">
        <v>7245</v>
      </c>
    </row>
    <row r="1057" spans="1:11" x14ac:dyDescent="0.25">
      <c r="A1057" s="270" t="s">
        <v>2574</v>
      </c>
      <c r="B1057" s="266"/>
      <c r="C1057" s="266" t="s">
        <v>114</v>
      </c>
      <c r="D1057" s="266" t="s">
        <v>7246</v>
      </c>
      <c r="E1057" s="267" t="s">
        <v>7247</v>
      </c>
      <c r="F1057" s="267">
        <v>35922</v>
      </c>
      <c r="G1057" s="266" t="s">
        <v>2576</v>
      </c>
      <c r="H1057" s="266" t="s">
        <v>2577</v>
      </c>
      <c r="I1057" s="266" t="s">
        <v>6193</v>
      </c>
      <c r="J1057" s="266" t="s">
        <v>996</v>
      </c>
      <c r="K1057" s="406" t="s">
        <v>7248</v>
      </c>
    </row>
    <row r="1058" spans="1:11" x14ac:dyDescent="0.25">
      <c r="A1058" s="270" t="s">
        <v>2578</v>
      </c>
      <c r="B1058" s="266"/>
      <c r="C1058" s="266" t="s">
        <v>114</v>
      </c>
      <c r="D1058" s="266" t="s">
        <v>7249</v>
      </c>
      <c r="E1058" s="267" t="s">
        <v>7250</v>
      </c>
      <c r="F1058" s="267">
        <v>36008</v>
      </c>
      <c r="G1058" s="266" t="s">
        <v>2376</v>
      </c>
      <c r="H1058" s="266" t="s">
        <v>2580</v>
      </c>
      <c r="I1058" s="266" t="s">
        <v>7200</v>
      </c>
      <c r="J1058" s="266" t="s">
        <v>996</v>
      </c>
      <c r="K1058" s="406" t="s">
        <v>7251</v>
      </c>
    </row>
    <row r="1059" spans="1:11" x14ac:dyDescent="0.25">
      <c r="A1059" s="270" t="s">
        <v>2581</v>
      </c>
      <c r="B1059" s="266"/>
      <c r="C1059" s="266" t="s">
        <v>82</v>
      </c>
      <c r="D1059" s="266" t="s">
        <v>4221</v>
      </c>
      <c r="E1059" s="267" t="s">
        <v>7252</v>
      </c>
      <c r="F1059" s="267">
        <v>36026</v>
      </c>
      <c r="G1059" s="266" t="s">
        <v>511</v>
      </c>
      <c r="H1059" s="266" t="s">
        <v>2583</v>
      </c>
      <c r="I1059" s="266" t="s">
        <v>7219</v>
      </c>
      <c r="J1059" s="266" t="s">
        <v>1625</v>
      </c>
      <c r="K1059" s="406" t="s">
        <v>7253</v>
      </c>
    </row>
    <row r="1060" spans="1:11" x14ac:dyDescent="0.25">
      <c r="A1060" s="270" t="s">
        <v>2584</v>
      </c>
      <c r="B1060" s="266"/>
      <c r="C1060" s="266" t="s">
        <v>82</v>
      </c>
      <c r="D1060" s="266" t="s">
        <v>4222</v>
      </c>
      <c r="E1060" s="267" t="s">
        <v>7254</v>
      </c>
      <c r="F1060" s="267">
        <v>36059</v>
      </c>
      <c r="G1060" s="266" t="s">
        <v>509</v>
      </c>
      <c r="H1060" s="266" t="s">
        <v>2586</v>
      </c>
      <c r="I1060" s="266" t="s">
        <v>7219</v>
      </c>
      <c r="J1060" s="266" t="s">
        <v>1625</v>
      </c>
      <c r="K1060" s="406" t="s">
        <v>7255</v>
      </c>
    </row>
    <row r="1061" spans="1:11" x14ac:dyDescent="0.25">
      <c r="A1061" s="270" t="s">
        <v>2587</v>
      </c>
      <c r="B1061" s="266"/>
      <c r="C1061" s="266" t="s">
        <v>1623</v>
      </c>
      <c r="D1061" s="266" t="s">
        <v>4223</v>
      </c>
      <c r="E1061" s="267" t="s">
        <v>7256</v>
      </c>
      <c r="F1061" s="267">
        <v>36175</v>
      </c>
      <c r="G1061" s="266" t="s">
        <v>2115</v>
      </c>
      <c r="H1061" s="266" t="s">
        <v>288</v>
      </c>
      <c r="I1061" s="266" t="s">
        <v>7219</v>
      </c>
      <c r="J1061" s="266" t="s">
        <v>1625</v>
      </c>
      <c r="K1061" s="406" t="s">
        <v>7257</v>
      </c>
    </row>
    <row r="1062" spans="1:11" x14ac:dyDescent="0.25">
      <c r="A1062" s="270" t="s">
        <v>2589</v>
      </c>
      <c r="B1062" s="266"/>
      <c r="C1062" s="266" t="s">
        <v>1623</v>
      </c>
      <c r="D1062" s="266" t="s">
        <v>4224</v>
      </c>
      <c r="E1062" s="267" t="s">
        <v>7256</v>
      </c>
      <c r="F1062" s="267">
        <v>36175</v>
      </c>
      <c r="G1062" s="266" t="s">
        <v>2115</v>
      </c>
      <c r="H1062" s="266" t="s">
        <v>288</v>
      </c>
      <c r="I1062" s="266" t="s">
        <v>7219</v>
      </c>
      <c r="J1062" s="266" t="s">
        <v>1625</v>
      </c>
      <c r="K1062" s="406" t="s">
        <v>7258</v>
      </c>
    </row>
    <row r="1063" spans="1:11" x14ac:dyDescent="0.25">
      <c r="A1063" s="270" t="s">
        <v>2591</v>
      </c>
      <c r="B1063" s="266"/>
      <c r="C1063" s="266" t="s">
        <v>1623</v>
      </c>
      <c r="D1063" s="266" t="s">
        <v>4225</v>
      </c>
      <c r="E1063" s="267" t="s">
        <v>7259</v>
      </c>
      <c r="F1063" s="267">
        <v>36215</v>
      </c>
      <c r="G1063" s="266" t="s">
        <v>525</v>
      </c>
      <c r="H1063" s="266" t="s">
        <v>1110</v>
      </c>
      <c r="I1063" s="266" t="s">
        <v>7219</v>
      </c>
      <c r="J1063" s="266" t="s">
        <v>1625</v>
      </c>
      <c r="K1063" s="406" t="s">
        <v>7260</v>
      </c>
    </row>
    <row r="1064" spans="1:11" x14ac:dyDescent="0.25">
      <c r="A1064" s="270" t="s">
        <v>2593</v>
      </c>
      <c r="B1064" s="266"/>
      <c r="C1064" s="266" t="s">
        <v>2594</v>
      </c>
      <c r="D1064" s="266" t="s">
        <v>7261</v>
      </c>
      <c r="E1064" s="267" t="s">
        <v>7262</v>
      </c>
      <c r="F1064" s="267">
        <v>36250</v>
      </c>
      <c r="G1064" s="266" t="s">
        <v>730</v>
      </c>
      <c r="H1064" s="266" t="s">
        <v>1110</v>
      </c>
      <c r="I1064" s="266" t="s">
        <v>7263</v>
      </c>
      <c r="J1064" s="266" t="s">
        <v>985</v>
      </c>
      <c r="K1064" s="406" t="s">
        <v>7264</v>
      </c>
    </row>
    <row r="1065" spans="1:11" x14ac:dyDescent="0.25">
      <c r="A1065" s="270" t="s">
        <v>2597</v>
      </c>
      <c r="B1065" s="266"/>
      <c r="C1065" s="266" t="s">
        <v>1107</v>
      </c>
      <c r="D1065" s="266" t="s">
        <v>7265</v>
      </c>
      <c r="E1065" s="267" t="s">
        <v>7266</v>
      </c>
      <c r="F1065" s="267">
        <v>36270</v>
      </c>
      <c r="G1065" s="266" t="s">
        <v>2238</v>
      </c>
      <c r="H1065" s="266" t="s">
        <v>1110</v>
      </c>
      <c r="I1065" s="266" t="s">
        <v>7219</v>
      </c>
      <c r="J1065" s="266" t="s">
        <v>1095</v>
      </c>
      <c r="K1065" s="406" t="s">
        <v>7267</v>
      </c>
    </row>
    <row r="1066" spans="1:11" x14ac:dyDescent="0.25">
      <c r="A1066" s="270" t="s">
        <v>2599</v>
      </c>
      <c r="B1066" s="266"/>
      <c r="C1066" s="266" t="s">
        <v>1623</v>
      </c>
      <c r="D1066" s="266" t="s">
        <v>4226</v>
      </c>
      <c r="E1066" s="267" t="s">
        <v>7266</v>
      </c>
      <c r="F1066" s="267">
        <v>36270</v>
      </c>
      <c r="G1066" s="266" t="s">
        <v>2601</v>
      </c>
      <c r="H1066" s="266" t="s">
        <v>2602</v>
      </c>
      <c r="I1066" s="266" t="s">
        <v>7219</v>
      </c>
      <c r="J1066" s="266" t="s">
        <v>1625</v>
      </c>
      <c r="K1066" s="406" t="s">
        <v>7268</v>
      </c>
    </row>
    <row r="1067" spans="1:11" x14ac:dyDescent="0.25">
      <c r="A1067" s="270" t="s">
        <v>2603</v>
      </c>
      <c r="B1067" s="266"/>
      <c r="C1067" s="266" t="s">
        <v>1623</v>
      </c>
      <c r="D1067" s="266" t="s">
        <v>4227</v>
      </c>
      <c r="E1067" s="267" t="s">
        <v>7266</v>
      </c>
      <c r="F1067" s="267">
        <v>36270</v>
      </c>
      <c r="G1067" s="266" t="s">
        <v>2601</v>
      </c>
      <c r="H1067" s="266" t="s">
        <v>2605</v>
      </c>
      <c r="I1067" s="266" t="s">
        <v>7219</v>
      </c>
      <c r="J1067" s="266" t="s">
        <v>1625</v>
      </c>
      <c r="K1067" s="406" t="s">
        <v>7269</v>
      </c>
    </row>
    <row r="1068" spans="1:11" x14ac:dyDescent="0.25">
      <c r="A1068" s="270" t="s">
        <v>2606</v>
      </c>
      <c r="B1068" s="266"/>
      <c r="C1068" s="266" t="s">
        <v>1623</v>
      </c>
      <c r="D1068" s="266" t="s">
        <v>4228</v>
      </c>
      <c r="E1068" s="267" t="s">
        <v>7266</v>
      </c>
      <c r="F1068" s="267">
        <v>36270</v>
      </c>
      <c r="G1068" s="266" t="s">
        <v>2601</v>
      </c>
      <c r="H1068" s="266" t="s">
        <v>527</v>
      </c>
      <c r="I1068" s="266" t="s">
        <v>7219</v>
      </c>
      <c r="J1068" s="266" t="s">
        <v>1625</v>
      </c>
      <c r="K1068" s="406" t="s">
        <v>7270</v>
      </c>
    </row>
    <row r="1069" spans="1:11" x14ac:dyDescent="0.25">
      <c r="A1069" s="270" t="s">
        <v>2608</v>
      </c>
      <c r="B1069" s="266"/>
      <c r="C1069" s="266" t="s">
        <v>1623</v>
      </c>
      <c r="D1069" s="266" t="s">
        <v>4229</v>
      </c>
      <c r="E1069" s="267" t="s">
        <v>7266</v>
      </c>
      <c r="F1069" s="267">
        <v>36270</v>
      </c>
      <c r="G1069" s="266" t="s">
        <v>2601</v>
      </c>
      <c r="H1069" s="266" t="s">
        <v>2610</v>
      </c>
      <c r="I1069" s="266" t="s">
        <v>7219</v>
      </c>
      <c r="J1069" s="266" t="s">
        <v>1625</v>
      </c>
      <c r="K1069" s="406" t="s">
        <v>7271</v>
      </c>
    </row>
    <row r="1070" spans="1:11" x14ac:dyDescent="0.25">
      <c r="A1070" s="270" t="s">
        <v>2611</v>
      </c>
      <c r="B1070" s="266"/>
      <c r="C1070" s="266" t="s">
        <v>1623</v>
      </c>
      <c r="D1070" s="266" t="s">
        <v>4230</v>
      </c>
      <c r="E1070" s="267" t="s">
        <v>7266</v>
      </c>
      <c r="F1070" s="267">
        <v>36270</v>
      </c>
      <c r="G1070" s="266" t="s">
        <v>2601</v>
      </c>
      <c r="H1070" s="266" t="s">
        <v>499</v>
      </c>
      <c r="I1070" s="266" t="s">
        <v>7219</v>
      </c>
      <c r="J1070" s="266" t="s">
        <v>1625</v>
      </c>
      <c r="K1070" s="406" t="s">
        <v>7272</v>
      </c>
    </row>
    <row r="1071" spans="1:11" x14ac:dyDescent="0.25">
      <c r="A1071" s="270" t="s">
        <v>2613</v>
      </c>
      <c r="B1071" s="266"/>
      <c r="C1071" s="266" t="s">
        <v>1623</v>
      </c>
      <c r="D1071" s="266" t="s">
        <v>4231</v>
      </c>
      <c r="E1071" s="267" t="s">
        <v>7266</v>
      </c>
      <c r="F1071" s="267">
        <v>36270</v>
      </c>
      <c r="G1071" s="266" t="s">
        <v>2601</v>
      </c>
      <c r="H1071" s="266" t="s">
        <v>495</v>
      </c>
      <c r="I1071" s="266" t="s">
        <v>7219</v>
      </c>
      <c r="J1071" s="266" t="s">
        <v>1625</v>
      </c>
      <c r="K1071" s="406" t="s">
        <v>7273</v>
      </c>
    </row>
    <row r="1072" spans="1:11" x14ac:dyDescent="0.25">
      <c r="A1072" s="270" t="s">
        <v>2615</v>
      </c>
      <c r="B1072" s="266"/>
      <c r="C1072" s="266" t="s">
        <v>2506</v>
      </c>
      <c r="D1072" s="266" t="s">
        <v>7274</v>
      </c>
      <c r="E1072" s="267" t="s">
        <v>7275</v>
      </c>
      <c r="F1072" s="267">
        <v>36481</v>
      </c>
      <c r="G1072" s="266" t="s">
        <v>2480</v>
      </c>
      <c r="H1072" s="266" t="s">
        <v>2617</v>
      </c>
      <c r="I1072" s="266" t="s">
        <v>6193</v>
      </c>
      <c r="J1072" s="266" t="s">
        <v>985</v>
      </c>
      <c r="K1072" s="406" t="s">
        <v>7276</v>
      </c>
    </row>
    <row r="1073" spans="1:11" x14ac:dyDescent="0.25">
      <c r="A1073" s="270" t="s">
        <v>2618</v>
      </c>
      <c r="B1073" s="266"/>
      <c r="C1073" s="266" t="s">
        <v>2619</v>
      </c>
      <c r="D1073" s="266" t="s">
        <v>4353</v>
      </c>
      <c r="E1073" s="267" t="s">
        <v>7277</v>
      </c>
      <c r="F1073" s="267">
        <v>36511</v>
      </c>
      <c r="G1073" s="266" t="s">
        <v>2621</v>
      </c>
      <c r="H1073" s="266" t="s">
        <v>1110</v>
      </c>
      <c r="I1073" s="266" t="s">
        <v>7216</v>
      </c>
      <c r="J1073" s="266" t="s">
        <v>985</v>
      </c>
      <c r="K1073" s="406" t="s">
        <v>7278</v>
      </c>
    </row>
    <row r="1074" spans="1:11" x14ac:dyDescent="0.25">
      <c r="A1074" s="270" t="s">
        <v>2622</v>
      </c>
      <c r="B1074" s="266"/>
      <c r="C1074" s="266" t="s">
        <v>309</v>
      </c>
      <c r="D1074" s="266" t="s">
        <v>486</v>
      </c>
      <c r="E1074" s="267" t="s">
        <v>7279</v>
      </c>
      <c r="F1074" s="267">
        <v>36516</v>
      </c>
      <c r="G1074" s="266" t="s">
        <v>270</v>
      </c>
      <c r="H1074" s="266" t="s">
        <v>487</v>
      </c>
      <c r="I1074" s="266" t="s">
        <v>488</v>
      </c>
      <c r="J1074" s="266" t="s">
        <v>996</v>
      </c>
      <c r="K1074" s="406" t="s">
        <v>7280</v>
      </c>
    </row>
    <row r="1075" spans="1:11" x14ac:dyDescent="0.25">
      <c r="A1075" s="270" t="s">
        <v>2624</v>
      </c>
      <c r="B1075" s="266"/>
      <c r="C1075" s="266" t="s">
        <v>309</v>
      </c>
      <c r="D1075" s="266" t="s">
        <v>489</v>
      </c>
      <c r="E1075" s="267" t="s">
        <v>7281</v>
      </c>
      <c r="F1075" s="267">
        <v>36532</v>
      </c>
      <c r="G1075" s="266" t="s">
        <v>490</v>
      </c>
      <c r="H1075" s="266" t="s">
        <v>487</v>
      </c>
      <c r="I1075" s="266" t="s">
        <v>488</v>
      </c>
      <c r="J1075" s="266" t="s">
        <v>996</v>
      </c>
      <c r="K1075" s="406" t="s">
        <v>7282</v>
      </c>
    </row>
    <row r="1076" spans="1:11" x14ac:dyDescent="0.25">
      <c r="A1076" s="270" t="s">
        <v>2626</v>
      </c>
      <c r="B1076" s="266"/>
      <c r="C1076" s="266" t="s">
        <v>309</v>
      </c>
      <c r="D1076" s="266" t="s">
        <v>491</v>
      </c>
      <c r="E1076" s="267" t="s">
        <v>7283</v>
      </c>
      <c r="F1076" s="267">
        <v>36545</v>
      </c>
      <c r="G1076" s="266" t="s">
        <v>492</v>
      </c>
      <c r="H1076" s="266" t="s">
        <v>487</v>
      </c>
      <c r="I1076" s="266" t="s">
        <v>493</v>
      </c>
      <c r="J1076" s="266" t="s">
        <v>996</v>
      </c>
      <c r="K1076" s="406" t="s">
        <v>7284</v>
      </c>
    </row>
    <row r="1077" spans="1:11" x14ac:dyDescent="0.25">
      <c r="A1077" s="270" t="s">
        <v>2628</v>
      </c>
      <c r="B1077" s="266"/>
      <c r="C1077" s="266" t="s">
        <v>309</v>
      </c>
      <c r="D1077" s="266" t="s">
        <v>494</v>
      </c>
      <c r="E1077" s="267" t="s">
        <v>7285</v>
      </c>
      <c r="F1077" s="267">
        <v>36546</v>
      </c>
      <c r="G1077" s="266" t="s">
        <v>495</v>
      </c>
      <c r="H1077" s="266" t="s">
        <v>496</v>
      </c>
      <c r="I1077" s="266" t="s">
        <v>497</v>
      </c>
      <c r="J1077" s="266" t="s">
        <v>996</v>
      </c>
      <c r="K1077" s="406" t="s">
        <v>7286</v>
      </c>
    </row>
    <row r="1078" spans="1:11" x14ac:dyDescent="0.25">
      <c r="A1078" s="270" t="s">
        <v>2630</v>
      </c>
      <c r="B1078" s="266"/>
      <c r="C1078" s="266" t="s">
        <v>309</v>
      </c>
      <c r="D1078" s="266" t="s">
        <v>498</v>
      </c>
      <c r="E1078" s="267" t="s">
        <v>7287</v>
      </c>
      <c r="F1078" s="267">
        <v>36549</v>
      </c>
      <c r="G1078" s="266" t="s">
        <v>499</v>
      </c>
      <c r="H1078" s="266" t="s">
        <v>496</v>
      </c>
      <c r="I1078" s="266" t="s">
        <v>497</v>
      </c>
      <c r="J1078" s="266" t="s">
        <v>996</v>
      </c>
      <c r="K1078" s="406" t="s">
        <v>7288</v>
      </c>
    </row>
    <row r="1079" spans="1:11" x14ac:dyDescent="0.25">
      <c r="A1079" s="270" t="s">
        <v>2632</v>
      </c>
      <c r="B1079" s="266"/>
      <c r="C1079" s="266" t="s">
        <v>309</v>
      </c>
      <c r="D1079" s="266" t="s">
        <v>500</v>
      </c>
      <c r="E1079" s="267" t="s">
        <v>7289</v>
      </c>
      <c r="F1079" s="267">
        <v>36551</v>
      </c>
      <c r="G1079" s="266" t="s">
        <v>501</v>
      </c>
      <c r="H1079" s="266" t="s">
        <v>487</v>
      </c>
      <c r="I1079" s="266" t="s">
        <v>502</v>
      </c>
      <c r="J1079" s="266" t="s">
        <v>996</v>
      </c>
      <c r="K1079" s="406" t="s">
        <v>7290</v>
      </c>
    </row>
    <row r="1080" spans="1:11" x14ac:dyDescent="0.25">
      <c r="A1080" s="270" t="s">
        <v>2634</v>
      </c>
      <c r="B1080" s="266"/>
      <c r="C1080" s="266" t="s">
        <v>309</v>
      </c>
      <c r="D1080" s="266" t="s">
        <v>503</v>
      </c>
      <c r="E1080" s="267" t="s">
        <v>7291</v>
      </c>
      <c r="F1080" s="267">
        <v>36558</v>
      </c>
      <c r="G1080" s="266" t="s">
        <v>504</v>
      </c>
      <c r="H1080" s="266" t="s">
        <v>496</v>
      </c>
      <c r="I1080" s="266" t="s">
        <v>505</v>
      </c>
      <c r="J1080" s="266" t="s">
        <v>996</v>
      </c>
      <c r="K1080" s="406" t="s">
        <v>7292</v>
      </c>
    </row>
    <row r="1081" spans="1:11" x14ac:dyDescent="0.25">
      <c r="A1081" s="270" t="s">
        <v>2636</v>
      </c>
      <c r="B1081" s="266"/>
      <c r="C1081" s="266" t="s">
        <v>309</v>
      </c>
      <c r="D1081" s="266" t="s">
        <v>506</v>
      </c>
      <c r="E1081" s="267" t="s">
        <v>7291</v>
      </c>
      <c r="F1081" s="267">
        <v>36558</v>
      </c>
      <c r="G1081" s="266" t="s">
        <v>507</v>
      </c>
      <c r="H1081" s="266" t="s">
        <v>487</v>
      </c>
      <c r="I1081" s="266" t="s">
        <v>502</v>
      </c>
      <c r="J1081" s="266" t="s">
        <v>996</v>
      </c>
      <c r="K1081" s="406" t="s">
        <v>7293</v>
      </c>
    </row>
    <row r="1082" spans="1:11" x14ac:dyDescent="0.25">
      <c r="A1082" s="270" t="s">
        <v>2638</v>
      </c>
      <c r="B1082" s="266"/>
      <c r="C1082" s="266" t="s">
        <v>309</v>
      </c>
      <c r="D1082" s="266" t="s">
        <v>508</v>
      </c>
      <c r="E1082" s="267" t="s">
        <v>7294</v>
      </c>
      <c r="F1082" s="267">
        <v>36564</v>
      </c>
      <c r="G1082" s="266" t="s">
        <v>2586</v>
      </c>
      <c r="H1082" s="266" t="s">
        <v>496</v>
      </c>
      <c r="I1082" s="266" t="s">
        <v>497</v>
      </c>
      <c r="J1082" s="266" t="s">
        <v>996</v>
      </c>
      <c r="K1082" s="406" t="s">
        <v>7295</v>
      </c>
    </row>
    <row r="1083" spans="1:11" x14ac:dyDescent="0.25">
      <c r="A1083" s="270" t="s">
        <v>2641</v>
      </c>
      <c r="B1083" s="266"/>
      <c r="C1083" s="266" t="s">
        <v>309</v>
      </c>
      <c r="D1083" s="266" t="s">
        <v>510</v>
      </c>
      <c r="E1083" s="267" t="s">
        <v>7294</v>
      </c>
      <c r="F1083" s="267">
        <v>36564</v>
      </c>
      <c r="G1083" s="266" t="s">
        <v>7296</v>
      </c>
      <c r="H1083" s="266" t="s">
        <v>496</v>
      </c>
      <c r="I1083" s="266" t="s">
        <v>497</v>
      </c>
      <c r="J1083" s="266" t="s">
        <v>996</v>
      </c>
      <c r="K1083" s="406" t="s">
        <v>7297</v>
      </c>
    </row>
    <row r="1084" spans="1:11" x14ac:dyDescent="0.25">
      <c r="A1084" s="270" t="s">
        <v>2644</v>
      </c>
      <c r="B1084" s="266"/>
      <c r="C1084" s="266" t="s">
        <v>309</v>
      </c>
      <c r="D1084" s="266" t="s">
        <v>512</v>
      </c>
      <c r="E1084" s="267" t="s">
        <v>7294</v>
      </c>
      <c r="F1084" s="267">
        <v>36564</v>
      </c>
      <c r="G1084" s="266" t="s">
        <v>513</v>
      </c>
      <c r="H1084" s="266" t="s">
        <v>496</v>
      </c>
      <c r="I1084" s="266" t="s">
        <v>497</v>
      </c>
      <c r="J1084" s="266" t="s">
        <v>996</v>
      </c>
      <c r="K1084" s="406" t="s">
        <v>7298</v>
      </c>
    </row>
    <row r="1085" spans="1:11" x14ac:dyDescent="0.25">
      <c r="A1085" s="270" t="s">
        <v>2662</v>
      </c>
      <c r="B1085" s="266"/>
      <c r="C1085" s="266" t="s">
        <v>309</v>
      </c>
      <c r="D1085" s="266" t="s">
        <v>514</v>
      </c>
      <c r="E1085" s="267" t="s">
        <v>7299</v>
      </c>
      <c r="F1085" s="267">
        <v>36565</v>
      </c>
      <c r="G1085" s="266" t="s">
        <v>515</v>
      </c>
      <c r="H1085" s="266" t="s">
        <v>266</v>
      </c>
      <c r="I1085" s="266" t="s">
        <v>7300</v>
      </c>
      <c r="J1085" s="266" t="s">
        <v>996</v>
      </c>
      <c r="K1085" s="406" t="s">
        <v>7301</v>
      </c>
    </row>
    <row r="1086" spans="1:11" x14ac:dyDescent="0.25">
      <c r="A1086" s="270" t="s">
        <v>2663</v>
      </c>
      <c r="B1086" s="266"/>
      <c r="C1086" s="266" t="s">
        <v>309</v>
      </c>
      <c r="D1086" s="266" t="s">
        <v>517</v>
      </c>
      <c r="E1086" s="267" t="s">
        <v>7299</v>
      </c>
      <c r="F1086" s="267">
        <v>36565</v>
      </c>
      <c r="G1086" s="266" t="s">
        <v>292</v>
      </c>
      <c r="H1086" s="266" t="s">
        <v>266</v>
      </c>
      <c r="I1086" s="266" t="s">
        <v>7302</v>
      </c>
      <c r="J1086" s="266" t="s">
        <v>996</v>
      </c>
      <c r="K1086" s="406" t="s">
        <v>7303</v>
      </c>
    </row>
    <row r="1087" spans="1:11" x14ac:dyDescent="0.25">
      <c r="A1087" s="270" t="s">
        <v>2650</v>
      </c>
      <c r="B1087" s="266"/>
      <c r="C1087" s="266" t="s">
        <v>309</v>
      </c>
      <c r="D1087" s="266" t="s">
        <v>519</v>
      </c>
      <c r="E1087" s="267" t="s">
        <v>7299</v>
      </c>
      <c r="F1087" s="267">
        <v>36565</v>
      </c>
      <c r="G1087" s="266" t="s">
        <v>520</v>
      </c>
      <c r="H1087" s="266" t="s">
        <v>266</v>
      </c>
      <c r="I1087" s="266" t="s">
        <v>7304</v>
      </c>
      <c r="J1087" s="266" t="s">
        <v>996</v>
      </c>
      <c r="K1087" s="406" t="s">
        <v>7305</v>
      </c>
    </row>
    <row r="1088" spans="1:11" x14ac:dyDescent="0.25">
      <c r="A1088" s="270" t="s">
        <v>2652</v>
      </c>
      <c r="B1088" s="266"/>
      <c r="C1088" s="266" t="s">
        <v>309</v>
      </c>
      <c r="D1088" s="266" t="s">
        <v>522</v>
      </c>
      <c r="E1088" s="267" t="s">
        <v>7299</v>
      </c>
      <c r="F1088" s="267">
        <v>36565</v>
      </c>
      <c r="G1088" s="266" t="s">
        <v>523</v>
      </c>
      <c r="H1088" s="266" t="s">
        <v>266</v>
      </c>
      <c r="I1088" s="266" t="s">
        <v>7302</v>
      </c>
      <c r="J1088" s="266" t="s">
        <v>996</v>
      </c>
      <c r="K1088" s="406" t="s">
        <v>7306</v>
      </c>
    </row>
    <row r="1089" spans="1:11" x14ac:dyDescent="0.25">
      <c r="A1089" s="270" t="s">
        <v>2654</v>
      </c>
      <c r="B1089" s="266"/>
      <c r="C1089" s="266" t="s">
        <v>309</v>
      </c>
      <c r="D1089" s="266" t="s">
        <v>524</v>
      </c>
      <c r="E1089" s="267" t="s">
        <v>7299</v>
      </c>
      <c r="F1089" s="267">
        <v>36565</v>
      </c>
      <c r="G1089" s="266" t="s">
        <v>2734</v>
      </c>
      <c r="H1089" s="266" t="s">
        <v>496</v>
      </c>
      <c r="I1089" s="266" t="s">
        <v>497</v>
      </c>
      <c r="J1089" s="266" t="s">
        <v>996</v>
      </c>
      <c r="K1089" s="406" t="s">
        <v>7307</v>
      </c>
    </row>
    <row r="1090" spans="1:11" x14ac:dyDescent="0.25">
      <c r="A1090" s="270" t="s">
        <v>2657</v>
      </c>
      <c r="B1090" s="266"/>
      <c r="C1090" s="266" t="s">
        <v>309</v>
      </c>
      <c r="D1090" s="266" t="s">
        <v>526</v>
      </c>
      <c r="E1090" s="267" t="s">
        <v>7299</v>
      </c>
      <c r="F1090" s="267">
        <v>36565</v>
      </c>
      <c r="G1090" s="266" t="s">
        <v>527</v>
      </c>
      <c r="H1090" s="266" t="s">
        <v>496</v>
      </c>
      <c r="I1090" s="266" t="s">
        <v>497</v>
      </c>
      <c r="J1090" s="266" t="s">
        <v>996</v>
      </c>
      <c r="K1090" s="406" t="s">
        <v>7308</v>
      </c>
    </row>
    <row r="1091" spans="1:11" x14ac:dyDescent="0.25">
      <c r="A1091" s="270" t="s">
        <v>2659</v>
      </c>
      <c r="B1091" s="266"/>
      <c r="C1091" s="266" t="s">
        <v>309</v>
      </c>
      <c r="D1091" s="266" t="s">
        <v>528</v>
      </c>
      <c r="E1091" s="267" t="s">
        <v>7299</v>
      </c>
      <c r="F1091" s="267">
        <v>36565</v>
      </c>
      <c r="G1091" s="266" t="s">
        <v>2661</v>
      </c>
      <c r="H1091" s="266" t="s">
        <v>496</v>
      </c>
      <c r="I1091" s="266" t="s">
        <v>497</v>
      </c>
      <c r="J1091" s="266" t="s">
        <v>996</v>
      </c>
      <c r="K1091" s="406" t="s">
        <v>7309</v>
      </c>
    </row>
    <row r="1092" spans="1:11" x14ac:dyDescent="0.25">
      <c r="A1092" s="270" t="s">
        <v>2664</v>
      </c>
      <c r="B1092" s="266">
        <v>11</v>
      </c>
      <c r="C1092" s="266" t="s">
        <v>309</v>
      </c>
      <c r="D1092" s="266" t="s">
        <v>530</v>
      </c>
      <c r="E1092" s="267" t="s">
        <v>7310</v>
      </c>
      <c r="F1092" s="267">
        <v>36566</v>
      </c>
      <c r="G1092" s="266" t="s">
        <v>531</v>
      </c>
      <c r="H1092" s="266" t="s">
        <v>487</v>
      </c>
      <c r="I1092" s="266" t="s">
        <v>313</v>
      </c>
      <c r="J1092" s="266" t="s">
        <v>996</v>
      </c>
      <c r="K1092" s="406" t="s">
        <v>7311</v>
      </c>
    </row>
    <row r="1093" spans="1:11" x14ac:dyDescent="0.25">
      <c r="A1093" s="270" t="s">
        <v>2668</v>
      </c>
      <c r="B1093" s="266"/>
      <c r="C1093" s="266" t="s">
        <v>309</v>
      </c>
      <c r="D1093" s="266" t="s">
        <v>532</v>
      </c>
      <c r="E1093" s="267" t="s">
        <v>7312</v>
      </c>
      <c r="F1093" s="267">
        <v>36572</v>
      </c>
      <c r="G1093" s="266" t="s">
        <v>533</v>
      </c>
      <c r="H1093" s="266" t="s">
        <v>496</v>
      </c>
      <c r="I1093" s="266" t="s">
        <v>502</v>
      </c>
      <c r="J1093" s="266" t="s">
        <v>996</v>
      </c>
      <c r="K1093" s="406" t="s">
        <v>7313</v>
      </c>
    </row>
    <row r="1094" spans="1:11" x14ac:dyDescent="0.25">
      <c r="A1094" s="270" t="s">
        <v>2670</v>
      </c>
      <c r="B1094" s="266"/>
      <c r="C1094" s="266" t="s">
        <v>7314</v>
      </c>
      <c r="D1094" s="266" t="s">
        <v>7315</v>
      </c>
      <c r="E1094" s="267" t="s">
        <v>7312</v>
      </c>
      <c r="F1094" s="267">
        <v>36572</v>
      </c>
      <c r="G1094" s="266" t="s">
        <v>2673</v>
      </c>
      <c r="H1094" s="266" t="s">
        <v>2674</v>
      </c>
      <c r="I1094" s="266" t="s">
        <v>502</v>
      </c>
      <c r="J1094" s="266" t="s">
        <v>985</v>
      </c>
      <c r="K1094" s="406" t="s">
        <v>7316</v>
      </c>
    </row>
    <row r="1095" spans="1:11" x14ac:dyDescent="0.25">
      <c r="A1095" s="270" t="s">
        <v>2675</v>
      </c>
      <c r="B1095" s="266"/>
      <c r="C1095" s="266" t="s">
        <v>309</v>
      </c>
      <c r="D1095" s="266" t="s">
        <v>534</v>
      </c>
      <c r="E1095" s="267" t="s">
        <v>7317</v>
      </c>
      <c r="F1095" s="267">
        <v>36586</v>
      </c>
      <c r="G1095" s="266" t="s">
        <v>535</v>
      </c>
      <c r="H1095" s="266" t="s">
        <v>496</v>
      </c>
      <c r="I1095" s="266" t="s">
        <v>536</v>
      </c>
      <c r="J1095" s="266" t="s">
        <v>996</v>
      </c>
      <c r="K1095" s="406" t="s">
        <v>7318</v>
      </c>
    </row>
    <row r="1096" spans="1:11" x14ac:dyDescent="0.25">
      <c r="A1096" s="270" t="s">
        <v>2677</v>
      </c>
      <c r="B1096" s="266"/>
      <c r="C1096" s="266" t="s">
        <v>309</v>
      </c>
      <c r="D1096" s="266" t="s">
        <v>537</v>
      </c>
      <c r="E1096" s="267" t="s">
        <v>7317</v>
      </c>
      <c r="F1096" s="267">
        <v>36586</v>
      </c>
      <c r="G1096" s="266" t="s">
        <v>294</v>
      </c>
      <c r="H1096" s="266" t="s">
        <v>496</v>
      </c>
      <c r="I1096" s="266" t="s">
        <v>539</v>
      </c>
      <c r="J1096" s="266" t="s">
        <v>996</v>
      </c>
      <c r="K1096" s="406" t="s">
        <v>7319</v>
      </c>
    </row>
    <row r="1097" spans="1:11" x14ac:dyDescent="0.25">
      <c r="A1097" s="270" t="s">
        <v>2679</v>
      </c>
      <c r="B1097" s="266"/>
      <c r="C1097" s="266" t="s">
        <v>309</v>
      </c>
      <c r="D1097" s="266" t="s">
        <v>540</v>
      </c>
      <c r="E1097" s="267" t="s">
        <v>7320</v>
      </c>
      <c r="F1097" s="267">
        <v>36593</v>
      </c>
      <c r="G1097" s="266" t="s">
        <v>272</v>
      </c>
      <c r="H1097" s="266" t="s">
        <v>487</v>
      </c>
      <c r="I1097" s="266" t="s">
        <v>7321</v>
      </c>
      <c r="J1097" s="266" t="s">
        <v>996</v>
      </c>
      <c r="K1097" s="406" t="s">
        <v>7322</v>
      </c>
    </row>
    <row r="1098" spans="1:11" x14ac:dyDescent="0.25">
      <c r="A1098" s="270" t="s">
        <v>2681</v>
      </c>
      <c r="B1098" s="266"/>
      <c r="C1098" s="266" t="s">
        <v>309</v>
      </c>
      <c r="D1098" s="266" t="s">
        <v>542</v>
      </c>
      <c r="E1098" s="267" t="s">
        <v>7320</v>
      </c>
      <c r="F1098" s="267">
        <v>36593</v>
      </c>
      <c r="G1098" s="266" t="s">
        <v>265</v>
      </c>
      <c r="H1098" s="266" t="s">
        <v>487</v>
      </c>
      <c r="I1098" s="266" t="s">
        <v>7323</v>
      </c>
      <c r="J1098" s="266" t="s">
        <v>996</v>
      </c>
      <c r="K1098" s="406" t="s">
        <v>7324</v>
      </c>
    </row>
    <row r="1099" spans="1:11" x14ac:dyDescent="0.25">
      <c r="A1099" s="270" t="s">
        <v>2683</v>
      </c>
      <c r="B1099" s="266"/>
      <c r="C1099" s="266" t="s">
        <v>309</v>
      </c>
      <c r="D1099" s="266" t="s">
        <v>544</v>
      </c>
      <c r="E1099" s="267" t="s">
        <v>7320</v>
      </c>
      <c r="F1099" s="267">
        <v>36593</v>
      </c>
      <c r="G1099" s="266" t="s">
        <v>545</v>
      </c>
      <c r="H1099" s="266" t="s">
        <v>487</v>
      </c>
      <c r="I1099" s="266" t="s">
        <v>502</v>
      </c>
      <c r="J1099" s="266" t="s">
        <v>996</v>
      </c>
      <c r="K1099" s="406" t="s">
        <v>7325</v>
      </c>
    </row>
    <row r="1100" spans="1:11" x14ac:dyDescent="0.25">
      <c r="A1100" s="270" t="s">
        <v>2685</v>
      </c>
      <c r="B1100" s="266">
        <v>69</v>
      </c>
      <c r="C1100" s="266" t="s">
        <v>114</v>
      </c>
      <c r="D1100" s="266" t="s">
        <v>4443</v>
      </c>
      <c r="E1100" s="267" t="s">
        <v>7326</v>
      </c>
      <c r="F1100" s="267">
        <v>36600</v>
      </c>
      <c r="G1100" s="266" t="s">
        <v>266</v>
      </c>
      <c r="H1100" s="266" t="s">
        <v>2687</v>
      </c>
      <c r="I1100" s="266" t="s">
        <v>313</v>
      </c>
      <c r="J1100" s="266" t="s">
        <v>996</v>
      </c>
      <c r="K1100" s="406" t="s">
        <v>7327</v>
      </c>
    </row>
    <row r="1101" spans="1:11" x14ac:dyDescent="0.25">
      <c r="A1101" s="270" t="s">
        <v>2695</v>
      </c>
      <c r="B1101" s="266"/>
      <c r="C1101" s="266" t="s">
        <v>309</v>
      </c>
      <c r="D1101" s="266" t="s">
        <v>546</v>
      </c>
      <c r="E1101" s="267" t="s">
        <v>7328</v>
      </c>
      <c r="F1101" s="267">
        <v>36612</v>
      </c>
      <c r="G1101" s="266" t="s">
        <v>547</v>
      </c>
      <c r="H1101" s="266" t="s">
        <v>266</v>
      </c>
      <c r="I1101" s="266" t="s">
        <v>7329</v>
      </c>
      <c r="J1101" s="266" t="s">
        <v>996</v>
      </c>
      <c r="K1101" s="406" t="s">
        <v>7330</v>
      </c>
    </row>
    <row r="1102" spans="1:11" x14ac:dyDescent="0.25">
      <c r="A1102" s="270" t="s">
        <v>2698</v>
      </c>
      <c r="B1102" s="266">
        <v>71</v>
      </c>
      <c r="C1102" s="266" t="s">
        <v>309</v>
      </c>
      <c r="D1102" s="266" t="s">
        <v>549</v>
      </c>
      <c r="E1102" s="267" t="s">
        <v>7331</v>
      </c>
      <c r="F1102" s="267">
        <v>36613</v>
      </c>
      <c r="G1102" s="266" t="s">
        <v>550</v>
      </c>
      <c r="H1102" s="266" t="s">
        <v>487</v>
      </c>
      <c r="I1102" s="266" t="s">
        <v>7332</v>
      </c>
      <c r="J1102" s="266" t="s">
        <v>996</v>
      </c>
      <c r="K1102" s="406" t="s">
        <v>7333</v>
      </c>
    </row>
    <row r="1103" spans="1:11" x14ac:dyDescent="0.25">
      <c r="A1103" s="270" t="s">
        <v>2702</v>
      </c>
      <c r="B1103" s="266">
        <v>72</v>
      </c>
      <c r="C1103" s="266" t="s">
        <v>309</v>
      </c>
      <c r="D1103" s="266" t="s">
        <v>552</v>
      </c>
      <c r="E1103" s="267" t="s">
        <v>7331</v>
      </c>
      <c r="F1103" s="267">
        <v>36613</v>
      </c>
      <c r="G1103" s="266" t="s">
        <v>480</v>
      </c>
      <c r="H1103" s="266" t="s">
        <v>487</v>
      </c>
      <c r="I1103" s="266" t="s">
        <v>7332</v>
      </c>
      <c r="J1103" s="266" t="s">
        <v>996</v>
      </c>
      <c r="K1103" s="406" t="s">
        <v>7334</v>
      </c>
    </row>
    <row r="1104" spans="1:11" x14ac:dyDescent="0.25">
      <c r="A1104" s="270" t="s">
        <v>2708</v>
      </c>
      <c r="B1104" s="266"/>
      <c r="C1104" s="266" t="s">
        <v>309</v>
      </c>
      <c r="D1104" s="266" t="s">
        <v>553</v>
      </c>
      <c r="E1104" s="267" t="s">
        <v>7335</v>
      </c>
      <c r="F1104" s="267">
        <v>36616</v>
      </c>
      <c r="G1104" s="266" t="s">
        <v>554</v>
      </c>
      <c r="H1104" s="266" t="s">
        <v>487</v>
      </c>
      <c r="I1104" s="266" t="s">
        <v>7332</v>
      </c>
      <c r="J1104" s="266" t="s">
        <v>996</v>
      </c>
      <c r="K1104" s="406" t="s">
        <v>7336</v>
      </c>
    </row>
    <row r="1105" spans="1:11" x14ac:dyDescent="0.25">
      <c r="A1105" s="270" t="s">
        <v>2710</v>
      </c>
      <c r="B1105" s="266"/>
      <c r="C1105" s="266" t="s">
        <v>309</v>
      </c>
      <c r="D1105" s="266" t="s">
        <v>556</v>
      </c>
      <c r="E1105" s="267" t="s">
        <v>7337</v>
      </c>
      <c r="F1105" s="267">
        <v>36621</v>
      </c>
      <c r="G1105" s="266" t="s">
        <v>437</v>
      </c>
      <c r="H1105" s="266" t="s">
        <v>496</v>
      </c>
      <c r="I1105" s="266" t="s">
        <v>497</v>
      </c>
      <c r="J1105" s="266" t="s">
        <v>996</v>
      </c>
      <c r="K1105" s="406" t="s">
        <v>7338</v>
      </c>
    </row>
    <row r="1106" spans="1:11" x14ac:dyDescent="0.25">
      <c r="A1106" s="270" t="s">
        <v>2712</v>
      </c>
      <c r="B1106" s="266"/>
      <c r="C1106" s="266" t="s">
        <v>309</v>
      </c>
      <c r="D1106" s="266" t="s">
        <v>557</v>
      </c>
      <c r="E1106" s="267" t="s">
        <v>7339</v>
      </c>
      <c r="F1106" s="267">
        <v>36623</v>
      </c>
      <c r="G1106" s="266" t="s">
        <v>558</v>
      </c>
      <c r="H1106" s="266" t="s">
        <v>496</v>
      </c>
      <c r="I1106" s="266" t="s">
        <v>502</v>
      </c>
      <c r="J1106" s="266" t="s">
        <v>996</v>
      </c>
      <c r="K1106" s="406" t="s">
        <v>7340</v>
      </c>
    </row>
    <row r="1107" spans="1:11" x14ac:dyDescent="0.25">
      <c r="A1107" s="270" t="s">
        <v>2715</v>
      </c>
      <c r="B1107" s="266"/>
      <c r="C1107" s="266" t="s">
        <v>114</v>
      </c>
      <c r="D1107" s="266" t="s">
        <v>7341</v>
      </c>
      <c r="E1107" s="267" t="s">
        <v>7342</v>
      </c>
      <c r="F1107" s="267">
        <v>36643</v>
      </c>
      <c r="G1107" s="266" t="s">
        <v>2717</v>
      </c>
      <c r="H1107" s="266" t="s">
        <v>2687</v>
      </c>
      <c r="I1107" s="266" t="s">
        <v>7179</v>
      </c>
      <c r="J1107" s="266" t="s">
        <v>996</v>
      </c>
      <c r="K1107" s="406" t="s">
        <v>7343</v>
      </c>
    </row>
    <row r="1108" spans="1:11" x14ac:dyDescent="0.25">
      <c r="A1108" s="270" t="s">
        <v>2719</v>
      </c>
      <c r="B1108" s="266"/>
      <c r="C1108" s="266" t="s">
        <v>1623</v>
      </c>
      <c r="D1108" s="266" t="s">
        <v>4154</v>
      </c>
      <c r="E1108" s="267" t="s">
        <v>7344</v>
      </c>
      <c r="F1108" s="267">
        <v>36647</v>
      </c>
      <c r="G1108" s="266" t="s">
        <v>2580</v>
      </c>
      <c r="H1108" s="266" t="s">
        <v>2721</v>
      </c>
      <c r="I1108" s="266" t="s">
        <v>7200</v>
      </c>
      <c r="J1108" s="266" t="s">
        <v>1625</v>
      </c>
      <c r="K1108" s="406" t="s">
        <v>7345</v>
      </c>
    </row>
    <row r="1109" spans="1:11" x14ac:dyDescent="0.25">
      <c r="A1109" s="270" t="s">
        <v>2722</v>
      </c>
      <c r="B1109" s="266"/>
      <c r="C1109" s="266" t="s">
        <v>309</v>
      </c>
      <c r="D1109" s="266" t="s">
        <v>559</v>
      </c>
      <c r="E1109" s="267" t="s">
        <v>7346</v>
      </c>
      <c r="F1109" s="267">
        <v>36671</v>
      </c>
      <c r="G1109" s="266" t="s">
        <v>560</v>
      </c>
      <c r="H1109" s="266" t="s">
        <v>487</v>
      </c>
      <c r="I1109" s="266" t="s">
        <v>7241</v>
      </c>
      <c r="J1109" s="266" t="s">
        <v>996</v>
      </c>
      <c r="K1109" s="406" t="s">
        <v>7347</v>
      </c>
    </row>
    <row r="1110" spans="1:11" x14ac:dyDescent="0.25">
      <c r="A1110" s="270" t="s">
        <v>2724</v>
      </c>
      <c r="B1110" s="266"/>
      <c r="C1110" s="266" t="s">
        <v>2441</v>
      </c>
      <c r="D1110" s="266" t="s">
        <v>7348</v>
      </c>
      <c r="E1110" s="267" t="s">
        <v>7349</v>
      </c>
      <c r="F1110" s="267">
        <v>36679</v>
      </c>
      <c r="G1110" s="266" t="s">
        <v>2726</v>
      </c>
      <c r="H1110" s="266" t="s">
        <v>2727</v>
      </c>
      <c r="I1110" s="266" t="s">
        <v>7350</v>
      </c>
      <c r="J1110" s="266" t="s">
        <v>1095</v>
      </c>
      <c r="K1110" s="406" t="s">
        <v>7351</v>
      </c>
    </row>
    <row r="1111" spans="1:11" x14ac:dyDescent="0.25">
      <c r="A1111" s="270" t="s">
        <v>2729</v>
      </c>
      <c r="B1111" s="266"/>
      <c r="C1111" s="266" t="s">
        <v>114</v>
      </c>
      <c r="D1111" s="266" t="s">
        <v>7352</v>
      </c>
      <c r="E1111" s="267" t="s">
        <v>7353</v>
      </c>
      <c r="F1111" s="267">
        <v>36717</v>
      </c>
      <c r="G1111" s="266" t="s">
        <v>2731</v>
      </c>
      <c r="H1111" s="266" t="s">
        <v>2546</v>
      </c>
      <c r="I1111" s="266" t="s">
        <v>6193</v>
      </c>
      <c r="J1111" s="266" t="s">
        <v>996</v>
      </c>
      <c r="K1111" s="406" t="s">
        <v>7354</v>
      </c>
    </row>
    <row r="1112" spans="1:11" x14ac:dyDescent="0.25">
      <c r="A1112" s="270" t="s">
        <v>2732</v>
      </c>
      <c r="B1112" s="266"/>
      <c r="C1112" s="266" t="s">
        <v>82</v>
      </c>
      <c r="D1112" s="266" t="s">
        <v>4232</v>
      </c>
      <c r="E1112" s="267" t="s">
        <v>7355</v>
      </c>
      <c r="F1112" s="267">
        <v>36802</v>
      </c>
      <c r="G1112" s="266" t="s">
        <v>2734</v>
      </c>
      <c r="H1112" s="266" t="s">
        <v>2661</v>
      </c>
      <c r="I1112" s="266" t="s">
        <v>7219</v>
      </c>
      <c r="J1112" s="266" t="s">
        <v>1625</v>
      </c>
      <c r="K1112" s="406" t="s">
        <v>7356</v>
      </c>
    </row>
    <row r="1113" spans="1:11" x14ac:dyDescent="0.25">
      <c r="A1113" s="270" t="s">
        <v>2735</v>
      </c>
      <c r="B1113" s="266"/>
      <c r="C1113" s="266" t="s">
        <v>309</v>
      </c>
      <c r="D1113" s="266" t="s">
        <v>562</v>
      </c>
      <c r="E1113" s="267" t="s">
        <v>7357</v>
      </c>
      <c r="F1113" s="267">
        <v>36816</v>
      </c>
      <c r="G1113" s="266" t="s">
        <v>400</v>
      </c>
      <c r="H1113" s="266" t="s">
        <v>487</v>
      </c>
      <c r="I1113" s="266" t="s">
        <v>488</v>
      </c>
      <c r="J1113" s="266" t="s">
        <v>996</v>
      </c>
      <c r="K1113" s="406" t="s">
        <v>7358</v>
      </c>
    </row>
    <row r="1114" spans="1:11" x14ac:dyDescent="0.25">
      <c r="A1114" s="270" t="s">
        <v>2737</v>
      </c>
      <c r="B1114" s="266"/>
      <c r="C1114" s="266" t="s">
        <v>309</v>
      </c>
      <c r="D1114" s="266" t="s">
        <v>563</v>
      </c>
      <c r="E1114" s="267" t="s">
        <v>7359</v>
      </c>
      <c r="F1114" s="267">
        <v>36824</v>
      </c>
      <c r="G1114" s="266" t="s">
        <v>2739</v>
      </c>
      <c r="H1114" s="266" t="s">
        <v>487</v>
      </c>
      <c r="I1114" s="266" t="s">
        <v>505</v>
      </c>
      <c r="J1114" s="266" t="s">
        <v>996</v>
      </c>
      <c r="K1114" s="406" t="s">
        <v>7360</v>
      </c>
    </row>
    <row r="1115" spans="1:11" x14ac:dyDescent="0.25">
      <c r="A1115" s="270" t="s">
        <v>2740</v>
      </c>
      <c r="B1115" s="266"/>
      <c r="C1115" s="266" t="s">
        <v>309</v>
      </c>
      <c r="D1115" s="266" t="s">
        <v>565</v>
      </c>
      <c r="E1115" s="267" t="s">
        <v>7359</v>
      </c>
      <c r="F1115" s="267">
        <v>36824</v>
      </c>
      <c r="G1115" s="266" t="s">
        <v>2525</v>
      </c>
      <c r="H1115" s="266" t="s">
        <v>487</v>
      </c>
      <c r="I1115" s="266" t="s">
        <v>505</v>
      </c>
      <c r="J1115" s="266" t="s">
        <v>996</v>
      </c>
      <c r="K1115" s="406" t="s">
        <v>7361</v>
      </c>
    </row>
    <row r="1116" spans="1:11" x14ac:dyDescent="0.25">
      <c r="A1116" s="270" t="s">
        <v>2742</v>
      </c>
      <c r="B1116" s="266"/>
      <c r="C1116" s="266" t="s">
        <v>1623</v>
      </c>
      <c r="D1116" s="266" t="s">
        <v>4233</v>
      </c>
      <c r="E1116" s="267" t="s">
        <v>7362</v>
      </c>
      <c r="F1116" s="267">
        <v>36896</v>
      </c>
      <c r="G1116" s="266" t="s">
        <v>1615</v>
      </c>
      <c r="H1116" s="266" t="s">
        <v>2744</v>
      </c>
      <c r="I1116" s="266" t="s">
        <v>7219</v>
      </c>
      <c r="J1116" s="266" t="s">
        <v>1625</v>
      </c>
      <c r="K1116" s="406" t="s">
        <v>7363</v>
      </c>
    </row>
    <row r="1117" spans="1:11" x14ac:dyDescent="0.25">
      <c r="A1117" s="270" t="s">
        <v>2745</v>
      </c>
      <c r="B1117" s="266"/>
      <c r="C1117" s="266" t="s">
        <v>2746</v>
      </c>
      <c r="D1117" s="266" t="s">
        <v>7364</v>
      </c>
      <c r="E1117" s="267" t="s">
        <v>7365</v>
      </c>
      <c r="F1117" s="267">
        <v>36877</v>
      </c>
      <c r="G1117" s="266" t="s">
        <v>7366</v>
      </c>
      <c r="H1117" s="266" t="s">
        <v>1110</v>
      </c>
      <c r="I1117" s="266" t="s">
        <v>7367</v>
      </c>
      <c r="J1117" s="266" t="s">
        <v>1095</v>
      </c>
      <c r="K1117" s="406" t="s">
        <v>7368</v>
      </c>
    </row>
    <row r="1118" spans="1:11" x14ac:dyDescent="0.25">
      <c r="A1118" s="270" t="s">
        <v>2750</v>
      </c>
      <c r="B1118" s="266"/>
      <c r="C1118" s="266" t="s">
        <v>2506</v>
      </c>
      <c r="D1118" s="266" t="s">
        <v>7369</v>
      </c>
      <c r="E1118" s="267" t="s">
        <v>7365</v>
      </c>
      <c r="F1118" s="267">
        <v>36881</v>
      </c>
      <c r="G1118" s="266" t="s">
        <v>2752</v>
      </c>
      <c r="H1118" s="266" t="s">
        <v>2753</v>
      </c>
      <c r="I1118" s="266" t="s">
        <v>7367</v>
      </c>
      <c r="J1118" s="266" t="s">
        <v>985</v>
      </c>
      <c r="K1118" s="406" t="s">
        <v>7370</v>
      </c>
    </row>
    <row r="1119" spans="1:11" x14ac:dyDescent="0.25">
      <c r="A1119" s="270" t="s">
        <v>2754</v>
      </c>
      <c r="B1119" s="266"/>
      <c r="C1119" s="266" t="s">
        <v>1623</v>
      </c>
      <c r="D1119" s="266" t="s">
        <v>4234</v>
      </c>
      <c r="E1119" s="267" t="s">
        <v>7371</v>
      </c>
      <c r="F1119" s="267">
        <v>36921</v>
      </c>
      <c r="G1119" s="266" t="s">
        <v>397</v>
      </c>
      <c r="H1119" s="266" t="s">
        <v>2756</v>
      </c>
      <c r="I1119" s="266" t="s">
        <v>488</v>
      </c>
      <c r="J1119" s="266" t="s">
        <v>1625</v>
      </c>
      <c r="K1119" s="406" t="s">
        <v>7372</v>
      </c>
    </row>
    <row r="1120" spans="1:11" x14ac:dyDescent="0.25">
      <c r="A1120" s="270" t="s">
        <v>2757</v>
      </c>
      <c r="B1120" s="266"/>
      <c r="C1120" s="266" t="s">
        <v>1623</v>
      </c>
      <c r="D1120" s="266" t="s">
        <v>4235</v>
      </c>
      <c r="E1120" s="267" t="s">
        <v>7371</v>
      </c>
      <c r="F1120" s="267">
        <v>36921</v>
      </c>
      <c r="G1120" s="266" t="s">
        <v>463</v>
      </c>
      <c r="H1120" s="266" t="s">
        <v>2756</v>
      </c>
      <c r="I1120" s="266" t="s">
        <v>7219</v>
      </c>
      <c r="J1120" s="266" t="s">
        <v>1625</v>
      </c>
      <c r="K1120" s="406" t="s">
        <v>7373</v>
      </c>
    </row>
    <row r="1121" spans="1:11" x14ac:dyDescent="0.25">
      <c r="A1121" s="270" t="s">
        <v>2759</v>
      </c>
      <c r="B1121" s="266"/>
      <c r="C1121" s="266" t="s">
        <v>1623</v>
      </c>
      <c r="D1121" s="266" t="s">
        <v>4236</v>
      </c>
      <c r="E1121" s="267" t="s">
        <v>7371</v>
      </c>
      <c r="F1121" s="267">
        <v>36921</v>
      </c>
      <c r="G1121" s="266" t="s">
        <v>463</v>
      </c>
      <c r="H1121" s="266" t="s">
        <v>2756</v>
      </c>
      <c r="I1121" s="266" t="s">
        <v>488</v>
      </c>
      <c r="J1121" s="266" t="s">
        <v>1625</v>
      </c>
      <c r="K1121" s="406" t="s">
        <v>7374</v>
      </c>
    </row>
    <row r="1122" spans="1:11" x14ac:dyDescent="0.25">
      <c r="A1122" s="270" t="s">
        <v>2761</v>
      </c>
      <c r="B1122" s="266"/>
      <c r="C1122" s="266" t="s">
        <v>1623</v>
      </c>
      <c r="D1122" s="266" t="s">
        <v>4155</v>
      </c>
      <c r="E1122" s="267" t="s">
        <v>7375</v>
      </c>
      <c r="F1122" s="267">
        <v>36922</v>
      </c>
      <c r="G1122" s="266" t="s">
        <v>533</v>
      </c>
      <c r="H1122" s="266" t="s">
        <v>944</v>
      </c>
      <c r="I1122" s="266" t="s">
        <v>7200</v>
      </c>
      <c r="J1122" s="266" t="s">
        <v>1625</v>
      </c>
      <c r="K1122" s="406" t="s">
        <v>7376</v>
      </c>
    </row>
    <row r="1123" spans="1:11" x14ac:dyDescent="0.25">
      <c r="A1123" s="270" t="s">
        <v>2763</v>
      </c>
      <c r="B1123" s="266"/>
      <c r="C1123" s="266" t="s">
        <v>1107</v>
      </c>
      <c r="D1123" s="266" t="s">
        <v>7377</v>
      </c>
      <c r="E1123" s="267" t="s">
        <v>7378</v>
      </c>
      <c r="F1123" s="267">
        <v>36949</v>
      </c>
      <c r="G1123" s="266" t="s">
        <v>2765</v>
      </c>
      <c r="H1123" s="266" t="s">
        <v>1110</v>
      </c>
      <c r="I1123" s="266" t="s">
        <v>6455</v>
      </c>
      <c r="J1123" s="266" t="s">
        <v>1095</v>
      </c>
      <c r="K1123" s="406" t="s">
        <v>7379</v>
      </c>
    </row>
    <row r="1124" spans="1:11" x14ac:dyDescent="0.25">
      <c r="A1124" s="270" t="s">
        <v>2766</v>
      </c>
      <c r="B1124" s="266"/>
      <c r="C1124" s="266" t="s">
        <v>2506</v>
      </c>
      <c r="D1124" s="266" t="s">
        <v>4156</v>
      </c>
      <c r="E1124" s="267" t="s">
        <v>7378</v>
      </c>
      <c r="F1124" s="267">
        <v>36955</v>
      </c>
      <c r="G1124" s="266" t="s">
        <v>2768</v>
      </c>
      <c r="H1124" s="266" t="s">
        <v>2769</v>
      </c>
      <c r="I1124" s="266" t="s">
        <v>6455</v>
      </c>
      <c r="J1124" s="266" t="s">
        <v>985</v>
      </c>
      <c r="K1124" s="406" t="s">
        <v>7380</v>
      </c>
    </row>
    <row r="1125" spans="1:11" x14ac:dyDescent="0.25">
      <c r="A1125" s="270" t="s">
        <v>2770</v>
      </c>
      <c r="B1125" s="266"/>
      <c r="C1125" s="266" t="s">
        <v>309</v>
      </c>
      <c r="D1125" s="266" t="s">
        <v>567</v>
      </c>
      <c r="E1125" s="267" t="s">
        <v>7381</v>
      </c>
      <c r="F1125" s="267">
        <v>36906</v>
      </c>
      <c r="G1125" s="266" t="s">
        <v>2530</v>
      </c>
      <c r="H1125" s="266" t="s">
        <v>266</v>
      </c>
      <c r="I1125" s="266" t="s">
        <v>497</v>
      </c>
      <c r="J1125" s="266" t="s">
        <v>996</v>
      </c>
      <c r="K1125" s="406" t="s">
        <v>7382</v>
      </c>
    </row>
    <row r="1126" spans="1:11" x14ac:dyDescent="0.25">
      <c r="A1126" s="270" t="s">
        <v>2772</v>
      </c>
      <c r="B1126" s="266"/>
      <c r="C1126" s="266" t="s">
        <v>309</v>
      </c>
      <c r="D1126" s="266" t="s">
        <v>569</v>
      </c>
      <c r="E1126" s="267" t="s">
        <v>7381</v>
      </c>
      <c r="F1126" s="267">
        <v>36906</v>
      </c>
      <c r="G1126" s="266" t="s">
        <v>396</v>
      </c>
      <c r="H1126" s="266" t="s">
        <v>266</v>
      </c>
      <c r="I1126" s="266" t="s">
        <v>497</v>
      </c>
      <c r="J1126" s="266" t="s">
        <v>996</v>
      </c>
      <c r="K1126" s="406" t="s">
        <v>7383</v>
      </c>
    </row>
    <row r="1127" spans="1:11" x14ac:dyDescent="0.25">
      <c r="A1127" s="270" t="s">
        <v>2774</v>
      </c>
      <c r="B1127" s="266"/>
      <c r="C1127" s="266" t="s">
        <v>309</v>
      </c>
      <c r="D1127" s="266" t="s">
        <v>580</v>
      </c>
      <c r="E1127" s="267" t="s">
        <v>7381</v>
      </c>
      <c r="F1127" s="267">
        <v>36916</v>
      </c>
      <c r="G1127" s="266" t="s">
        <v>581</v>
      </c>
      <c r="H1127" s="266" t="s">
        <v>266</v>
      </c>
      <c r="I1127" s="266" t="s">
        <v>502</v>
      </c>
      <c r="J1127" s="266" t="s">
        <v>996</v>
      </c>
      <c r="K1127" s="406" t="s">
        <v>7384</v>
      </c>
    </row>
    <row r="1128" spans="1:11" x14ac:dyDescent="0.25">
      <c r="A1128" s="270" t="s">
        <v>2776</v>
      </c>
      <c r="B1128" s="266"/>
      <c r="C1128" s="266" t="s">
        <v>309</v>
      </c>
      <c r="D1128" s="266" t="s">
        <v>570</v>
      </c>
      <c r="E1128" s="267" t="s">
        <v>7381</v>
      </c>
      <c r="F1128" s="267">
        <v>36906</v>
      </c>
      <c r="G1128" s="266" t="s">
        <v>571</v>
      </c>
      <c r="H1128" s="266" t="s">
        <v>266</v>
      </c>
      <c r="I1128" s="266" t="s">
        <v>497</v>
      </c>
      <c r="J1128" s="266" t="s">
        <v>996</v>
      </c>
      <c r="K1128" s="406" t="s">
        <v>7385</v>
      </c>
    </row>
    <row r="1129" spans="1:11" x14ac:dyDescent="0.25">
      <c r="A1129" s="270" t="s">
        <v>2778</v>
      </c>
      <c r="B1129" s="266"/>
      <c r="C1129" s="266" t="s">
        <v>309</v>
      </c>
      <c r="D1129" s="266" t="s">
        <v>582</v>
      </c>
      <c r="E1129" s="267" t="s">
        <v>7381</v>
      </c>
      <c r="F1129" s="267">
        <v>36920</v>
      </c>
      <c r="G1129" s="266" t="s">
        <v>583</v>
      </c>
      <c r="H1129" s="266" t="s">
        <v>266</v>
      </c>
      <c r="I1129" s="266" t="s">
        <v>584</v>
      </c>
      <c r="J1129" s="266" t="s">
        <v>996</v>
      </c>
      <c r="K1129" s="406" t="s">
        <v>7386</v>
      </c>
    </row>
    <row r="1130" spans="1:11" x14ac:dyDescent="0.25">
      <c r="A1130" s="270" t="s">
        <v>2780</v>
      </c>
      <c r="B1130" s="266"/>
      <c r="C1130" s="266" t="s">
        <v>309</v>
      </c>
      <c r="D1130" s="266" t="s">
        <v>572</v>
      </c>
      <c r="E1130" s="267" t="s">
        <v>7381</v>
      </c>
      <c r="F1130" s="267">
        <v>36906</v>
      </c>
      <c r="G1130" s="266" t="s">
        <v>573</v>
      </c>
      <c r="H1130" s="266" t="s">
        <v>266</v>
      </c>
      <c r="I1130" s="266" t="s">
        <v>497</v>
      </c>
      <c r="J1130" s="266" t="s">
        <v>996</v>
      </c>
      <c r="K1130" s="406" t="s">
        <v>7387</v>
      </c>
    </row>
    <row r="1131" spans="1:11" x14ac:dyDescent="0.25">
      <c r="A1131" s="270" t="s">
        <v>2782</v>
      </c>
      <c r="B1131" s="266"/>
      <c r="C1131" s="266" t="s">
        <v>309</v>
      </c>
      <c r="D1131" s="266" t="s">
        <v>574</v>
      </c>
      <c r="E1131" s="267" t="s">
        <v>7381</v>
      </c>
      <c r="F1131" s="267">
        <v>36906</v>
      </c>
      <c r="G1131" s="266" t="s">
        <v>575</v>
      </c>
      <c r="H1131" s="266" t="s">
        <v>266</v>
      </c>
      <c r="I1131" s="266" t="s">
        <v>497</v>
      </c>
      <c r="J1131" s="266" t="s">
        <v>996</v>
      </c>
      <c r="K1131" s="406" t="s">
        <v>7388</v>
      </c>
    </row>
    <row r="1132" spans="1:11" x14ac:dyDescent="0.25">
      <c r="A1132" s="270" t="s">
        <v>2784</v>
      </c>
      <c r="B1132" s="266"/>
      <c r="C1132" s="266" t="s">
        <v>309</v>
      </c>
      <c r="D1132" s="266" t="s">
        <v>576</v>
      </c>
      <c r="E1132" s="267" t="s">
        <v>7381</v>
      </c>
      <c r="F1132" s="267">
        <v>36906</v>
      </c>
      <c r="G1132" s="266" t="s">
        <v>577</v>
      </c>
      <c r="H1132" s="266" t="s">
        <v>266</v>
      </c>
      <c r="I1132" s="266" t="s">
        <v>497</v>
      </c>
      <c r="J1132" s="266" t="s">
        <v>996</v>
      </c>
      <c r="K1132" s="406" t="s">
        <v>7389</v>
      </c>
    </row>
    <row r="1133" spans="1:11" x14ac:dyDescent="0.25">
      <c r="A1133" s="270" t="s">
        <v>2786</v>
      </c>
      <c r="B1133" s="266"/>
      <c r="C1133" s="266" t="s">
        <v>309</v>
      </c>
      <c r="D1133" s="266" t="s">
        <v>578</v>
      </c>
      <c r="E1133" s="267" t="s">
        <v>7381</v>
      </c>
      <c r="F1133" s="267">
        <v>36906</v>
      </c>
      <c r="G1133" s="266" t="s">
        <v>392</v>
      </c>
      <c r="H1133" s="266" t="s">
        <v>266</v>
      </c>
      <c r="I1133" s="266" t="s">
        <v>497</v>
      </c>
      <c r="J1133" s="266" t="s">
        <v>996</v>
      </c>
      <c r="K1133" s="406" t="s">
        <v>7390</v>
      </c>
    </row>
    <row r="1134" spans="1:11" x14ac:dyDescent="0.25">
      <c r="A1134" s="270" t="s">
        <v>2788</v>
      </c>
      <c r="B1134" s="266"/>
      <c r="C1134" s="266" t="s">
        <v>309</v>
      </c>
      <c r="D1134" s="266" t="s">
        <v>579</v>
      </c>
      <c r="E1134" s="267" t="s">
        <v>7381</v>
      </c>
      <c r="F1134" s="267">
        <v>36906</v>
      </c>
      <c r="G1134" s="266" t="s">
        <v>463</v>
      </c>
      <c r="H1134" s="266" t="s">
        <v>266</v>
      </c>
      <c r="I1134" s="266" t="s">
        <v>497</v>
      </c>
      <c r="J1134" s="266" t="s">
        <v>996</v>
      </c>
      <c r="K1134" s="406" t="s">
        <v>7391</v>
      </c>
    </row>
    <row r="1135" spans="1:11" x14ac:dyDescent="0.25">
      <c r="A1135" s="270" t="s">
        <v>2790</v>
      </c>
      <c r="B1135" s="266"/>
      <c r="C1135" s="266" t="s">
        <v>1623</v>
      </c>
      <c r="D1135" s="266" t="s">
        <v>4157</v>
      </c>
      <c r="E1135" s="267" t="s">
        <v>7392</v>
      </c>
      <c r="F1135" s="267">
        <v>36957</v>
      </c>
      <c r="G1135" s="266" t="s">
        <v>2792</v>
      </c>
      <c r="H1135" s="266" t="s">
        <v>944</v>
      </c>
      <c r="I1135" s="266" t="s">
        <v>502</v>
      </c>
      <c r="J1135" s="266" t="s">
        <v>1625</v>
      </c>
      <c r="K1135" s="406" t="s">
        <v>7393</v>
      </c>
    </row>
    <row r="1136" spans="1:11" x14ac:dyDescent="0.25">
      <c r="A1136" s="270" t="s">
        <v>2793</v>
      </c>
      <c r="B1136" s="266"/>
      <c r="C1136" s="266" t="s">
        <v>1623</v>
      </c>
      <c r="D1136" s="266" t="s">
        <v>4158</v>
      </c>
      <c r="E1136" s="267" t="s">
        <v>7394</v>
      </c>
      <c r="F1136" s="267">
        <v>36963</v>
      </c>
      <c r="G1136" s="266" t="s">
        <v>2795</v>
      </c>
      <c r="H1136" s="266" t="s">
        <v>944</v>
      </c>
      <c r="I1136" s="266" t="s">
        <v>7200</v>
      </c>
      <c r="J1136" s="266" t="s">
        <v>1625</v>
      </c>
      <c r="K1136" s="406" t="s">
        <v>7395</v>
      </c>
    </row>
    <row r="1137" spans="1:11" x14ac:dyDescent="0.25">
      <c r="A1137" s="270" t="s">
        <v>2797</v>
      </c>
      <c r="B1137" s="266"/>
      <c r="C1137" s="266" t="s">
        <v>114</v>
      </c>
      <c r="D1137" s="266" t="s">
        <v>7396</v>
      </c>
      <c r="E1137" s="267" t="s">
        <v>7397</v>
      </c>
      <c r="F1137" s="267">
        <v>36924</v>
      </c>
      <c r="G1137" s="266" t="s">
        <v>266</v>
      </c>
      <c r="H1137" s="266" t="s">
        <v>2799</v>
      </c>
      <c r="I1137" s="266" t="s">
        <v>497</v>
      </c>
      <c r="J1137" s="266" t="s">
        <v>996</v>
      </c>
      <c r="K1137" s="406" t="s">
        <v>7398</v>
      </c>
    </row>
    <row r="1138" spans="1:11" x14ac:dyDescent="0.25">
      <c r="A1138" s="270" t="s">
        <v>2800</v>
      </c>
      <c r="B1138" s="266"/>
      <c r="C1138" s="266" t="s">
        <v>114</v>
      </c>
      <c r="D1138" s="266" t="s">
        <v>7399</v>
      </c>
      <c r="E1138" s="267" t="s">
        <v>7397</v>
      </c>
      <c r="F1138" s="267">
        <v>36941</v>
      </c>
      <c r="G1138" s="266" t="s">
        <v>266</v>
      </c>
      <c r="H1138" s="266" t="s">
        <v>2799</v>
      </c>
      <c r="I1138" s="266" t="s">
        <v>497</v>
      </c>
      <c r="J1138" s="266" t="s">
        <v>996</v>
      </c>
      <c r="K1138" s="406" t="s">
        <v>7400</v>
      </c>
    </row>
    <row r="1139" spans="1:11" x14ac:dyDescent="0.25">
      <c r="A1139" s="270" t="s">
        <v>2802</v>
      </c>
      <c r="B1139" s="266"/>
      <c r="C1139" s="266" t="s">
        <v>114</v>
      </c>
      <c r="D1139" s="266" t="s">
        <v>7401</v>
      </c>
      <c r="E1139" s="267" t="s">
        <v>7397</v>
      </c>
      <c r="F1139" s="267">
        <v>36945</v>
      </c>
      <c r="G1139" s="266" t="s">
        <v>266</v>
      </c>
      <c r="H1139" s="266" t="s">
        <v>2799</v>
      </c>
      <c r="I1139" s="266" t="s">
        <v>497</v>
      </c>
      <c r="J1139" s="266" t="s">
        <v>996</v>
      </c>
      <c r="K1139" s="406" t="s">
        <v>7402</v>
      </c>
    </row>
    <row r="1140" spans="1:11" x14ac:dyDescent="0.25">
      <c r="A1140" s="270" t="s">
        <v>2804</v>
      </c>
      <c r="B1140" s="266"/>
      <c r="C1140" s="266" t="s">
        <v>309</v>
      </c>
      <c r="D1140" s="266" t="s">
        <v>585</v>
      </c>
      <c r="E1140" s="267" t="s">
        <v>7397</v>
      </c>
      <c r="F1140" s="267">
        <v>36948</v>
      </c>
      <c r="G1140" s="266" t="s">
        <v>266</v>
      </c>
      <c r="H1140" s="266" t="s">
        <v>2799</v>
      </c>
      <c r="I1140" s="266" t="s">
        <v>587</v>
      </c>
      <c r="J1140" s="266" t="s">
        <v>996</v>
      </c>
      <c r="K1140" s="406" t="s">
        <v>7403</v>
      </c>
    </row>
    <row r="1141" spans="1:11" x14ac:dyDescent="0.25">
      <c r="A1141" s="270" t="s">
        <v>2806</v>
      </c>
      <c r="B1141" s="266"/>
      <c r="C1141" s="266" t="s">
        <v>114</v>
      </c>
      <c r="D1141" s="266" t="s">
        <v>7404</v>
      </c>
      <c r="E1141" s="267" t="s">
        <v>7397</v>
      </c>
      <c r="F1141" s="267">
        <v>36948</v>
      </c>
      <c r="G1141" s="266" t="s">
        <v>266</v>
      </c>
      <c r="H1141" s="266" t="s">
        <v>2799</v>
      </c>
      <c r="I1141" s="266" t="s">
        <v>502</v>
      </c>
      <c r="J1141" s="266" t="s">
        <v>996</v>
      </c>
      <c r="K1141" s="406" t="s">
        <v>7405</v>
      </c>
    </row>
    <row r="1142" spans="1:11" x14ac:dyDescent="0.25">
      <c r="A1142" s="270" t="s">
        <v>2808</v>
      </c>
      <c r="B1142" s="266"/>
      <c r="C1142" s="266" t="s">
        <v>309</v>
      </c>
      <c r="D1142" s="266" t="s">
        <v>588</v>
      </c>
      <c r="E1142" s="267" t="s">
        <v>7406</v>
      </c>
      <c r="F1142" s="267">
        <v>36951</v>
      </c>
      <c r="G1142" s="266" t="s">
        <v>589</v>
      </c>
      <c r="H1142" s="266" t="s">
        <v>266</v>
      </c>
      <c r="I1142" s="266" t="s">
        <v>497</v>
      </c>
      <c r="J1142" s="266" t="s">
        <v>996</v>
      </c>
      <c r="K1142" s="406" t="s">
        <v>7407</v>
      </c>
    </row>
    <row r="1143" spans="1:11" x14ac:dyDescent="0.25">
      <c r="A1143" s="270" t="s">
        <v>2810</v>
      </c>
      <c r="B1143" s="266"/>
      <c r="C1143" s="266" t="s">
        <v>309</v>
      </c>
      <c r="D1143" s="266" t="s">
        <v>590</v>
      </c>
      <c r="E1143" s="267" t="s">
        <v>7406</v>
      </c>
      <c r="F1143" s="267">
        <v>36951</v>
      </c>
      <c r="G1143" s="266" t="s">
        <v>591</v>
      </c>
      <c r="H1143" s="266" t="s">
        <v>266</v>
      </c>
      <c r="I1143" s="266" t="s">
        <v>497</v>
      </c>
      <c r="J1143" s="266" t="s">
        <v>996</v>
      </c>
      <c r="K1143" s="406" t="s">
        <v>7408</v>
      </c>
    </row>
    <row r="1144" spans="1:11" x14ac:dyDescent="0.25">
      <c r="A1144" s="270" t="s">
        <v>2812</v>
      </c>
      <c r="B1144" s="266"/>
      <c r="C1144" s="266" t="s">
        <v>309</v>
      </c>
      <c r="D1144" s="266" t="s">
        <v>592</v>
      </c>
      <c r="E1144" s="267" t="s">
        <v>7406</v>
      </c>
      <c r="F1144" s="267">
        <v>36951</v>
      </c>
      <c r="G1144" s="266" t="s">
        <v>593</v>
      </c>
      <c r="H1144" s="266" t="s">
        <v>266</v>
      </c>
      <c r="I1144" s="266" t="s">
        <v>497</v>
      </c>
      <c r="J1144" s="266" t="s">
        <v>996</v>
      </c>
      <c r="K1144" s="406" t="s">
        <v>7409</v>
      </c>
    </row>
    <row r="1145" spans="1:11" x14ac:dyDescent="0.25">
      <c r="A1145" s="270" t="s">
        <v>2814</v>
      </c>
      <c r="B1145" s="266"/>
      <c r="C1145" s="266" t="s">
        <v>2506</v>
      </c>
      <c r="D1145" s="266" t="s">
        <v>4354</v>
      </c>
      <c r="E1145" s="267" t="s">
        <v>7410</v>
      </c>
      <c r="F1145" s="267">
        <v>37022</v>
      </c>
      <c r="G1145" s="266" t="s">
        <v>2816</v>
      </c>
      <c r="H1145" s="266" t="s">
        <v>2817</v>
      </c>
      <c r="I1145" s="266" t="s">
        <v>7241</v>
      </c>
      <c r="J1145" s="266" t="s">
        <v>985</v>
      </c>
      <c r="K1145" s="406" t="s">
        <v>7411</v>
      </c>
    </row>
    <row r="1146" spans="1:11" x14ac:dyDescent="0.25">
      <c r="A1146" s="270" t="s">
        <v>2819</v>
      </c>
      <c r="B1146" s="266"/>
      <c r="C1146" s="266" t="s">
        <v>2619</v>
      </c>
      <c r="D1146" s="266" t="s">
        <v>4159</v>
      </c>
      <c r="E1146" s="267" t="s">
        <v>7412</v>
      </c>
      <c r="F1146" s="267">
        <v>37014</v>
      </c>
      <c r="G1146" s="266" t="s">
        <v>4190</v>
      </c>
      <c r="H1146" s="266" t="s">
        <v>1110</v>
      </c>
      <c r="I1146" s="266" t="s">
        <v>7200</v>
      </c>
      <c r="J1146" s="266" t="s">
        <v>985</v>
      </c>
      <c r="K1146" s="406" t="s">
        <v>7413</v>
      </c>
    </row>
    <row r="1147" spans="1:11" x14ac:dyDescent="0.25">
      <c r="A1147" s="270" t="s">
        <v>2822</v>
      </c>
      <c r="B1147" s="266"/>
      <c r="C1147" s="266" t="s">
        <v>114</v>
      </c>
      <c r="D1147" s="266" t="s">
        <v>7414</v>
      </c>
      <c r="E1147" s="267" t="s">
        <v>7412</v>
      </c>
      <c r="F1147" s="267">
        <v>37031</v>
      </c>
      <c r="G1147" s="266" t="s">
        <v>266</v>
      </c>
      <c r="H1147" s="266" t="s">
        <v>2799</v>
      </c>
      <c r="I1147" s="266" t="s">
        <v>497</v>
      </c>
      <c r="J1147" s="266" t="s">
        <v>996</v>
      </c>
      <c r="K1147" s="406" t="s">
        <v>7415</v>
      </c>
    </row>
    <row r="1148" spans="1:11" x14ac:dyDescent="0.25">
      <c r="A1148" s="270" t="s">
        <v>2824</v>
      </c>
      <c r="B1148" s="266"/>
      <c r="C1148" s="266" t="s">
        <v>114</v>
      </c>
      <c r="D1148" s="266" t="s">
        <v>7416</v>
      </c>
      <c r="E1148" s="267" t="s">
        <v>7412</v>
      </c>
      <c r="F1148" s="267">
        <v>36990</v>
      </c>
      <c r="G1148" s="266" t="s">
        <v>266</v>
      </c>
      <c r="H1148" s="266" t="s">
        <v>2799</v>
      </c>
      <c r="I1148" s="266" t="s">
        <v>497</v>
      </c>
      <c r="J1148" s="266" t="s">
        <v>996</v>
      </c>
      <c r="K1148" s="406" t="s">
        <v>7417</v>
      </c>
    </row>
    <row r="1149" spans="1:11" x14ac:dyDescent="0.25">
      <c r="A1149" s="270" t="s">
        <v>2826</v>
      </c>
      <c r="B1149" s="266"/>
      <c r="C1149" s="266" t="s">
        <v>2827</v>
      </c>
      <c r="D1149" s="266" t="s">
        <v>4355</v>
      </c>
      <c r="E1149" s="267" t="s">
        <v>7418</v>
      </c>
      <c r="F1149" s="267">
        <v>37034</v>
      </c>
      <c r="G1149" s="266" t="s">
        <v>2816</v>
      </c>
      <c r="H1149" s="266" t="s">
        <v>2829</v>
      </c>
      <c r="I1149" s="266" t="s">
        <v>7241</v>
      </c>
      <c r="J1149" s="266" t="s">
        <v>985</v>
      </c>
      <c r="K1149" s="406" t="s">
        <v>7419</v>
      </c>
    </row>
    <row r="1150" spans="1:11" x14ac:dyDescent="0.25">
      <c r="A1150" s="270" t="s">
        <v>2830</v>
      </c>
      <c r="B1150" s="266"/>
      <c r="C1150" s="266" t="s">
        <v>114</v>
      </c>
      <c r="D1150" s="266" t="s">
        <v>7420</v>
      </c>
      <c r="E1150" s="267" t="s">
        <v>7421</v>
      </c>
      <c r="F1150" s="267">
        <v>37348</v>
      </c>
      <c r="G1150" s="266" t="s">
        <v>496</v>
      </c>
      <c r="H1150" s="266" t="s">
        <v>7422</v>
      </c>
      <c r="I1150" s="266" t="s">
        <v>7423</v>
      </c>
      <c r="J1150" s="266" t="s">
        <v>996</v>
      </c>
      <c r="K1150" s="406" t="s">
        <v>7424</v>
      </c>
    </row>
    <row r="1151" spans="1:11" x14ac:dyDescent="0.25">
      <c r="A1151" s="270" t="s">
        <v>2837</v>
      </c>
      <c r="B1151" s="266">
        <v>13</v>
      </c>
      <c r="C1151" s="266" t="s">
        <v>309</v>
      </c>
      <c r="D1151" s="266" t="s">
        <v>594</v>
      </c>
      <c r="E1151" s="267" t="s">
        <v>7425</v>
      </c>
      <c r="F1151" s="267">
        <v>37347</v>
      </c>
      <c r="G1151" s="266" t="s">
        <v>240</v>
      </c>
      <c r="H1151" s="266" t="s">
        <v>2799</v>
      </c>
      <c r="I1151" s="266" t="s">
        <v>488</v>
      </c>
      <c r="J1151" s="266" t="s">
        <v>996</v>
      </c>
      <c r="K1151" s="406" t="s">
        <v>7426</v>
      </c>
    </row>
    <row r="1152" spans="1:11" x14ac:dyDescent="0.25">
      <c r="A1152" s="270" t="s">
        <v>2839</v>
      </c>
      <c r="B1152" s="266">
        <v>14</v>
      </c>
      <c r="C1152" s="266" t="s">
        <v>309</v>
      </c>
      <c r="D1152" s="266" t="s">
        <v>595</v>
      </c>
      <c r="E1152" s="267" t="s">
        <v>7425</v>
      </c>
      <c r="F1152" s="267">
        <v>37354</v>
      </c>
      <c r="G1152" s="266" t="s">
        <v>7427</v>
      </c>
      <c r="H1152" s="266" t="s">
        <v>2799</v>
      </c>
      <c r="I1152" s="266" t="s">
        <v>505</v>
      </c>
      <c r="J1152" s="266" t="s">
        <v>996</v>
      </c>
      <c r="K1152" s="406" t="s">
        <v>7428</v>
      </c>
    </row>
    <row r="1153" spans="1:11" x14ac:dyDescent="0.25">
      <c r="A1153" s="270" t="s">
        <v>2846</v>
      </c>
      <c r="B1153" s="266"/>
      <c r="C1153" s="266" t="s">
        <v>309</v>
      </c>
      <c r="D1153" s="266" t="s">
        <v>609</v>
      </c>
      <c r="E1153" s="267" t="s">
        <v>7429</v>
      </c>
      <c r="F1153" s="267">
        <v>37384</v>
      </c>
      <c r="G1153" s="266" t="s">
        <v>610</v>
      </c>
      <c r="H1153" s="266" t="s">
        <v>611</v>
      </c>
      <c r="I1153" s="266" t="s">
        <v>502</v>
      </c>
      <c r="J1153" s="266" t="s">
        <v>996</v>
      </c>
      <c r="K1153" s="406" t="s">
        <v>7430</v>
      </c>
    </row>
    <row r="1154" spans="1:11" x14ac:dyDescent="0.25">
      <c r="A1154" s="270" t="s">
        <v>2847</v>
      </c>
      <c r="B1154" s="266"/>
      <c r="C1154" s="266" t="s">
        <v>114</v>
      </c>
      <c r="D1154" s="266" t="s">
        <v>7431</v>
      </c>
      <c r="E1154" s="267" t="s">
        <v>7429</v>
      </c>
      <c r="F1154" s="267">
        <v>37385</v>
      </c>
      <c r="G1154" s="266" t="s">
        <v>611</v>
      </c>
      <c r="H1154" s="266" t="s">
        <v>2849</v>
      </c>
      <c r="I1154" s="266" t="s">
        <v>502</v>
      </c>
      <c r="J1154" s="266" t="s">
        <v>996</v>
      </c>
      <c r="K1154" s="406" t="s">
        <v>7432</v>
      </c>
    </row>
    <row r="1155" spans="1:11" x14ac:dyDescent="0.25">
      <c r="A1155" s="270" t="s">
        <v>2845</v>
      </c>
      <c r="B1155" s="266">
        <v>17</v>
      </c>
      <c r="C1155" s="266" t="s">
        <v>309</v>
      </c>
      <c r="D1155" s="266" t="s">
        <v>603</v>
      </c>
      <c r="E1155" s="267" t="s">
        <v>7429</v>
      </c>
      <c r="F1155" s="267">
        <v>37364</v>
      </c>
      <c r="G1155" s="266" t="s">
        <v>252</v>
      </c>
      <c r="H1155" s="266" t="s">
        <v>2799</v>
      </c>
      <c r="I1155" s="266" t="s">
        <v>488</v>
      </c>
      <c r="J1155" s="266" t="s">
        <v>996</v>
      </c>
      <c r="K1155" s="406" t="s">
        <v>7433</v>
      </c>
    </row>
    <row r="1156" spans="1:11" x14ac:dyDescent="0.25">
      <c r="A1156" s="270" t="s">
        <v>2843</v>
      </c>
      <c r="B1156" s="266">
        <v>16</v>
      </c>
      <c r="C1156" s="266" t="s">
        <v>309</v>
      </c>
      <c r="D1156" s="266" t="s">
        <v>600</v>
      </c>
      <c r="E1156" s="267" t="s">
        <v>7429</v>
      </c>
      <c r="F1156" s="267">
        <v>37361</v>
      </c>
      <c r="G1156" s="266" t="s">
        <v>249</v>
      </c>
      <c r="H1156" s="266" t="s">
        <v>487</v>
      </c>
      <c r="I1156" s="266" t="s">
        <v>488</v>
      </c>
      <c r="J1156" s="266" t="s">
        <v>996</v>
      </c>
      <c r="K1156" s="406" t="s">
        <v>7434</v>
      </c>
    </row>
    <row r="1157" spans="1:11" x14ac:dyDescent="0.25">
      <c r="A1157" s="270" t="s">
        <v>2850</v>
      </c>
      <c r="B1157" s="266"/>
      <c r="C1157" s="266" t="s">
        <v>309</v>
      </c>
      <c r="D1157" s="266" t="s">
        <v>601</v>
      </c>
      <c r="E1157" s="267" t="s">
        <v>7429</v>
      </c>
      <c r="F1157" s="267">
        <v>37361</v>
      </c>
      <c r="G1157" s="266" t="s">
        <v>602</v>
      </c>
      <c r="H1157" s="266" t="s">
        <v>487</v>
      </c>
      <c r="I1157" s="266" t="s">
        <v>488</v>
      </c>
      <c r="J1157" s="266" t="s">
        <v>996</v>
      </c>
      <c r="K1157" s="406" t="s">
        <v>7435</v>
      </c>
    </row>
    <row r="1158" spans="1:11" x14ac:dyDescent="0.25">
      <c r="A1158" s="270" t="s">
        <v>2852</v>
      </c>
      <c r="B1158" s="266"/>
      <c r="C1158" s="266" t="s">
        <v>309</v>
      </c>
      <c r="D1158" s="266" t="s">
        <v>607</v>
      </c>
      <c r="E1158" s="267" t="s">
        <v>7436</v>
      </c>
      <c r="F1158" s="267">
        <v>37381</v>
      </c>
      <c r="G1158" s="266" t="s">
        <v>252</v>
      </c>
      <c r="H1158" s="266" t="s">
        <v>487</v>
      </c>
      <c r="I1158" s="266" t="s">
        <v>488</v>
      </c>
      <c r="J1158" s="266" t="s">
        <v>996</v>
      </c>
      <c r="K1158" s="406" t="s">
        <v>7437</v>
      </c>
    </row>
    <row r="1159" spans="1:11" x14ac:dyDescent="0.25">
      <c r="A1159" s="270" t="s">
        <v>2854</v>
      </c>
      <c r="B1159" s="266"/>
      <c r="C1159" s="266" t="s">
        <v>969</v>
      </c>
      <c r="D1159" s="266" t="s">
        <v>7438</v>
      </c>
      <c r="E1159" s="267" t="s">
        <v>7439</v>
      </c>
      <c r="F1159" s="267">
        <v>37406</v>
      </c>
      <c r="G1159" s="266" t="s">
        <v>944</v>
      </c>
      <c r="H1159" s="266" t="s">
        <v>2856</v>
      </c>
      <c r="I1159" s="266" t="s">
        <v>5812</v>
      </c>
      <c r="J1159" s="266" t="s">
        <v>985</v>
      </c>
      <c r="K1159" s="406" t="s">
        <v>7440</v>
      </c>
    </row>
    <row r="1160" spans="1:11" x14ac:dyDescent="0.25">
      <c r="A1160" s="270" t="s">
        <v>2858</v>
      </c>
      <c r="B1160" s="266"/>
      <c r="C1160" s="266" t="s">
        <v>309</v>
      </c>
      <c r="D1160" s="266" t="s">
        <v>604</v>
      </c>
      <c r="E1160" s="267" t="s">
        <v>7441</v>
      </c>
      <c r="F1160" s="267">
        <v>37364</v>
      </c>
      <c r="G1160" s="266" t="s">
        <v>605</v>
      </c>
      <c r="H1160" s="266" t="s">
        <v>2799</v>
      </c>
      <c r="I1160" s="266" t="s">
        <v>606</v>
      </c>
      <c r="J1160" s="266" t="s">
        <v>996</v>
      </c>
      <c r="K1160" s="406" t="s">
        <v>7442</v>
      </c>
    </row>
    <row r="1161" spans="1:11" x14ac:dyDescent="0.25">
      <c r="A1161" s="270" t="s">
        <v>2861</v>
      </c>
      <c r="B1161" s="266"/>
      <c r="C1161" s="266" t="s">
        <v>309</v>
      </c>
      <c r="D1161" s="266" t="s">
        <v>597</v>
      </c>
      <c r="E1161" s="267" t="s">
        <v>7443</v>
      </c>
      <c r="F1161" s="267">
        <v>37354</v>
      </c>
      <c r="G1161" s="266" t="s">
        <v>247</v>
      </c>
      <c r="H1161" s="266" t="s">
        <v>2799</v>
      </c>
      <c r="I1161" s="266" t="s">
        <v>598</v>
      </c>
      <c r="J1161" s="266" t="s">
        <v>996</v>
      </c>
      <c r="K1161" s="406" t="s">
        <v>7444</v>
      </c>
    </row>
    <row r="1162" spans="1:11" x14ac:dyDescent="0.25">
      <c r="A1162" s="270" t="s">
        <v>2866</v>
      </c>
      <c r="B1162" s="266">
        <v>18</v>
      </c>
      <c r="C1162" s="266" t="s">
        <v>309</v>
      </c>
      <c r="D1162" s="266" t="s">
        <v>608</v>
      </c>
      <c r="E1162" s="267" t="s">
        <v>7445</v>
      </c>
      <c r="F1162" s="267">
        <v>37381</v>
      </c>
      <c r="G1162" s="266" t="s">
        <v>1958</v>
      </c>
      <c r="H1162" s="266" t="s">
        <v>487</v>
      </c>
      <c r="I1162" s="266" t="s">
        <v>488</v>
      </c>
      <c r="J1162" s="266" t="s">
        <v>996</v>
      </c>
      <c r="K1162" s="406" t="s">
        <v>7446</v>
      </c>
    </row>
    <row r="1163" spans="1:11" x14ac:dyDescent="0.25">
      <c r="A1163" s="270" t="s">
        <v>2868</v>
      </c>
      <c r="B1163" s="266"/>
      <c r="C1163" s="266" t="s">
        <v>309</v>
      </c>
      <c r="D1163" s="266" t="s">
        <v>612</v>
      </c>
      <c r="E1163" s="267" t="s">
        <v>7447</v>
      </c>
      <c r="F1163" s="267">
        <v>37426</v>
      </c>
      <c r="G1163" s="266" t="s">
        <v>430</v>
      </c>
      <c r="H1163" s="266" t="s">
        <v>487</v>
      </c>
      <c r="I1163" s="266" t="s">
        <v>488</v>
      </c>
      <c r="J1163" s="266" t="s">
        <v>996</v>
      </c>
      <c r="K1163" s="406" t="s">
        <v>7448</v>
      </c>
    </row>
    <row r="1164" spans="1:11" x14ac:dyDescent="0.25">
      <c r="A1164" s="270" t="s">
        <v>2871</v>
      </c>
      <c r="B1164" s="266">
        <v>20</v>
      </c>
      <c r="C1164" s="266" t="s">
        <v>309</v>
      </c>
      <c r="D1164" s="266" t="s">
        <v>613</v>
      </c>
      <c r="E1164" s="267" t="s">
        <v>7449</v>
      </c>
      <c r="F1164" s="267">
        <v>37426</v>
      </c>
      <c r="G1164" s="266" t="s">
        <v>7450</v>
      </c>
      <c r="H1164" s="266" t="s">
        <v>487</v>
      </c>
      <c r="I1164" s="266" t="s">
        <v>488</v>
      </c>
      <c r="J1164" s="266" t="s">
        <v>996</v>
      </c>
      <c r="K1164" s="406" t="s">
        <v>7451</v>
      </c>
    </row>
    <row r="1165" spans="1:11" x14ac:dyDescent="0.25">
      <c r="A1165" s="270" t="s">
        <v>2873</v>
      </c>
      <c r="B1165" s="266">
        <v>15</v>
      </c>
      <c r="C1165" s="266" t="s">
        <v>309</v>
      </c>
      <c r="D1165" s="266" t="s">
        <v>599</v>
      </c>
      <c r="E1165" s="267" t="s">
        <v>7452</v>
      </c>
      <c r="F1165" s="267">
        <v>37354</v>
      </c>
      <c r="G1165" s="266" t="s">
        <v>247</v>
      </c>
      <c r="H1165" s="266" t="s">
        <v>2799</v>
      </c>
      <c r="I1165" s="266" t="s">
        <v>488</v>
      </c>
      <c r="J1165" s="266" t="s">
        <v>996</v>
      </c>
      <c r="K1165" s="406" t="s">
        <v>7453</v>
      </c>
    </row>
    <row r="1166" spans="1:11" x14ac:dyDescent="0.25">
      <c r="A1166" s="270" t="s">
        <v>2875</v>
      </c>
      <c r="B1166" s="266"/>
      <c r="C1166" s="266" t="s">
        <v>1623</v>
      </c>
      <c r="D1166" s="266" t="s">
        <v>4356</v>
      </c>
      <c r="E1166" s="267" t="s">
        <v>7454</v>
      </c>
      <c r="F1166" s="267">
        <v>37482</v>
      </c>
      <c r="G1166" s="266" t="s">
        <v>2877</v>
      </c>
      <c r="H1166" s="266" t="s">
        <v>944</v>
      </c>
      <c r="I1166" s="266" t="s">
        <v>505</v>
      </c>
      <c r="J1166" s="266" t="s">
        <v>1625</v>
      </c>
      <c r="K1166" s="406" t="s">
        <v>7455</v>
      </c>
    </row>
    <row r="1167" spans="1:11" x14ac:dyDescent="0.25">
      <c r="A1167" s="270" t="s">
        <v>2879</v>
      </c>
      <c r="B1167" s="266">
        <v>21</v>
      </c>
      <c r="C1167" s="266" t="s">
        <v>309</v>
      </c>
      <c r="D1167" s="266" t="s">
        <v>627</v>
      </c>
      <c r="E1167" s="267" t="s">
        <v>7456</v>
      </c>
      <c r="F1167" s="267">
        <v>37496</v>
      </c>
      <c r="G1167" s="266" t="s">
        <v>263</v>
      </c>
      <c r="H1167" s="266" t="s">
        <v>487</v>
      </c>
      <c r="I1167" s="266" t="s">
        <v>488</v>
      </c>
      <c r="J1167" s="266" t="s">
        <v>996</v>
      </c>
      <c r="K1167" s="406" t="s">
        <v>7457</v>
      </c>
    </row>
    <row r="1168" spans="1:11" x14ac:dyDescent="0.25">
      <c r="A1168" s="270" t="s">
        <v>2881</v>
      </c>
      <c r="B1168" s="266"/>
      <c r="C1168" s="266" t="s">
        <v>615</v>
      </c>
      <c r="D1168" s="266" t="s">
        <v>625</v>
      </c>
      <c r="E1168" s="267" t="s">
        <v>7456</v>
      </c>
      <c r="F1168" s="267">
        <v>37490</v>
      </c>
      <c r="G1168" s="266" t="s">
        <v>626</v>
      </c>
      <c r="H1168" s="266" t="s">
        <v>487</v>
      </c>
      <c r="I1168" s="266" t="s">
        <v>488</v>
      </c>
      <c r="J1168" s="266" t="s">
        <v>996</v>
      </c>
      <c r="K1168" s="406" t="s">
        <v>7458</v>
      </c>
    </row>
    <row r="1169" spans="1:11" x14ac:dyDescent="0.25">
      <c r="A1169" s="270" t="s">
        <v>2883</v>
      </c>
      <c r="B1169" s="266"/>
      <c r="C1169" s="266" t="s">
        <v>615</v>
      </c>
      <c r="D1169" s="266" t="s">
        <v>619</v>
      </c>
      <c r="E1169" s="267" t="s">
        <v>7456</v>
      </c>
      <c r="F1169" s="267">
        <v>37459</v>
      </c>
      <c r="G1169" s="266" t="s">
        <v>620</v>
      </c>
      <c r="H1169" s="266" t="s">
        <v>487</v>
      </c>
      <c r="I1169" s="266" t="s">
        <v>488</v>
      </c>
      <c r="J1169" s="266" t="s">
        <v>996</v>
      </c>
      <c r="K1169" s="406" t="s">
        <v>7459</v>
      </c>
    </row>
    <row r="1170" spans="1:11" x14ac:dyDescent="0.25">
      <c r="A1170" s="270" t="s">
        <v>2885</v>
      </c>
      <c r="B1170" s="266"/>
      <c r="C1170" s="266" t="s">
        <v>615</v>
      </c>
      <c r="D1170" s="266" t="s">
        <v>617</v>
      </c>
      <c r="E1170" s="267" t="s">
        <v>7456</v>
      </c>
      <c r="F1170" s="267">
        <v>37455</v>
      </c>
      <c r="G1170" s="266" t="s">
        <v>2887</v>
      </c>
      <c r="H1170" s="266" t="s">
        <v>487</v>
      </c>
      <c r="I1170" s="266" t="s">
        <v>488</v>
      </c>
      <c r="J1170" s="266" t="s">
        <v>996</v>
      </c>
      <c r="K1170" s="406" t="s">
        <v>7460</v>
      </c>
    </row>
    <row r="1171" spans="1:11" x14ac:dyDescent="0.25">
      <c r="A1171" s="270" t="s">
        <v>2888</v>
      </c>
      <c r="B1171" s="266"/>
      <c r="C1171" s="266" t="s">
        <v>615</v>
      </c>
      <c r="D1171" s="266" t="s">
        <v>616</v>
      </c>
      <c r="E1171" s="267" t="s">
        <v>7456</v>
      </c>
      <c r="F1171" s="267">
        <v>37453</v>
      </c>
      <c r="G1171" s="266" t="s">
        <v>278</v>
      </c>
      <c r="H1171" s="266" t="s">
        <v>487</v>
      </c>
      <c r="I1171" s="266" t="s">
        <v>488</v>
      </c>
      <c r="J1171" s="266" t="s">
        <v>996</v>
      </c>
      <c r="K1171" s="406" t="s">
        <v>7461</v>
      </c>
    </row>
    <row r="1172" spans="1:11" x14ac:dyDescent="0.25">
      <c r="A1172" s="270" t="s">
        <v>2890</v>
      </c>
      <c r="B1172" s="266"/>
      <c r="C1172" s="266" t="s">
        <v>615</v>
      </c>
      <c r="D1172" s="266" t="s">
        <v>621</v>
      </c>
      <c r="E1172" s="267" t="s">
        <v>7456</v>
      </c>
      <c r="F1172" s="267">
        <v>37461</v>
      </c>
      <c r="G1172" s="266" t="s">
        <v>622</v>
      </c>
      <c r="H1172" s="266" t="s">
        <v>487</v>
      </c>
      <c r="I1172" s="266" t="s">
        <v>488</v>
      </c>
      <c r="J1172" s="266" t="s">
        <v>996</v>
      </c>
      <c r="K1172" s="406" t="s">
        <v>7462</v>
      </c>
    </row>
    <row r="1173" spans="1:11" x14ac:dyDescent="0.25">
      <c r="A1173" s="270" t="s">
        <v>2892</v>
      </c>
      <c r="B1173" s="266"/>
      <c r="C1173" s="266" t="s">
        <v>615</v>
      </c>
      <c r="D1173" s="266" t="s">
        <v>623</v>
      </c>
      <c r="E1173" s="267" t="s">
        <v>7456</v>
      </c>
      <c r="F1173" s="267">
        <v>37480</v>
      </c>
      <c r="G1173" s="266" t="s">
        <v>624</v>
      </c>
      <c r="H1173" s="266" t="s">
        <v>487</v>
      </c>
      <c r="I1173" s="266" t="s">
        <v>488</v>
      </c>
      <c r="J1173" s="266" t="s">
        <v>996</v>
      </c>
      <c r="K1173" s="406" t="s">
        <v>7463</v>
      </c>
    </row>
    <row r="1174" spans="1:11" x14ac:dyDescent="0.25">
      <c r="A1174" s="270" t="s">
        <v>2894</v>
      </c>
      <c r="B1174" s="266"/>
      <c r="C1174" s="266" t="s">
        <v>1623</v>
      </c>
      <c r="D1174" s="266" t="s">
        <v>4237</v>
      </c>
      <c r="E1174" s="267" t="s">
        <v>7464</v>
      </c>
      <c r="F1174" s="267">
        <v>37536</v>
      </c>
      <c r="G1174" s="266" t="s">
        <v>2896</v>
      </c>
      <c r="H1174" s="266" t="s">
        <v>2897</v>
      </c>
      <c r="I1174" s="266" t="s">
        <v>7219</v>
      </c>
      <c r="J1174" s="266" t="s">
        <v>1625</v>
      </c>
      <c r="K1174" s="406" t="s">
        <v>7465</v>
      </c>
    </row>
    <row r="1175" spans="1:11" x14ac:dyDescent="0.25">
      <c r="A1175" s="270" t="s">
        <v>2898</v>
      </c>
      <c r="B1175" s="266"/>
      <c r="C1175" s="266" t="s">
        <v>1623</v>
      </c>
      <c r="D1175" s="266" t="s">
        <v>4160</v>
      </c>
      <c r="E1175" s="267" t="s">
        <v>7466</v>
      </c>
      <c r="F1175" s="267">
        <v>37586</v>
      </c>
      <c r="G1175" s="266" t="s">
        <v>610</v>
      </c>
      <c r="H1175" s="266" t="s">
        <v>2900</v>
      </c>
      <c r="I1175" s="266" t="s">
        <v>7200</v>
      </c>
      <c r="J1175" s="266" t="s">
        <v>1625</v>
      </c>
      <c r="K1175" s="406" t="s">
        <v>7467</v>
      </c>
    </row>
    <row r="1176" spans="1:11" x14ac:dyDescent="0.25">
      <c r="A1176" s="270" t="s">
        <v>2901</v>
      </c>
      <c r="B1176" s="266"/>
      <c r="C1176" s="266" t="s">
        <v>2902</v>
      </c>
      <c r="D1176" s="266" t="s">
        <v>7468</v>
      </c>
      <c r="E1176" s="267" t="s">
        <v>7469</v>
      </c>
      <c r="F1176" s="267">
        <v>37347</v>
      </c>
      <c r="G1176" s="266" t="s">
        <v>944</v>
      </c>
      <c r="H1176" s="266" t="s">
        <v>2904</v>
      </c>
      <c r="I1176" s="266" t="s">
        <v>6193</v>
      </c>
      <c r="J1176" s="266" t="s">
        <v>996</v>
      </c>
      <c r="K1176" s="406" t="s">
        <v>7470</v>
      </c>
    </row>
    <row r="1177" spans="1:11" x14ac:dyDescent="0.25">
      <c r="A1177" s="270" t="s">
        <v>2905</v>
      </c>
      <c r="B1177" s="266"/>
      <c r="C1177" s="266" t="s">
        <v>114</v>
      </c>
      <c r="D1177" s="266" t="s">
        <v>7471</v>
      </c>
      <c r="E1177" s="267" t="s">
        <v>7472</v>
      </c>
      <c r="F1177" s="267">
        <v>37710</v>
      </c>
      <c r="G1177" s="266" t="s">
        <v>2907</v>
      </c>
      <c r="H1177" s="266" t="s">
        <v>2908</v>
      </c>
      <c r="I1177" s="266" t="s">
        <v>7200</v>
      </c>
      <c r="J1177" s="266" t="s">
        <v>996</v>
      </c>
      <c r="K1177" s="406" t="s">
        <v>7473</v>
      </c>
    </row>
    <row r="1178" spans="1:11" x14ac:dyDescent="0.25">
      <c r="A1178" s="270" t="s">
        <v>2909</v>
      </c>
      <c r="B1178" s="266"/>
      <c r="C1178" s="266" t="s">
        <v>114</v>
      </c>
      <c r="D1178" s="266" t="s">
        <v>7474</v>
      </c>
      <c r="E1178" s="267" t="s">
        <v>7472</v>
      </c>
      <c r="F1178" s="267">
        <v>37711</v>
      </c>
      <c r="G1178" s="266" t="s">
        <v>2908</v>
      </c>
      <c r="H1178" s="266" t="s">
        <v>2911</v>
      </c>
      <c r="I1178" s="266" t="s">
        <v>7200</v>
      </c>
      <c r="J1178" s="266" t="s">
        <v>996</v>
      </c>
      <c r="K1178" s="406" t="s">
        <v>7475</v>
      </c>
    </row>
    <row r="1179" spans="1:11" x14ac:dyDescent="0.25">
      <c r="A1179" s="270" t="s">
        <v>2912</v>
      </c>
      <c r="B1179" s="266"/>
      <c r="C1179" s="266" t="s">
        <v>2913</v>
      </c>
      <c r="D1179" s="266" t="s">
        <v>7476</v>
      </c>
      <c r="E1179" s="267" t="s">
        <v>7477</v>
      </c>
      <c r="F1179" s="267">
        <v>37729</v>
      </c>
      <c r="G1179" s="266" t="s">
        <v>2915</v>
      </c>
      <c r="H1179" s="266" t="s">
        <v>1110</v>
      </c>
      <c r="I1179" s="266" t="s">
        <v>7478</v>
      </c>
      <c r="J1179" s="266" t="s">
        <v>1095</v>
      </c>
      <c r="K1179" s="406" t="s">
        <v>7479</v>
      </c>
    </row>
    <row r="1180" spans="1:11" x14ac:dyDescent="0.25">
      <c r="A1180" s="270" t="s">
        <v>2918</v>
      </c>
      <c r="B1180" s="266"/>
      <c r="C1180" s="266" t="s">
        <v>2506</v>
      </c>
      <c r="D1180" s="266" t="s">
        <v>4238</v>
      </c>
      <c r="E1180" s="267" t="s">
        <v>7480</v>
      </c>
      <c r="F1180" s="267">
        <v>37761</v>
      </c>
      <c r="G1180" s="266" t="s">
        <v>654</v>
      </c>
      <c r="H1180" s="266" t="s">
        <v>2920</v>
      </c>
      <c r="I1180" s="266" t="s">
        <v>7219</v>
      </c>
      <c r="J1180" s="266" t="s">
        <v>985</v>
      </c>
      <c r="K1180" s="406" t="s">
        <v>7481</v>
      </c>
    </row>
    <row r="1181" spans="1:11" x14ac:dyDescent="0.25">
      <c r="A1181" s="270" t="s">
        <v>2921</v>
      </c>
      <c r="B1181" s="266"/>
      <c r="C1181" s="266" t="s">
        <v>2430</v>
      </c>
      <c r="D1181" s="266" t="s">
        <v>4357</v>
      </c>
      <c r="E1181" s="267" t="s">
        <v>7482</v>
      </c>
      <c r="F1181" s="267">
        <v>37866</v>
      </c>
      <c r="G1181" s="266" t="s">
        <v>2829</v>
      </c>
      <c r="H1181" s="266" t="s">
        <v>2923</v>
      </c>
      <c r="I1181" s="266" t="s">
        <v>7241</v>
      </c>
      <c r="J1181" s="266" t="s">
        <v>985</v>
      </c>
      <c r="K1181" s="406" t="s">
        <v>7483</v>
      </c>
    </row>
    <row r="1182" spans="1:11" x14ac:dyDescent="0.25">
      <c r="A1182" s="270" t="s">
        <v>2924</v>
      </c>
      <c r="B1182" s="266"/>
      <c r="C1182" s="266" t="s">
        <v>2430</v>
      </c>
      <c r="D1182" s="266" t="s">
        <v>4161</v>
      </c>
      <c r="E1182" s="267" t="s">
        <v>7484</v>
      </c>
      <c r="F1182" s="267">
        <v>37848</v>
      </c>
      <c r="G1182" s="266" t="s">
        <v>2272</v>
      </c>
      <c r="H1182" s="266" t="s">
        <v>2926</v>
      </c>
      <c r="I1182" s="266" t="s">
        <v>7200</v>
      </c>
      <c r="J1182" s="266" t="s">
        <v>985</v>
      </c>
      <c r="K1182" s="406" t="s">
        <v>7485</v>
      </c>
    </row>
    <row r="1183" spans="1:11" x14ac:dyDescent="0.25">
      <c r="A1183" s="270" t="s">
        <v>2927</v>
      </c>
      <c r="B1183" s="266"/>
      <c r="C1183" s="266" t="s">
        <v>1274</v>
      </c>
      <c r="D1183" s="266" t="s">
        <v>4327</v>
      </c>
      <c r="E1183" s="267" t="s">
        <v>7486</v>
      </c>
      <c r="F1183" s="267">
        <v>37802</v>
      </c>
      <c r="G1183" s="266" t="s">
        <v>4330</v>
      </c>
      <c r="H1183" s="266" t="s">
        <v>1110</v>
      </c>
      <c r="I1183" s="266" t="s">
        <v>7487</v>
      </c>
      <c r="J1183" s="266" t="s">
        <v>985</v>
      </c>
      <c r="K1183" s="406" t="s">
        <v>7488</v>
      </c>
    </row>
    <row r="1184" spans="1:11" x14ac:dyDescent="0.25">
      <c r="A1184" s="270" t="s">
        <v>2931</v>
      </c>
      <c r="B1184" s="266"/>
      <c r="C1184" s="266" t="s">
        <v>993</v>
      </c>
      <c r="D1184" s="266" t="s">
        <v>7489</v>
      </c>
      <c r="E1184" s="267" t="s">
        <v>7490</v>
      </c>
      <c r="F1184" s="267">
        <v>37923</v>
      </c>
      <c r="G1184" s="266" t="s">
        <v>2933</v>
      </c>
      <c r="H1184" s="266" t="s">
        <v>533</v>
      </c>
      <c r="I1184" s="266" t="s">
        <v>502</v>
      </c>
      <c r="J1184" s="266" t="s">
        <v>996</v>
      </c>
      <c r="K1184" s="406" t="s">
        <v>7491</v>
      </c>
    </row>
    <row r="1185" spans="1:11" x14ac:dyDescent="0.25">
      <c r="A1185" s="270" t="s">
        <v>2934</v>
      </c>
      <c r="B1185" s="266"/>
      <c r="C1185" s="266" t="s">
        <v>993</v>
      </c>
      <c r="D1185" s="266" t="s">
        <v>7492</v>
      </c>
      <c r="E1185" s="267" t="s">
        <v>7490</v>
      </c>
      <c r="F1185" s="267">
        <v>37931</v>
      </c>
      <c r="G1185" s="266" t="s">
        <v>487</v>
      </c>
      <c r="H1185" s="266" t="s">
        <v>2936</v>
      </c>
      <c r="I1185" s="266" t="s">
        <v>502</v>
      </c>
      <c r="J1185" s="266" t="s">
        <v>996</v>
      </c>
      <c r="K1185" s="406" t="s">
        <v>7493</v>
      </c>
    </row>
    <row r="1186" spans="1:11" x14ac:dyDescent="0.25">
      <c r="A1186" s="270" t="s">
        <v>2937</v>
      </c>
      <c r="B1186" s="266"/>
      <c r="C1186" s="266" t="s">
        <v>993</v>
      </c>
      <c r="D1186" s="266" t="s">
        <v>7494</v>
      </c>
      <c r="E1186" s="267" t="s">
        <v>7490</v>
      </c>
      <c r="F1186" s="267">
        <v>37931</v>
      </c>
      <c r="G1186" s="266" t="s">
        <v>487</v>
      </c>
      <c r="H1186" s="266" t="s">
        <v>2936</v>
      </c>
      <c r="I1186" s="266" t="s">
        <v>502</v>
      </c>
      <c r="J1186" s="266" t="s">
        <v>996</v>
      </c>
      <c r="K1186" s="406" t="s">
        <v>7495</v>
      </c>
    </row>
    <row r="1187" spans="1:11" x14ac:dyDescent="0.25">
      <c r="A1187" s="270" t="s">
        <v>2939</v>
      </c>
      <c r="B1187" s="266"/>
      <c r="C1187" s="266" t="s">
        <v>1274</v>
      </c>
      <c r="D1187" s="266" t="s">
        <v>4162</v>
      </c>
      <c r="E1187" s="267" t="s">
        <v>7496</v>
      </c>
      <c r="F1187" s="267">
        <v>37990</v>
      </c>
      <c r="G1187" s="266" t="s">
        <v>4193</v>
      </c>
      <c r="H1187" s="266" t="s">
        <v>1110</v>
      </c>
      <c r="I1187" s="266" t="s">
        <v>7200</v>
      </c>
      <c r="J1187" s="266" t="s">
        <v>985</v>
      </c>
      <c r="K1187" s="406" t="s">
        <v>7497</v>
      </c>
    </row>
    <row r="1188" spans="1:11" x14ac:dyDescent="0.25">
      <c r="A1188" s="270" t="s">
        <v>2942</v>
      </c>
      <c r="B1188" s="266"/>
      <c r="C1188" s="266" t="s">
        <v>2506</v>
      </c>
      <c r="D1188" s="266" t="s">
        <v>4358</v>
      </c>
      <c r="E1188" s="267" t="s">
        <v>7498</v>
      </c>
      <c r="F1188" s="267">
        <v>37959</v>
      </c>
      <c r="G1188" s="266" t="s">
        <v>2944</v>
      </c>
      <c r="H1188" s="266" t="s">
        <v>2923</v>
      </c>
      <c r="I1188" s="266" t="s">
        <v>7241</v>
      </c>
      <c r="J1188" s="266" t="s">
        <v>985</v>
      </c>
      <c r="K1188" s="406" t="s">
        <v>7499</v>
      </c>
    </row>
    <row r="1189" spans="1:11" x14ac:dyDescent="0.25">
      <c r="A1189" s="270" t="s">
        <v>2945</v>
      </c>
      <c r="B1189" s="266"/>
      <c r="C1189" s="266" t="s">
        <v>309</v>
      </c>
      <c r="D1189" s="266" t="s">
        <v>633</v>
      </c>
      <c r="E1189" s="267" t="s">
        <v>7500</v>
      </c>
      <c r="F1189" s="267">
        <v>38001</v>
      </c>
      <c r="G1189" s="266" t="s">
        <v>392</v>
      </c>
      <c r="H1189" s="266" t="s">
        <v>266</v>
      </c>
      <c r="I1189" s="266" t="s">
        <v>488</v>
      </c>
      <c r="J1189" s="266" t="s">
        <v>996</v>
      </c>
      <c r="K1189" s="406" t="s">
        <v>7501</v>
      </c>
    </row>
    <row r="1190" spans="1:11" x14ac:dyDescent="0.25">
      <c r="A1190" s="270" t="s">
        <v>2947</v>
      </c>
      <c r="B1190" s="266"/>
      <c r="C1190" s="266" t="s">
        <v>309</v>
      </c>
      <c r="D1190" s="266" t="s">
        <v>634</v>
      </c>
      <c r="E1190" s="267" t="s">
        <v>7500</v>
      </c>
      <c r="F1190" s="267">
        <v>38001</v>
      </c>
      <c r="G1190" s="266" t="s">
        <v>577</v>
      </c>
      <c r="H1190" s="266" t="s">
        <v>266</v>
      </c>
      <c r="I1190" s="266" t="s">
        <v>488</v>
      </c>
      <c r="J1190" s="266" t="s">
        <v>996</v>
      </c>
      <c r="K1190" s="406" t="s">
        <v>7502</v>
      </c>
    </row>
    <row r="1191" spans="1:11" x14ac:dyDescent="0.25">
      <c r="A1191" s="270" t="s">
        <v>2949</v>
      </c>
      <c r="B1191" s="266"/>
      <c r="C1191" s="266" t="s">
        <v>309</v>
      </c>
      <c r="D1191" s="266" t="s">
        <v>642</v>
      </c>
      <c r="E1191" s="267" t="s">
        <v>7500</v>
      </c>
      <c r="F1191" s="267">
        <v>38007</v>
      </c>
      <c r="G1191" s="266" t="s">
        <v>446</v>
      </c>
      <c r="H1191" s="266" t="s">
        <v>266</v>
      </c>
      <c r="I1191" s="266" t="s">
        <v>7503</v>
      </c>
      <c r="J1191" s="266" t="s">
        <v>996</v>
      </c>
      <c r="K1191" s="406" t="s">
        <v>7504</v>
      </c>
    </row>
    <row r="1192" spans="1:11" x14ac:dyDescent="0.25">
      <c r="A1192" s="270" t="s">
        <v>2951</v>
      </c>
      <c r="B1192" s="266"/>
      <c r="C1192" s="266" t="s">
        <v>309</v>
      </c>
      <c r="D1192" s="266" t="s">
        <v>635</v>
      </c>
      <c r="E1192" s="267" t="s">
        <v>7500</v>
      </c>
      <c r="F1192" s="267">
        <v>38001</v>
      </c>
      <c r="G1192" s="266" t="s">
        <v>571</v>
      </c>
      <c r="H1192" s="266" t="s">
        <v>266</v>
      </c>
      <c r="I1192" s="266" t="s">
        <v>488</v>
      </c>
      <c r="J1192" s="266" t="s">
        <v>996</v>
      </c>
      <c r="K1192" s="406" t="s">
        <v>7505</v>
      </c>
    </row>
    <row r="1193" spans="1:11" x14ac:dyDescent="0.25">
      <c r="A1193" s="270" t="s">
        <v>2954</v>
      </c>
      <c r="B1193" s="266">
        <v>25</v>
      </c>
      <c r="C1193" s="266" t="s">
        <v>309</v>
      </c>
      <c r="D1193" s="266" t="s">
        <v>648</v>
      </c>
      <c r="E1193" s="267" t="s">
        <v>7506</v>
      </c>
      <c r="F1193" s="267">
        <v>38025</v>
      </c>
      <c r="G1193" s="266" t="s">
        <v>272</v>
      </c>
      <c r="H1193" s="266" t="s">
        <v>266</v>
      </c>
      <c r="I1193" s="266" t="s">
        <v>7241</v>
      </c>
      <c r="J1193" s="266" t="s">
        <v>996</v>
      </c>
      <c r="K1193" s="406" t="s">
        <v>7507</v>
      </c>
    </row>
    <row r="1194" spans="1:11" x14ac:dyDescent="0.25">
      <c r="A1194" s="270" t="s">
        <v>2956</v>
      </c>
      <c r="B1194" s="266"/>
      <c r="C1194" s="266" t="s">
        <v>309</v>
      </c>
      <c r="D1194" s="266" t="s">
        <v>646</v>
      </c>
      <c r="E1194" s="267" t="s">
        <v>7506</v>
      </c>
      <c r="F1194" s="267">
        <v>38019</v>
      </c>
      <c r="G1194" s="266" t="s">
        <v>372</v>
      </c>
      <c r="H1194" s="266" t="s">
        <v>266</v>
      </c>
      <c r="I1194" s="266" t="s">
        <v>502</v>
      </c>
      <c r="J1194" s="266" t="s">
        <v>996</v>
      </c>
      <c r="K1194" s="406" t="s">
        <v>7508</v>
      </c>
    </row>
    <row r="1195" spans="1:11" x14ac:dyDescent="0.25">
      <c r="A1195" s="270" t="s">
        <v>2958</v>
      </c>
      <c r="B1195" s="266"/>
      <c r="C1195" s="266" t="s">
        <v>309</v>
      </c>
      <c r="D1195" s="266" t="s">
        <v>644</v>
      </c>
      <c r="E1195" s="267" t="s">
        <v>7506</v>
      </c>
      <c r="F1195" s="267">
        <v>38012</v>
      </c>
      <c r="G1195" s="266" t="s">
        <v>2960</v>
      </c>
      <c r="H1195" s="266" t="s">
        <v>266</v>
      </c>
      <c r="I1195" s="266" t="s">
        <v>488</v>
      </c>
      <c r="J1195" s="266" t="s">
        <v>996</v>
      </c>
      <c r="K1195" s="406" t="s">
        <v>7509</v>
      </c>
    </row>
    <row r="1196" spans="1:11" x14ac:dyDescent="0.25">
      <c r="A1196" s="270" t="s">
        <v>2961</v>
      </c>
      <c r="B1196" s="266"/>
      <c r="C1196" s="266" t="s">
        <v>7314</v>
      </c>
      <c r="D1196" s="266" t="s">
        <v>7510</v>
      </c>
      <c r="E1196" s="267" t="s">
        <v>7506</v>
      </c>
      <c r="F1196" s="267">
        <v>38014</v>
      </c>
      <c r="G1196" s="266" t="s">
        <v>2963</v>
      </c>
      <c r="H1196" s="266" t="s">
        <v>1110</v>
      </c>
      <c r="I1196" s="266" t="s">
        <v>488</v>
      </c>
      <c r="J1196" s="266" t="s">
        <v>985</v>
      </c>
      <c r="K1196" s="406" t="s">
        <v>7511</v>
      </c>
    </row>
    <row r="1197" spans="1:11" x14ac:dyDescent="0.25">
      <c r="A1197" s="270" t="s">
        <v>2969</v>
      </c>
      <c r="B1197" s="266"/>
      <c r="C1197" s="266" t="s">
        <v>309</v>
      </c>
      <c r="D1197" s="266" t="s">
        <v>636</v>
      </c>
      <c r="E1197" s="267" t="s">
        <v>7512</v>
      </c>
      <c r="F1197" s="267">
        <v>38001</v>
      </c>
      <c r="G1197" s="266" t="s">
        <v>400</v>
      </c>
      <c r="H1197" s="266" t="s">
        <v>266</v>
      </c>
      <c r="I1197" s="266" t="s">
        <v>488</v>
      </c>
      <c r="J1197" s="266" t="s">
        <v>996</v>
      </c>
      <c r="K1197" s="406" t="s">
        <v>7513</v>
      </c>
    </row>
    <row r="1198" spans="1:11" x14ac:dyDescent="0.25">
      <c r="A1198" s="270" t="s">
        <v>2966</v>
      </c>
      <c r="B1198" s="266">
        <v>22</v>
      </c>
      <c r="C1198" s="266" t="s">
        <v>309</v>
      </c>
      <c r="D1198" s="266" t="s">
        <v>628</v>
      </c>
      <c r="E1198" s="267" t="s">
        <v>7512</v>
      </c>
      <c r="F1198" s="267">
        <v>37999</v>
      </c>
      <c r="G1198" s="266" t="s">
        <v>265</v>
      </c>
      <c r="H1198" s="266" t="s">
        <v>266</v>
      </c>
      <c r="I1198" s="266" t="s">
        <v>7514</v>
      </c>
      <c r="J1198" s="266" t="s">
        <v>996</v>
      </c>
      <c r="K1198" s="406" t="s">
        <v>7515</v>
      </c>
    </row>
    <row r="1199" spans="1:11" x14ac:dyDescent="0.25">
      <c r="A1199" s="270" t="s">
        <v>2971</v>
      </c>
      <c r="B1199" s="266"/>
      <c r="C1199" s="266" t="s">
        <v>309</v>
      </c>
      <c r="D1199" s="266" t="s">
        <v>630</v>
      </c>
      <c r="E1199" s="267" t="s">
        <v>7512</v>
      </c>
      <c r="F1199" s="267">
        <v>37999</v>
      </c>
      <c r="G1199" s="266" t="s">
        <v>482</v>
      </c>
      <c r="H1199" s="266" t="s">
        <v>266</v>
      </c>
      <c r="I1199" s="266" t="s">
        <v>7514</v>
      </c>
      <c r="J1199" s="266" t="s">
        <v>996</v>
      </c>
      <c r="K1199" s="406" t="s">
        <v>7516</v>
      </c>
    </row>
    <row r="1200" spans="1:11" x14ac:dyDescent="0.25">
      <c r="A1200" s="270" t="s">
        <v>2973</v>
      </c>
      <c r="B1200" s="266"/>
      <c r="C1200" s="266" t="s">
        <v>309</v>
      </c>
      <c r="D1200" s="266" t="s">
        <v>637</v>
      </c>
      <c r="E1200" s="267" t="s">
        <v>7512</v>
      </c>
      <c r="F1200" s="267">
        <v>38001</v>
      </c>
      <c r="G1200" s="266" t="s">
        <v>396</v>
      </c>
      <c r="H1200" s="266" t="s">
        <v>266</v>
      </c>
      <c r="I1200" s="266" t="s">
        <v>488</v>
      </c>
      <c r="J1200" s="266" t="s">
        <v>996</v>
      </c>
      <c r="K1200" s="406" t="s">
        <v>7517</v>
      </c>
    </row>
    <row r="1201" spans="1:11" x14ac:dyDescent="0.25">
      <c r="A1201" s="270" t="s">
        <v>2975</v>
      </c>
      <c r="B1201" s="266"/>
      <c r="C1201" s="266" t="s">
        <v>309</v>
      </c>
      <c r="D1201" s="266" t="s">
        <v>638</v>
      </c>
      <c r="E1201" s="267" t="s">
        <v>7512</v>
      </c>
      <c r="F1201" s="267">
        <v>38001</v>
      </c>
      <c r="G1201" s="266" t="s">
        <v>639</v>
      </c>
      <c r="H1201" s="266" t="s">
        <v>266</v>
      </c>
      <c r="I1201" s="266" t="s">
        <v>488</v>
      </c>
      <c r="J1201" s="266" t="s">
        <v>996</v>
      </c>
      <c r="K1201" s="406" t="s">
        <v>7518</v>
      </c>
    </row>
    <row r="1202" spans="1:11" x14ac:dyDescent="0.25">
      <c r="A1202" s="270" t="s">
        <v>2977</v>
      </c>
      <c r="B1202" s="266"/>
      <c r="C1202" s="266" t="s">
        <v>309</v>
      </c>
      <c r="D1202" s="266" t="s">
        <v>631</v>
      </c>
      <c r="E1202" s="267" t="s">
        <v>7512</v>
      </c>
      <c r="F1202" s="267">
        <v>37999</v>
      </c>
      <c r="G1202" s="266" t="s">
        <v>480</v>
      </c>
      <c r="H1202" s="266" t="s">
        <v>266</v>
      </c>
      <c r="I1202" s="266" t="s">
        <v>7514</v>
      </c>
      <c r="J1202" s="266" t="s">
        <v>996</v>
      </c>
      <c r="K1202" s="406" t="s">
        <v>7519</v>
      </c>
    </row>
    <row r="1203" spans="1:11" x14ac:dyDescent="0.25">
      <c r="A1203" s="270" t="s">
        <v>2979</v>
      </c>
      <c r="B1203" s="266"/>
      <c r="C1203" s="266" t="s">
        <v>309</v>
      </c>
      <c r="D1203" s="266" t="s">
        <v>632</v>
      </c>
      <c r="E1203" s="267" t="s">
        <v>7512</v>
      </c>
      <c r="F1203" s="267">
        <v>37999</v>
      </c>
      <c r="G1203" s="266" t="s">
        <v>554</v>
      </c>
      <c r="H1203" s="266" t="s">
        <v>266</v>
      </c>
      <c r="I1203" s="266" t="s">
        <v>7514</v>
      </c>
      <c r="J1203" s="266" t="s">
        <v>996</v>
      </c>
      <c r="K1203" s="406" t="s">
        <v>7520</v>
      </c>
    </row>
    <row r="1204" spans="1:11" x14ac:dyDescent="0.25">
      <c r="A1204" s="270" t="s">
        <v>2968</v>
      </c>
      <c r="B1204" s="266">
        <v>23</v>
      </c>
      <c r="C1204" s="266" t="s">
        <v>309</v>
      </c>
      <c r="D1204" s="266" t="s">
        <v>641</v>
      </c>
      <c r="E1204" s="267" t="s">
        <v>7512</v>
      </c>
      <c r="F1204" s="267">
        <v>38007</v>
      </c>
      <c r="G1204" s="266" t="s">
        <v>4275</v>
      </c>
      <c r="H1204" s="266" t="s">
        <v>266</v>
      </c>
      <c r="I1204" s="266" t="s">
        <v>488</v>
      </c>
      <c r="J1204" s="266" t="s">
        <v>996</v>
      </c>
      <c r="K1204" s="406" t="s">
        <v>7521</v>
      </c>
    </row>
    <row r="1205" spans="1:11" x14ac:dyDescent="0.25">
      <c r="A1205" s="270" t="s">
        <v>2981</v>
      </c>
      <c r="B1205" s="266"/>
      <c r="C1205" s="266" t="s">
        <v>309</v>
      </c>
      <c r="D1205" s="266" t="s">
        <v>649</v>
      </c>
      <c r="E1205" s="267" t="s">
        <v>7522</v>
      </c>
      <c r="F1205" s="267">
        <v>38032</v>
      </c>
      <c r="G1205" s="266" t="s">
        <v>531</v>
      </c>
      <c r="H1205" s="266" t="s">
        <v>650</v>
      </c>
      <c r="I1205" s="266" t="s">
        <v>7241</v>
      </c>
      <c r="J1205" s="266" t="s">
        <v>996</v>
      </c>
      <c r="K1205" s="406" t="s">
        <v>7523</v>
      </c>
    </row>
    <row r="1206" spans="1:11" x14ac:dyDescent="0.25">
      <c r="A1206" s="270" t="s">
        <v>2984</v>
      </c>
      <c r="B1206" s="266">
        <v>24</v>
      </c>
      <c r="C1206" s="266" t="s">
        <v>309</v>
      </c>
      <c r="D1206" s="266" t="s">
        <v>647</v>
      </c>
      <c r="E1206" s="267" t="s">
        <v>7524</v>
      </c>
      <c r="F1206" s="267">
        <v>38022</v>
      </c>
      <c r="G1206" s="266" t="s">
        <v>270</v>
      </c>
      <c r="H1206" s="266" t="s">
        <v>266</v>
      </c>
      <c r="I1206" s="266" t="s">
        <v>488</v>
      </c>
      <c r="J1206" s="266" t="s">
        <v>996</v>
      </c>
      <c r="K1206" s="406" t="s">
        <v>7525</v>
      </c>
    </row>
    <row r="1207" spans="1:11" x14ac:dyDescent="0.25">
      <c r="A1207" s="270" t="s">
        <v>2986</v>
      </c>
      <c r="B1207" s="266"/>
      <c r="C1207" s="266" t="s">
        <v>114</v>
      </c>
      <c r="D1207" s="266" t="s">
        <v>7526</v>
      </c>
      <c r="E1207" s="267" t="s">
        <v>7527</v>
      </c>
      <c r="F1207" s="267">
        <v>38022</v>
      </c>
      <c r="G1207" s="266" t="s">
        <v>266</v>
      </c>
      <c r="H1207" s="266" t="s">
        <v>2988</v>
      </c>
      <c r="I1207" s="266" t="s">
        <v>7528</v>
      </c>
      <c r="J1207" s="266" t="s">
        <v>996</v>
      </c>
      <c r="K1207" s="406" t="s">
        <v>7529</v>
      </c>
    </row>
    <row r="1208" spans="1:11" x14ac:dyDescent="0.25">
      <c r="A1208" s="270" t="s">
        <v>2990</v>
      </c>
      <c r="B1208" s="266"/>
      <c r="C1208" s="266" t="s">
        <v>114</v>
      </c>
      <c r="D1208" s="266" t="s">
        <v>7530</v>
      </c>
      <c r="E1208" s="267" t="s">
        <v>7531</v>
      </c>
      <c r="F1208" s="267">
        <v>38041</v>
      </c>
      <c r="G1208" s="266" t="s">
        <v>266</v>
      </c>
      <c r="H1208" s="266" t="s">
        <v>2992</v>
      </c>
      <c r="I1208" s="266" t="s">
        <v>502</v>
      </c>
      <c r="J1208" s="266" t="s">
        <v>996</v>
      </c>
      <c r="K1208" s="406" t="s">
        <v>7532</v>
      </c>
    </row>
    <row r="1209" spans="1:11" x14ac:dyDescent="0.25">
      <c r="A1209" s="270" t="s">
        <v>2993</v>
      </c>
      <c r="B1209" s="266"/>
      <c r="C1209" s="266" t="s">
        <v>1107</v>
      </c>
      <c r="D1209" s="266" t="s">
        <v>7533</v>
      </c>
      <c r="E1209" s="267" t="s">
        <v>7534</v>
      </c>
      <c r="F1209" s="267">
        <v>38078</v>
      </c>
      <c r="G1209" s="266" t="s">
        <v>280</v>
      </c>
      <c r="H1209" s="266" t="s">
        <v>1110</v>
      </c>
      <c r="I1209" s="266" t="s">
        <v>7200</v>
      </c>
      <c r="J1209" s="266" t="s">
        <v>1095</v>
      </c>
      <c r="K1209" s="406" t="s">
        <v>7535</v>
      </c>
    </row>
    <row r="1210" spans="1:11" x14ac:dyDescent="0.25">
      <c r="A1210" s="270" t="s">
        <v>2995</v>
      </c>
      <c r="B1210" s="266"/>
      <c r="C1210" s="266" t="s">
        <v>114</v>
      </c>
      <c r="D1210" s="266" t="s">
        <v>7536</v>
      </c>
      <c r="E1210" s="267" t="s">
        <v>7537</v>
      </c>
      <c r="F1210" s="267">
        <v>38029</v>
      </c>
      <c r="G1210" s="266" t="s">
        <v>266</v>
      </c>
      <c r="H1210" s="266" t="s">
        <v>2997</v>
      </c>
      <c r="I1210" s="266" t="s">
        <v>7538</v>
      </c>
      <c r="J1210" s="266" t="s">
        <v>996</v>
      </c>
      <c r="K1210" s="406" t="s">
        <v>7539</v>
      </c>
    </row>
    <row r="1211" spans="1:11" x14ac:dyDescent="0.25">
      <c r="A1211" s="270" t="s">
        <v>2999</v>
      </c>
      <c r="B1211" s="266"/>
      <c r="C1211" s="266" t="s">
        <v>1107</v>
      </c>
      <c r="D1211" s="266" t="s">
        <v>7540</v>
      </c>
      <c r="E1211" s="267" t="s">
        <v>7541</v>
      </c>
      <c r="F1211" s="267">
        <v>38112</v>
      </c>
      <c r="G1211" s="266" t="s">
        <v>3001</v>
      </c>
      <c r="H1211" s="266" t="s">
        <v>1110</v>
      </c>
      <c r="I1211" s="266" t="s">
        <v>7219</v>
      </c>
      <c r="J1211" s="266" t="s">
        <v>1095</v>
      </c>
      <c r="K1211" s="406" t="s">
        <v>7542</v>
      </c>
    </row>
    <row r="1212" spans="1:11" x14ac:dyDescent="0.25">
      <c r="A1212" s="270" t="s">
        <v>3002</v>
      </c>
      <c r="B1212" s="266"/>
      <c r="C1212" s="266" t="s">
        <v>114</v>
      </c>
      <c r="D1212" s="266" t="s">
        <v>7543</v>
      </c>
      <c r="E1212" s="267" t="s">
        <v>7544</v>
      </c>
      <c r="F1212" s="267">
        <v>38127</v>
      </c>
      <c r="G1212" s="266" t="s">
        <v>2997</v>
      </c>
      <c r="H1212" s="266" t="s">
        <v>266</v>
      </c>
      <c r="I1212" s="266" t="s">
        <v>7332</v>
      </c>
      <c r="J1212" s="266" t="s">
        <v>996</v>
      </c>
      <c r="K1212" s="406" t="s">
        <v>7545</v>
      </c>
    </row>
    <row r="1213" spans="1:11" x14ac:dyDescent="0.25">
      <c r="A1213" s="270" t="s">
        <v>3005</v>
      </c>
      <c r="B1213" s="266"/>
      <c r="C1213" s="266" t="s">
        <v>114</v>
      </c>
      <c r="D1213" s="266" t="s">
        <v>7546</v>
      </c>
      <c r="E1213" s="267" t="s">
        <v>7544</v>
      </c>
      <c r="F1213" s="267">
        <v>38139</v>
      </c>
      <c r="G1213" s="266" t="s">
        <v>266</v>
      </c>
      <c r="H1213" s="266" t="s">
        <v>3007</v>
      </c>
      <c r="I1213" s="266" t="s">
        <v>7332</v>
      </c>
      <c r="J1213" s="266" t="s">
        <v>996</v>
      </c>
      <c r="K1213" s="406" t="s">
        <v>7547</v>
      </c>
    </row>
    <row r="1214" spans="1:11" x14ac:dyDescent="0.25">
      <c r="A1214" s="270" t="s">
        <v>3008</v>
      </c>
      <c r="B1214" s="266"/>
      <c r="C1214" s="266" t="s">
        <v>114</v>
      </c>
      <c r="D1214" s="266" t="s">
        <v>7548</v>
      </c>
      <c r="E1214" s="267" t="s">
        <v>7549</v>
      </c>
      <c r="F1214" s="267">
        <v>38041</v>
      </c>
      <c r="G1214" s="266" t="s">
        <v>266</v>
      </c>
      <c r="H1214" s="266" t="s">
        <v>3010</v>
      </c>
      <c r="I1214" s="266" t="s">
        <v>7550</v>
      </c>
      <c r="J1214" s="266" t="s">
        <v>996</v>
      </c>
      <c r="K1214" s="406" t="s">
        <v>7551</v>
      </c>
    </row>
    <row r="1215" spans="1:11" x14ac:dyDescent="0.25">
      <c r="A1215" s="270" t="s">
        <v>3012</v>
      </c>
      <c r="B1215" s="266"/>
      <c r="C1215" s="266" t="s">
        <v>309</v>
      </c>
      <c r="D1215" s="266" t="s">
        <v>651</v>
      </c>
      <c r="E1215" s="267" t="s">
        <v>7552</v>
      </c>
      <c r="F1215" s="267">
        <v>38251</v>
      </c>
      <c r="G1215" s="266" t="s">
        <v>652</v>
      </c>
      <c r="H1215" s="266" t="s">
        <v>266</v>
      </c>
      <c r="I1215" s="266" t="s">
        <v>488</v>
      </c>
      <c r="J1215" s="266" t="s">
        <v>996</v>
      </c>
      <c r="K1215" s="406" t="s">
        <v>7553</v>
      </c>
    </row>
    <row r="1216" spans="1:11" x14ac:dyDescent="0.25">
      <c r="A1216" s="270" t="s">
        <v>3014</v>
      </c>
      <c r="B1216" s="266"/>
      <c r="C1216" s="266" t="s">
        <v>309</v>
      </c>
      <c r="D1216" s="266" t="s">
        <v>653</v>
      </c>
      <c r="E1216" s="267" t="s">
        <v>7552</v>
      </c>
      <c r="F1216" s="267">
        <v>38251</v>
      </c>
      <c r="G1216" s="266" t="s">
        <v>654</v>
      </c>
      <c r="H1216" s="266" t="s">
        <v>266</v>
      </c>
      <c r="I1216" s="266" t="s">
        <v>488</v>
      </c>
      <c r="J1216" s="266" t="s">
        <v>996</v>
      </c>
      <c r="K1216" s="406" t="s">
        <v>7554</v>
      </c>
    </row>
    <row r="1217" spans="1:11" x14ac:dyDescent="0.25">
      <c r="A1217" s="270" t="s">
        <v>3016</v>
      </c>
      <c r="B1217" s="266"/>
      <c r="C1217" s="266" t="s">
        <v>309</v>
      </c>
      <c r="D1217" s="266" t="s">
        <v>655</v>
      </c>
      <c r="E1217" s="267" t="s">
        <v>7552</v>
      </c>
      <c r="F1217" s="267">
        <v>38251</v>
      </c>
      <c r="G1217" s="266" t="s">
        <v>656</v>
      </c>
      <c r="H1217" s="266" t="s">
        <v>266</v>
      </c>
      <c r="I1217" s="266" t="s">
        <v>657</v>
      </c>
      <c r="J1217" s="266" t="s">
        <v>996</v>
      </c>
      <c r="K1217" s="406" t="s">
        <v>7555</v>
      </c>
    </row>
    <row r="1218" spans="1:11" x14ac:dyDescent="0.25">
      <c r="A1218" s="270" t="s">
        <v>3018</v>
      </c>
      <c r="B1218" s="266"/>
      <c r="C1218" s="266" t="s">
        <v>114</v>
      </c>
      <c r="D1218" s="266" t="s">
        <v>7556</v>
      </c>
      <c r="E1218" s="267" t="s">
        <v>7552</v>
      </c>
      <c r="F1218" s="267">
        <v>38266</v>
      </c>
      <c r="G1218" s="266" t="s">
        <v>266</v>
      </c>
      <c r="H1218" s="266" t="s">
        <v>407</v>
      </c>
      <c r="I1218" s="266" t="s">
        <v>488</v>
      </c>
      <c r="J1218" s="266" t="s">
        <v>996</v>
      </c>
      <c r="K1218" s="406" t="s">
        <v>7557</v>
      </c>
    </row>
    <row r="1219" spans="1:11" x14ac:dyDescent="0.25">
      <c r="A1219" s="270" t="s">
        <v>3020</v>
      </c>
      <c r="B1219" s="266"/>
      <c r="C1219" s="266" t="s">
        <v>1623</v>
      </c>
      <c r="D1219" s="266" t="s">
        <v>4359</v>
      </c>
      <c r="E1219" s="267" t="s">
        <v>7558</v>
      </c>
      <c r="F1219" s="267">
        <v>38260</v>
      </c>
      <c r="G1219" s="266" t="s">
        <v>3022</v>
      </c>
      <c r="H1219" s="266" t="s">
        <v>3023</v>
      </c>
      <c r="I1219" s="266" t="s">
        <v>7241</v>
      </c>
      <c r="J1219" s="266" t="s">
        <v>1625</v>
      </c>
      <c r="K1219" s="406" t="s">
        <v>7559</v>
      </c>
    </row>
    <row r="1220" spans="1:11" x14ac:dyDescent="0.25">
      <c r="A1220" s="270" t="s">
        <v>3024</v>
      </c>
      <c r="B1220" s="266"/>
      <c r="C1220" s="266" t="s">
        <v>1623</v>
      </c>
      <c r="D1220" s="266" t="s">
        <v>4360</v>
      </c>
      <c r="E1220" s="267" t="s">
        <v>7558</v>
      </c>
      <c r="F1220" s="267">
        <v>38267</v>
      </c>
      <c r="G1220" s="266" t="s">
        <v>3022</v>
      </c>
      <c r="H1220" s="266" t="s">
        <v>3023</v>
      </c>
      <c r="I1220" s="266" t="s">
        <v>7241</v>
      </c>
      <c r="J1220" s="266" t="s">
        <v>1625</v>
      </c>
      <c r="K1220" s="406" t="s">
        <v>7560</v>
      </c>
    </row>
    <row r="1221" spans="1:11" x14ac:dyDescent="0.25">
      <c r="A1221" s="270" t="s">
        <v>3026</v>
      </c>
      <c r="B1221" s="266"/>
      <c r="C1221" s="266" t="s">
        <v>1623</v>
      </c>
      <c r="D1221" s="266" t="s">
        <v>4163</v>
      </c>
      <c r="E1221" s="267" t="s">
        <v>7561</v>
      </c>
      <c r="F1221" s="267">
        <v>38275</v>
      </c>
      <c r="G1221" s="266" t="s">
        <v>3028</v>
      </c>
      <c r="H1221" s="266" t="s">
        <v>3029</v>
      </c>
      <c r="I1221" s="266" t="s">
        <v>7200</v>
      </c>
      <c r="J1221" s="266" t="s">
        <v>1625</v>
      </c>
      <c r="K1221" s="406" t="s">
        <v>7562</v>
      </c>
    </row>
    <row r="1222" spans="1:11" x14ac:dyDescent="0.25">
      <c r="A1222" s="270" t="s">
        <v>3030</v>
      </c>
      <c r="B1222" s="266"/>
      <c r="C1222" s="266" t="s">
        <v>1623</v>
      </c>
      <c r="D1222" s="266" t="s">
        <v>4361</v>
      </c>
      <c r="E1222" s="267" t="s">
        <v>7563</v>
      </c>
      <c r="F1222" s="267">
        <v>38292</v>
      </c>
      <c r="G1222" s="266" t="s">
        <v>3032</v>
      </c>
      <c r="H1222" s="266" t="s">
        <v>944</v>
      </c>
      <c r="I1222" s="266" t="s">
        <v>7564</v>
      </c>
      <c r="J1222" s="266" t="s">
        <v>1625</v>
      </c>
      <c r="K1222" s="406" t="s">
        <v>7565</v>
      </c>
    </row>
    <row r="1223" spans="1:11" x14ac:dyDescent="0.25">
      <c r="A1223" s="270" t="s">
        <v>3034</v>
      </c>
      <c r="B1223" s="266"/>
      <c r="C1223" s="266" t="s">
        <v>1623</v>
      </c>
      <c r="D1223" s="266" t="s">
        <v>4164</v>
      </c>
      <c r="E1223" s="267" t="s">
        <v>7566</v>
      </c>
      <c r="F1223" s="267">
        <v>38362</v>
      </c>
      <c r="G1223" s="266" t="s">
        <v>3036</v>
      </c>
      <c r="H1223" s="266" t="s">
        <v>3037</v>
      </c>
      <c r="I1223" s="266" t="s">
        <v>7200</v>
      </c>
      <c r="J1223" s="266" t="s">
        <v>1625</v>
      </c>
      <c r="K1223" s="406" t="s">
        <v>7567</v>
      </c>
    </row>
    <row r="1224" spans="1:11" x14ac:dyDescent="0.25">
      <c r="A1224" s="270" t="s">
        <v>3038</v>
      </c>
      <c r="B1224" s="266"/>
      <c r="C1224" s="266" t="s">
        <v>969</v>
      </c>
      <c r="D1224" s="266" t="s">
        <v>4239</v>
      </c>
      <c r="E1224" s="267" t="s">
        <v>7568</v>
      </c>
      <c r="F1224" s="267">
        <v>38338</v>
      </c>
      <c r="G1224" s="266" t="s">
        <v>3040</v>
      </c>
      <c r="H1224" s="266" t="s">
        <v>3041</v>
      </c>
      <c r="I1224" s="266" t="s">
        <v>7569</v>
      </c>
      <c r="J1224" s="266" t="s">
        <v>985</v>
      </c>
      <c r="K1224" s="406" t="s">
        <v>7570</v>
      </c>
    </row>
    <row r="1225" spans="1:11" x14ac:dyDescent="0.25">
      <c r="A1225" s="270" t="s">
        <v>3043</v>
      </c>
      <c r="B1225" s="266"/>
      <c r="C1225" s="266" t="s">
        <v>309</v>
      </c>
      <c r="D1225" s="266" t="s">
        <v>658</v>
      </c>
      <c r="E1225" s="267" t="s">
        <v>7571</v>
      </c>
      <c r="F1225" s="267">
        <v>38406</v>
      </c>
      <c r="G1225" s="266" t="s">
        <v>490</v>
      </c>
      <c r="H1225" s="266" t="s">
        <v>659</v>
      </c>
      <c r="I1225" s="266" t="s">
        <v>488</v>
      </c>
      <c r="J1225" s="266" t="s">
        <v>996</v>
      </c>
      <c r="K1225" s="406" t="s">
        <v>7572</v>
      </c>
    </row>
    <row r="1226" spans="1:11" x14ac:dyDescent="0.25">
      <c r="A1226" s="270" t="s">
        <v>3045</v>
      </c>
      <c r="B1226" s="266"/>
      <c r="C1226" s="266" t="s">
        <v>309</v>
      </c>
      <c r="D1226" s="266" t="s">
        <v>661</v>
      </c>
      <c r="E1226" s="267" t="s">
        <v>7573</v>
      </c>
      <c r="F1226" s="267">
        <v>38411</v>
      </c>
      <c r="G1226" s="266" t="s">
        <v>499</v>
      </c>
      <c r="H1226" s="266" t="s">
        <v>659</v>
      </c>
      <c r="I1226" s="266" t="s">
        <v>488</v>
      </c>
      <c r="J1226" s="266" t="s">
        <v>996</v>
      </c>
      <c r="K1226" s="406" t="s">
        <v>7574</v>
      </c>
    </row>
    <row r="1227" spans="1:11" x14ac:dyDescent="0.25">
      <c r="A1227" s="270" t="s">
        <v>3047</v>
      </c>
      <c r="B1227" s="266"/>
      <c r="C1227" s="266" t="s">
        <v>309</v>
      </c>
      <c r="D1227" s="266" t="s">
        <v>660</v>
      </c>
      <c r="E1227" s="267" t="s">
        <v>7575</v>
      </c>
      <c r="F1227" s="267">
        <v>38407</v>
      </c>
      <c r="G1227" s="266" t="s">
        <v>495</v>
      </c>
      <c r="H1227" s="266" t="s">
        <v>659</v>
      </c>
      <c r="I1227" s="266" t="s">
        <v>488</v>
      </c>
      <c r="J1227" s="266" t="s">
        <v>996</v>
      </c>
      <c r="K1227" s="406" t="s">
        <v>7576</v>
      </c>
    </row>
    <row r="1228" spans="1:11" x14ac:dyDescent="0.25">
      <c r="A1228" s="270" t="s">
        <v>3049</v>
      </c>
      <c r="B1228" s="266"/>
      <c r="C1228" s="266" t="s">
        <v>309</v>
      </c>
      <c r="D1228" s="266" t="s">
        <v>662</v>
      </c>
      <c r="E1228" s="267" t="s">
        <v>7575</v>
      </c>
      <c r="F1228" s="267">
        <v>38411</v>
      </c>
      <c r="G1228" s="266" t="s">
        <v>527</v>
      </c>
      <c r="H1228" s="266" t="s">
        <v>659</v>
      </c>
      <c r="I1228" s="266" t="s">
        <v>488</v>
      </c>
      <c r="J1228" s="266" t="s">
        <v>996</v>
      </c>
      <c r="K1228" s="406" t="s">
        <v>7577</v>
      </c>
    </row>
    <row r="1229" spans="1:11" x14ac:dyDescent="0.25">
      <c r="A1229" s="270" t="s">
        <v>3051</v>
      </c>
      <c r="B1229" s="266"/>
      <c r="C1229" s="266" t="s">
        <v>1107</v>
      </c>
      <c r="D1229" s="266" t="s">
        <v>7578</v>
      </c>
      <c r="E1229" s="267" t="s">
        <v>7579</v>
      </c>
      <c r="F1229" s="267">
        <v>38427</v>
      </c>
      <c r="G1229" s="266" t="s">
        <v>2227</v>
      </c>
      <c r="H1229" s="266" t="s">
        <v>1110</v>
      </c>
      <c r="I1229" s="266" t="s">
        <v>7213</v>
      </c>
      <c r="J1229" s="266" t="s">
        <v>1095</v>
      </c>
      <c r="K1229" s="406" t="s">
        <v>7580</v>
      </c>
    </row>
    <row r="1230" spans="1:11" x14ac:dyDescent="0.25">
      <c r="A1230" s="270" t="s">
        <v>3053</v>
      </c>
      <c r="B1230" s="266"/>
      <c r="C1230" s="266" t="s">
        <v>1623</v>
      </c>
      <c r="D1230" s="266" t="s">
        <v>4240</v>
      </c>
      <c r="E1230" s="267" t="s">
        <v>7581</v>
      </c>
      <c r="F1230" s="267">
        <v>38446</v>
      </c>
      <c r="G1230" s="266" t="s">
        <v>3055</v>
      </c>
      <c r="H1230" s="266" t="s">
        <v>3056</v>
      </c>
      <c r="I1230" s="266" t="s">
        <v>7219</v>
      </c>
      <c r="J1230" s="266" t="s">
        <v>1625</v>
      </c>
      <c r="K1230" s="406" t="s">
        <v>7582</v>
      </c>
    </row>
    <row r="1231" spans="1:11" x14ac:dyDescent="0.25">
      <c r="A1231" s="270" t="s">
        <v>3057</v>
      </c>
      <c r="B1231" s="266"/>
      <c r="C1231" s="266" t="s">
        <v>2619</v>
      </c>
      <c r="D1231" s="266" t="s">
        <v>4362</v>
      </c>
      <c r="E1231" s="267" t="s">
        <v>7583</v>
      </c>
      <c r="F1231" s="267">
        <v>38455</v>
      </c>
      <c r="G1231" s="266" t="s">
        <v>4396</v>
      </c>
      <c r="H1231" s="266" t="s">
        <v>1110</v>
      </c>
      <c r="I1231" s="266" t="s">
        <v>7584</v>
      </c>
      <c r="J1231" s="266" t="s">
        <v>985</v>
      </c>
      <c r="K1231" s="406" t="s">
        <v>7585</v>
      </c>
    </row>
    <row r="1232" spans="1:11" x14ac:dyDescent="0.25">
      <c r="A1232" s="270" t="s">
        <v>3061</v>
      </c>
      <c r="B1232" s="266"/>
      <c r="C1232" s="266" t="s">
        <v>309</v>
      </c>
      <c r="D1232" s="266" t="s">
        <v>663</v>
      </c>
      <c r="E1232" s="267" t="s">
        <v>7586</v>
      </c>
      <c r="F1232" s="267">
        <v>38419</v>
      </c>
      <c r="G1232" s="266" t="s">
        <v>3063</v>
      </c>
      <c r="H1232" s="266" t="s">
        <v>487</v>
      </c>
      <c r="I1232" s="266" t="s">
        <v>505</v>
      </c>
      <c r="J1232" s="266" t="s">
        <v>996</v>
      </c>
      <c r="K1232" s="406" t="s">
        <v>7587</v>
      </c>
    </row>
    <row r="1233" spans="1:11" x14ac:dyDescent="0.25">
      <c r="A1233" s="270" t="s">
        <v>3064</v>
      </c>
      <c r="B1233" s="266"/>
      <c r="C1233" s="266" t="s">
        <v>309</v>
      </c>
      <c r="D1233" s="266" t="s">
        <v>666</v>
      </c>
      <c r="E1233" s="267" t="s">
        <v>7586</v>
      </c>
      <c r="F1233" s="267">
        <v>38420</v>
      </c>
      <c r="G1233" s="266" t="s">
        <v>515</v>
      </c>
      <c r="H1233" s="266" t="s">
        <v>487</v>
      </c>
      <c r="I1233" s="266" t="s">
        <v>7329</v>
      </c>
      <c r="J1233" s="266" t="s">
        <v>996</v>
      </c>
      <c r="K1233" s="406" t="s">
        <v>7588</v>
      </c>
    </row>
    <row r="1234" spans="1:11" x14ac:dyDescent="0.25">
      <c r="A1234" s="270" t="s">
        <v>3066</v>
      </c>
      <c r="B1234" s="266"/>
      <c r="C1234" s="266" t="s">
        <v>309</v>
      </c>
      <c r="D1234" s="266" t="s">
        <v>665</v>
      </c>
      <c r="E1234" s="267" t="s">
        <v>7586</v>
      </c>
      <c r="F1234" s="267">
        <v>38419</v>
      </c>
      <c r="G1234" s="266" t="s">
        <v>2525</v>
      </c>
      <c r="H1234" s="266" t="s">
        <v>487</v>
      </c>
      <c r="I1234" s="266" t="s">
        <v>505</v>
      </c>
      <c r="J1234" s="266" t="s">
        <v>996</v>
      </c>
      <c r="K1234" s="406" t="s">
        <v>7589</v>
      </c>
    </row>
    <row r="1235" spans="1:11" x14ac:dyDescent="0.25">
      <c r="A1235" s="270" t="s">
        <v>3068</v>
      </c>
      <c r="B1235" s="266"/>
      <c r="C1235" s="266" t="s">
        <v>309</v>
      </c>
      <c r="D1235" s="266" t="s">
        <v>674</v>
      </c>
      <c r="E1235" s="267" t="s">
        <v>7590</v>
      </c>
      <c r="F1235" s="267">
        <v>38447</v>
      </c>
      <c r="G1235" s="266" t="s">
        <v>675</v>
      </c>
      <c r="H1235" s="266" t="s">
        <v>3070</v>
      </c>
      <c r="I1235" s="266" t="s">
        <v>584</v>
      </c>
      <c r="J1235" s="266" t="s">
        <v>996</v>
      </c>
      <c r="K1235" s="406" t="s">
        <v>7591</v>
      </c>
    </row>
    <row r="1236" spans="1:11" x14ac:dyDescent="0.25">
      <c r="A1236" s="270" t="s">
        <v>3071</v>
      </c>
      <c r="B1236" s="266"/>
      <c r="C1236" s="266" t="s">
        <v>309</v>
      </c>
      <c r="D1236" s="266" t="s">
        <v>667</v>
      </c>
      <c r="E1236" s="267" t="s">
        <v>7592</v>
      </c>
      <c r="F1236" s="267">
        <v>38435</v>
      </c>
      <c r="G1236" s="266" t="s">
        <v>3073</v>
      </c>
      <c r="H1236" s="266" t="s">
        <v>659</v>
      </c>
      <c r="I1236" s="266" t="s">
        <v>502</v>
      </c>
      <c r="J1236" s="266" t="s">
        <v>996</v>
      </c>
      <c r="K1236" s="406" t="s">
        <v>7593</v>
      </c>
    </row>
    <row r="1237" spans="1:11" x14ac:dyDescent="0.25">
      <c r="A1237" s="270" t="s">
        <v>3074</v>
      </c>
      <c r="B1237" s="266"/>
      <c r="C1237" s="266" t="s">
        <v>309</v>
      </c>
      <c r="D1237" s="266" t="s">
        <v>677</v>
      </c>
      <c r="E1237" s="267" t="s">
        <v>7594</v>
      </c>
      <c r="F1237" s="267">
        <v>38457</v>
      </c>
      <c r="G1237" s="266" t="s">
        <v>944</v>
      </c>
      <c r="H1237" s="266" t="s">
        <v>3076</v>
      </c>
      <c r="I1237" s="266" t="s">
        <v>505</v>
      </c>
      <c r="J1237" s="266" t="s">
        <v>996</v>
      </c>
      <c r="K1237" s="406" t="s">
        <v>7595</v>
      </c>
    </row>
    <row r="1238" spans="1:11" x14ac:dyDescent="0.25">
      <c r="A1238" s="270" t="s">
        <v>3077</v>
      </c>
      <c r="B1238" s="266"/>
      <c r="C1238" s="266" t="s">
        <v>1623</v>
      </c>
      <c r="D1238" s="266" t="s">
        <v>4241</v>
      </c>
      <c r="E1238" s="267" t="s">
        <v>7596</v>
      </c>
      <c r="F1238" s="267">
        <v>38483</v>
      </c>
      <c r="G1238" s="266" t="s">
        <v>3079</v>
      </c>
      <c r="H1238" s="266" t="s">
        <v>3080</v>
      </c>
      <c r="I1238" s="266" t="s">
        <v>7219</v>
      </c>
      <c r="J1238" s="266" t="s">
        <v>1625</v>
      </c>
      <c r="K1238" s="406" t="s">
        <v>7597</v>
      </c>
    </row>
    <row r="1239" spans="1:11" x14ac:dyDescent="0.25">
      <c r="A1239" s="270" t="s">
        <v>3081</v>
      </c>
      <c r="B1239" s="266"/>
      <c r="C1239" s="266" t="s">
        <v>3082</v>
      </c>
      <c r="D1239" s="266" t="s">
        <v>7598</v>
      </c>
      <c r="E1239" s="267" t="s">
        <v>7599</v>
      </c>
      <c r="F1239" s="267">
        <v>38497</v>
      </c>
      <c r="G1239" s="266" t="s">
        <v>659</v>
      </c>
      <c r="H1239" s="266" t="s">
        <v>3084</v>
      </c>
      <c r="I1239" s="266" t="s">
        <v>7600</v>
      </c>
      <c r="J1239" s="266" t="s">
        <v>996</v>
      </c>
      <c r="K1239" s="406" t="s">
        <v>7601</v>
      </c>
    </row>
    <row r="1240" spans="1:11" x14ac:dyDescent="0.25">
      <c r="A1240" s="270" t="s">
        <v>3087</v>
      </c>
      <c r="B1240" s="266">
        <v>26</v>
      </c>
      <c r="C1240" s="266" t="s">
        <v>309</v>
      </c>
      <c r="D1240" s="266" t="s">
        <v>669</v>
      </c>
      <c r="E1240" s="267" t="s">
        <v>7602</v>
      </c>
      <c r="F1240" s="267">
        <v>38440</v>
      </c>
      <c r="G1240" s="266" t="s">
        <v>274</v>
      </c>
      <c r="H1240" s="266" t="s">
        <v>487</v>
      </c>
      <c r="I1240" s="266" t="s">
        <v>505</v>
      </c>
      <c r="J1240" s="266" t="s">
        <v>996</v>
      </c>
      <c r="K1240" s="406" t="s">
        <v>7603</v>
      </c>
    </row>
    <row r="1241" spans="1:11" x14ac:dyDescent="0.25">
      <c r="A1241" s="270" t="s">
        <v>3089</v>
      </c>
      <c r="B1241" s="266"/>
      <c r="C1241" s="266" t="s">
        <v>615</v>
      </c>
      <c r="D1241" s="266" t="s">
        <v>670</v>
      </c>
      <c r="E1241" s="267" t="s">
        <v>7604</v>
      </c>
      <c r="F1241" s="267">
        <v>38441</v>
      </c>
      <c r="G1241" s="266" t="s">
        <v>671</v>
      </c>
      <c r="H1241" s="266" t="s">
        <v>487</v>
      </c>
      <c r="I1241" s="266" t="s">
        <v>505</v>
      </c>
      <c r="J1241" s="266" t="s">
        <v>996</v>
      </c>
      <c r="K1241" s="406" t="s">
        <v>7605</v>
      </c>
    </row>
    <row r="1242" spans="1:11" x14ac:dyDescent="0.25">
      <c r="A1242" s="270" t="s">
        <v>3091</v>
      </c>
      <c r="B1242" s="266"/>
      <c r="C1242" s="266" t="s">
        <v>615</v>
      </c>
      <c r="D1242" s="266" t="s">
        <v>672</v>
      </c>
      <c r="E1242" s="267" t="s">
        <v>7604</v>
      </c>
      <c r="F1242" s="267">
        <v>38441</v>
      </c>
      <c r="G1242" s="266" t="s">
        <v>673</v>
      </c>
      <c r="H1242" s="266" t="s">
        <v>487</v>
      </c>
      <c r="I1242" s="266" t="s">
        <v>505</v>
      </c>
      <c r="J1242" s="266" t="s">
        <v>996</v>
      </c>
      <c r="K1242" s="406" t="s">
        <v>7606</v>
      </c>
    </row>
    <row r="1243" spans="1:11" x14ac:dyDescent="0.25">
      <c r="A1243" s="270" t="s">
        <v>3094</v>
      </c>
      <c r="B1243" s="266"/>
      <c r="C1243" s="266" t="s">
        <v>1623</v>
      </c>
      <c r="D1243" s="266" t="s">
        <v>4363</v>
      </c>
      <c r="E1243" s="267" t="s">
        <v>7607</v>
      </c>
      <c r="F1243" s="267">
        <v>38516</v>
      </c>
      <c r="G1243" s="266" t="s">
        <v>3096</v>
      </c>
      <c r="H1243" s="266" t="s">
        <v>3097</v>
      </c>
      <c r="I1243" s="266" t="s">
        <v>7550</v>
      </c>
      <c r="J1243" s="266" t="s">
        <v>1625</v>
      </c>
      <c r="K1243" s="406" t="s">
        <v>7608</v>
      </c>
    </row>
    <row r="1244" spans="1:11" x14ac:dyDescent="0.25">
      <c r="A1244" s="270" t="s">
        <v>3099</v>
      </c>
      <c r="B1244" s="266">
        <v>28</v>
      </c>
      <c r="C1244" s="266" t="s">
        <v>309</v>
      </c>
      <c r="D1244" s="266" t="s">
        <v>690</v>
      </c>
      <c r="E1244" s="267" t="s">
        <v>7609</v>
      </c>
      <c r="F1244" s="267">
        <v>38482</v>
      </c>
      <c r="G1244" s="266" t="s">
        <v>278</v>
      </c>
      <c r="H1244" s="266" t="s">
        <v>487</v>
      </c>
      <c r="I1244" s="266" t="s">
        <v>488</v>
      </c>
      <c r="J1244" s="266" t="s">
        <v>996</v>
      </c>
      <c r="K1244" s="406" t="s">
        <v>7610</v>
      </c>
    </row>
    <row r="1245" spans="1:11" x14ac:dyDescent="0.25">
      <c r="A1245" s="270" t="s">
        <v>3101</v>
      </c>
      <c r="B1245" s="266"/>
      <c r="C1245" s="266" t="s">
        <v>1623</v>
      </c>
      <c r="D1245" s="266" t="s">
        <v>4364</v>
      </c>
      <c r="E1245" s="267" t="s">
        <v>7611</v>
      </c>
      <c r="F1245" s="267">
        <v>38473</v>
      </c>
      <c r="G1245" s="266" t="s">
        <v>944</v>
      </c>
      <c r="H1245" s="266" t="s">
        <v>3103</v>
      </c>
      <c r="I1245" s="266" t="s">
        <v>7612</v>
      </c>
      <c r="J1245" s="266" t="s">
        <v>1625</v>
      </c>
      <c r="K1245" s="406" t="s">
        <v>7613</v>
      </c>
    </row>
    <row r="1246" spans="1:11" x14ac:dyDescent="0.25">
      <c r="A1246" s="270" t="s">
        <v>3106</v>
      </c>
      <c r="B1246" s="266">
        <v>27</v>
      </c>
      <c r="C1246" s="266" t="s">
        <v>309</v>
      </c>
      <c r="D1246" s="266" t="s">
        <v>680</v>
      </c>
      <c r="E1246" s="267" t="s">
        <v>7614</v>
      </c>
      <c r="F1246" s="267">
        <v>38468</v>
      </c>
      <c r="G1246" s="266" t="s">
        <v>7615</v>
      </c>
      <c r="H1246" s="266" t="s">
        <v>7616</v>
      </c>
      <c r="I1246" s="266" t="s">
        <v>488</v>
      </c>
      <c r="J1246" s="266" t="s">
        <v>996</v>
      </c>
      <c r="K1246" s="406" t="s">
        <v>7617</v>
      </c>
    </row>
    <row r="1247" spans="1:11" x14ac:dyDescent="0.25">
      <c r="A1247" s="270" t="s">
        <v>3108</v>
      </c>
      <c r="B1247" s="266"/>
      <c r="C1247" s="266" t="s">
        <v>309</v>
      </c>
      <c r="D1247" s="266" t="s">
        <v>683</v>
      </c>
      <c r="E1247" s="267" t="s">
        <v>7614</v>
      </c>
      <c r="F1247" s="267">
        <v>38468</v>
      </c>
      <c r="G1247" s="266" t="s">
        <v>513</v>
      </c>
      <c r="H1247" s="266" t="s">
        <v>3070</v>
      </c>
      <c r="I1247" s="266" t="s">
        <v>488</v>
      </c>
      <c r="J1247" s="266" t="s">
        <v>996</v>
      </c>
      <c r="K1247" s="406" t="s">
        <v>7618</v>
      </c>
    </row>
    <row r="1248" spans="1:11" x14ac:dyDescent="0.25">
      <c r="A1248" s="270" t="s">
        <v>3110</v>
      </c>
      <c r="B1248" s="266"/>
      <c r="C1248" s="266" t="s">
        <v>309</v>
      </c>
      <c r="D1248" s="266" t="s">
        <v>684</v>
      </c>
      <c r="E1248" s="267" t="s">
        <v>7614</v>
      </c>
      <c r="F1248" s="267">
        <v>38468</v>
      </c>
      <c r="G1248" s="266" t="s">
        <v>3112</v>
      </c>
      <c r="H1248" s="266" t="s">
        <v>3070</v>
      </c>
      <c r="I1248" s="266" t="s">
        <v>7213</v>
      </c>
      <c r="J1248" s="266" t="s">
        <v>996</v>
      </c>
      <c r="K1248" s="406" t="s">
        <v>7619</v>
      </c>
    </row>
    <row r="1249" spans="1:11" x14ac:dyDescent="0.25">
      <c r="A1249" s="270" t="s">
        <v>3113</v>
      </c>
      <c r="B1249" s="266"/>
      <c r="C1249" s="266" t="s">
        <v>309</v>
      </c>
      <c r="D1249" s="266" t="s">
        <v>687</v>
      </c>
      <c r="E1249" s="267" t="s">
        <v>7620</v>
      </c>
      <c r="F1249" s="267">
        <v>38468</v>
      </c>
      <c r="G1249" s="266" t="s">
        <v>2586</v>
      </c>
      <c r="H1249" s="266" t="s">
        <v>3115</v>
      </c>
      <c r="I1249" s="266" t="s">
        <v>488</v>
      </c>
      <c r="J1249" s="266" t="s">
        <v>996</v>
      </c>
      <c r="K1249" s="406" t="s">
        <v>7621</v>
      </c>
    </row>
    <row r="1250" spans="1:11" x14ac:dyDescent="0.25">
      <c r="A1250" s="270" t="s">
        <v>3116</v>
      </c>
      <c r="B1250" s="266"/>
      <c r="C1250" s="266" t="s">
        <v>309</v>
      </c>
      <c r="D1250" s="266" t="s">
        <v>691</v>
      </c>
      <c r="E1250" s="267" t="s">
        <v>7622</v>
      </c>
      <c r="F1250" s="267">
        <v>38482</v>
      </c>
      <c r="G1250" s="266" t="s">
        <v>692</v>
      </c>
      <c r="H1250" s="266" t="s">
        <v>487</v>
      </c>
      <c r="I1250" s="266" t="s">
        <v>488</v>
      </c>
      <c r="J1250" s="266" t="s">
        <v>996</v>
      </c>
      <c r="K1250" s="406" t="s">
        <v>7623</v>
      </c>
    </row>
    <row r="1251" spans="1:11" x14ac:dyDescent="0.25">
      <c r="A1251" s="270" t="s">
        <v>3118</v>
      </c>
      <c r="B1251" s="266"/>
      <c r="C1251" s="266" t="s">
        <v>309</v>
      </c>
      <c r="D1251" s="266" t="s">
        <v>693</v>
      </c>
      <c r="E1251" s="267" t="s">
        <v>7622</v>
      </c>
      <c r="F1251" s="267">
        <v>38482</v>
      </c>
      <c r="G1251" s="266" t="s">
        <v>622</v>
      </c>
      <c r="H1251" s="266" t="s">
        <v>487</v>
      </c>
      <c r="I1251" s="266" t="s">
        <v>488</v>
      </c>
      <c r="J1251" s="266" t="s">
        <v>996</v>
      </c>
      <c r="K1251" s="406" t="s">
        <v>7624</v>
      </c>
    </row>
    <row r="1252" spans="1:11" x14ac:dyDescent="0.25">
      <c r="A1252" s="270" t="s">
        <v>3120</v>
      </c>
      <c r="B1252" s="266"/>
      <c r="C1252" s="266" t="s">
        <v>309</v>
      </c>
      <c r="D1252" s="266" t="s">
        <v>694</v>
      </c>
      <c r="E1252" s="267" t="s">
        <v>7622</v>
      </c>
      <c r="F1252" s="267">
        <v>38482</v>
      </c>
      <c r="G1252" s="266" t="s">
        <v>695</v>
      </c>
      <c r="H1252" s="266" t="s">
        <v>487</v>
      </c>
      <c r="I1252" s="266" t="s">
        <v>488</v>
      </c>
      <c r="J1252" s="266" t="s">
        <v>996</v>
      </c>
      <c r="K1252" s="406" t="s">
        <v>7625</v>
      </c>
    </row>
    <row r="1253" spans="1:11" x14ac:dyDescent="0.25">
      <c r="A1253" s="270" t="s">
        <v>3122</v>
      </c>
      <c r="B1253" s="266"/>
      <c r="C1253" s="266" t="s">
        <v>309</v>
      </c>
      <c r="D1253" s="266" t="s">
        <v>696</v>
      </c>
      <c r="E1253" s="267" t="s">
        <v>7622</v>
      </c>
      <c r="F1253" s="267">
        <v>38482</v>
      </c>
      <c r="G1253" s="266" t="s">
        <v>626</v>
      </c>
      <c r="H1253" s="266" t="s">
        <v>487</v>
      </c>
      <c r="I1253" s="266" t="s">
        <v>488</v>
      </c>
      <c r="J1253" s="266" t="s">
        <v>996</v>
      </c>
      <c r="K1253" s="406" t="s">
        <v>7626</v>
      </c>
    </row>
    <row r="1254" spans="1:11" x14ac:dyDescent="0.25">
      <c r="A1254" s="270" t="s">
        <v>3124</v>
      </c>
      <c r="B1254" s="266"/>
      <c r="C1254" s="266" t="s">
        <v>309</v>
      </c>
      <c r="D1254" s="266" t="s">
        <v>697</v>
      </c>
      <c r="E1254" s="267" t="s">
        <v>7627</v>
      </c>
      <c r="F1254" s="267">
        <v>38482</v>
      </c>
      <c r="G1254" s="266" t="s">
        <v>698</v>
      </c>
      <c r="H1254" s="266" t="s">
        <v>487</v>
      </c>
      <c r="I1254" s="266" t="s">
        <v>488</v>
      </c>
      <c r="J1254" s="266" t="s">
        <v>996</v>
      </c>
      <c r="K1254" s="406" t="s">
        <v>7628</v>
      </c>
    </row>
    <row r="1255" spans="1:11" x14ac:dyDescent="0.25">
      <c r="A1255" s="270" t="s">
        <v>3126</v>
      </c>
      <c r="B1255" s="266"/>
      <c r="C1255" s="266" t="s">
        <v>1623</v>
      </c>
      <c r="D1255" s="266" t="s">
        <v>4365</v>
      </c>
      <c r="E1255" s="267" t="s">
        <v>7629</v>
      </c>
      <c r="F1255" s="267">
        <v>38473</v>
      </c>
      <c r="G1255" s="266" t="s">
        <v>944</v>
      </c>
      <c r="H1255" s="266" t="s">
        <v>3128</v>
      </c>
      <c r="I1255" s="266" t="s">
        <v>505</v>
      </c>
      <c r="J1255" s="266" t="s">
        <v>1625</v>
      </c>
      <c r="K1255" s="406" t="s">
        <v>7630</v>
      </c>
    </row>
    <row r="1256" spans="1:11" x14ac:dyDescent="0.25">
      <c r="A1256" s="270" t="s">
        <v>3129</v>
      </c>
      <c r="B1256" s="266"/>
      <c r="C1256" s="266" t="s">
        <v>3082</v>
      </c>
      <c r="D1256" s="266" t="s">
        <v>7631</v>
      </c>
      <c r="E1256" s="267" t="s">
        <v>7632</v>
      </c>
      <c r="F1256" s="267">
        <v>38523</v>
      </c>
      <c r="G1256" s="266" t="s">
        <v>659</v>
      </c>
      <c r="H1256" s="266" t="s">
        <v>3131</v>
      </c>
      <c r="I1256" s="266" t="s">
        <v>7600</v>
      </c>
      <c r="J1256" s="266" t="s">
        <v>996</v>
      </c>
      <c r="K1256" s="406" t="s">
        <v>7633</v>
      </c>
    </row>
    <row r="1257" spans="1:11" x14ac:dyDescent="0.25">
      <c r="A1257" s="270" t="s">
        <v>3132</v>
      </c>
      <c r="B1257" s="266"/>
      <c r="C1257" s="266" t="s">
        <v>114</v>
      </c>
      <c r="D1257" s="266" t="s">
        <v>7634</v>
      </c>
      <c r="E1257" s="267" t="s">
        <v>7635</v>
      </c>
      <c r="F1257" s="267">
        <v>38629</v>
      </c>
      <c r="G1257" s="266" t="s">
        <v>3134</v>
      </c>
      <c r="H1257" s="266" t="s">
        <v>3135</v>
      </c>
      <c r="I1257" s="266" t="s">
        <v>7200</v>
      </c>
      <c r="J1257" s="266" t="s">
        <v>996</v>
      </c>
      <c r="K1257" s="406" t="s">
        <v>7636</v>
      </c>
    </row>
    <row r="1258" spans="1:11" x14ac:dyDescent="0.25">
      <c r="A1258" s="270" t="s">
        <v>3136</v>
      </c>
      <c r="B1258" s="266"/>
      <c r="C1258" s="266" t="s">
        <v>1623</v>
      </c>
      <c r="D1258" s="266" t="s">
        <v>4243</v>
      </c>
      <c r="E1258" s="267" t="s">
        <v>7637</v>
      </c>
      <c r="F1258" s="267">
        <v>38625</v>
      </c>
      <c r="G1258" s="266" t="s">
        <v>278</v>
      </c>
      <c r="H1258" s="266" t="s">
        <v>3138</v>
      </c>
      <c r="I1258" s="266" t="s">
        <v>488</v>
      </c>
      <c r="J1258" s="266" t="s">
        <v>1625</v>
      </c>
      <c r="K1258" s="406" t="s">
        <v>7638</v>
      </c>
    </row>
    <row r="1259" spans="1:11" x14ac:dyDescent="0.25">
      <c r="A1259" s="270" t="s">
        <v>3139</v>
      </c>
      <c r="B1259" s="266"/>
      <c r="C1259" s="266" t="s">
        <v>1623</v>
      </c>
      <c r="D1259" s="266" t="s">
        <v>4242</v>
      </c>
      <c r="E1259" s="267" t="s">
        <v>7637</v>
      </c>
      <c r="F1259" s="267">
        <v>38624</v>
      </c>
      <c r="G1259" s="266" t="s">
        <v>695</v>
      </c>
      <c r="H1259" s="266" t="s">
        <v>3138</v>
      </c>
      <c r="I1259" s="266" t="s">
        <v>488</v>
      </c>
      <c r="J1259" s="266" t="s">
        <v>1625</v>
      </c>
      <c r="K1259" s="406" t="s">
        <v>7639</v>
      </c>
    </row>
    <row r="1260" spans="1:11" x14ac:dyDescent="0.25">
      <c r="A1260" s="270" t="s">
        <v>3141</v>
      </c>
      <c r="B1260" s="266"/>
      <c r="C1260" s="266" t="s">
        <v>1623</v>
      </c>
      <c r="D1260" s="266" t="s">
        <v>4244</v>
      </c>
      <c r="E1260" s="267" t="s">
        <v>7637</v>
      </c>
      <c r="F1260" s="267">
        <v>38626</v>
      </c>
      <c r="G1260" s="266" t="s">
        <v>620</v>
      </c>
      <c r="H1260" s="266" t="s">
        <v>3138</v>
      </c>
      <c r="I1260" s="266" t="s">
        <v>488</v>
      </c>
      <c r="J1260" s="266" t="s">
        <v>1625</v>
      </c>
      <c r="K1260" s="406" t="s">
        <v>7640</v>
      </c>
    </row>
    <row r="1261" spans="1:11" x14ac:dyDescent="0.25">
      <c r="A1261" s="270" t="s">
        <v>3143</v>
      </c>
      <c r="B1261" s="266"/>
      <c r="C1261" s="266" t="s">
        <v>1623</v>
      </c>
      <c r="D1261" s="266" t="s">
        <v>4245</v>
      </c>
      <c r="E1261" s="267" t="s">
        <v>7637</v>
      </c>
      <c r="F1261" s="267">
        <v>38626</v>
      </c>
      <c r="G1261" s="266" t="s">
        <v>620</v>
      </c>
      <c r="H1261" s="266" t="s">
        <v>3138</v>
      </c>
      <c r="I1261" s="266" t="s">
        <v>488</v>
      </c>
      <c r="J1261" s="266" t="s">
        <v>1625</v>
      </c>
      <c r="K1261" s="406" t="s">
        <v>7641</v>
      </c>
    </row>
    <row r="1262" spans="1:11" x14ac:dyDescent="0.25">
      <c r="A1262" s="270" t="s">
        <v>3145</v>
      </c>
      <c r="B1262" s="266"/>
      <c r="C1262" s="266" t="s">
        <v>309</v>
      </c>
      <c r="D1262" s="266" t="s">
        <v>702</v>
      </c>
      <c r="E1262" s="267" t="s">
        <v>7642</v>
      </c>
      <c r="F1262" s="267">
        <v>38632</v>
      </c>
      <c r="G1262" s="266" t="s">
        <v>3147</v>
      </c>
      <c r="H1262" s="266" t="s">
        <v>611</v>
      </c>
      <c r="I1262" s="266" t="s">
        <v>502</v>
      </c>
      <c r="J1262" s="266" t="s">
        <v>996</v>
      </c>
      <c r="K1262" s="406" t="s">
        <v>7643</v>
      </c>
    </row>
    <row r="1263" spans="1:11" x14ac:dyDescent="0.25">
      <c r="A1263" s="270" t="s">
        <v>3148</v>
      </c>
      <c r="B1263" s="266"/>
      <c r="C1263" s="266" t="s">
        <v>1623</v>
      </c>
      <c r="D1263" s="266" t="s">
        <v>4246</v>
      </c>
      <c r="E1263" s="267" t="s">
        <v>7644</v>
      </c>
      <c r="F1263" s="267">
        <v>38608</v>
      </c>
      <c r="G1263" s="266" t="s">
        <v>626</v>
      </c>
      <c r="H1263" s="266" t="s">
        <v>3150</v>
      </c>
      <c r="I1263" s="266" t="s">
        <v>7219</v>
      </c>
      <c r="J1263" s="266" t="s">
        <v>1625</v>
      </c>
      <c r="K1263" s="406" t="s">
        <v>7645</v>
      </c>
    </row>
    <row r="1264" spans="1:11" x14ac:dyDescent="0.25">
      <c r="A1264" s="270" t="s">
        <v>3151</v>
      </c>
      <c r="B1264" s="266"/>
      <c r="C1264" s="266" t="s">
        <v>1623</v>
      </c>
      <c r="D1264" s="266" t="s">
        <v>4247</v>
      </c>
      <c r="E1264" s="267" t="s">
        <v>7644</v>
      </c>
      <c r="F1264" s="267">
        <v>38655</v>
      </c>
      <c r="G1264" s="266" t="s">
        <v>3150</v>
      </c>
      <c r="H1264" s="266" t="s">
        <v>3153</v>
      </c>
      <c r="I1264" s="266" t="s">
        <v>7219</v>
      </c>
      <c r="J1264" s="266" t="s">
        <v>1625</v>
      </c>
      <c r="K1264" s="406" t="s">
        <v>7646</v>
      </c>
    </row>
    <row r="1265" spans="1:11" x14ac:dyDescent="0.25">
      <c r="A1265" s="270" t="s">
        <v>3154</v>
      </c>
      <c r="B1265" s="266"/>
      <c r="C1265" s="266" t="s">
        <v>1623</v>
      </c>
      <c r="D1265" s="266" t="s">
        <v>4165</v>
      </c>
      <c r="E1265" s="267" t="s">
        <v>7644</v>
      </c>
      <c r="F1265" s="267">
        <v>38650</v>
      </c>
      <c r="G1265" s="266" t="s">
        <v>2518</v>
      </c>
      <c r="H1265" s="266" t="s">
        <v>3037</v>
      </c>
      <c r="I1265" s="266" t="s">
        <v>7200</v>
      </c>
      <c r="J1265" s="266" t="s">
        <v>1625</v>
      </c>
      <c r="K1265" s="406" t="s">
        <v>7647</v>
      </c>
    </row>
    <row r="1266" spans="1:11" x14ac:dyDescent="0.25">
      <c r="A1266" s="270" t="s">
        <v>3156</v>
      </c>
      <c r="B1266" s="266"/>
      <c r="C1266" s="266" t="s">
        <v>114</v>
      </c>
      <c r="D1266" s="266" t="s">
        <v>7648</v>
      </c>
      <c r="E1266" s="267" t="s">
        <v>7649</v>
      </c>
      <c r="F1266" s="267">
        <v>38657</v>
      </c>
      <c r="G1266" s="266" t="s">
        <v>3158</v>
      </c>
      <c r="H1266" s="266" t="s">
        <v>3159</v>
      </c>
      <c r="I1266" s="266" t="s">
        <v>7200</v>
      </c>
      <c r="J1266" s="266" t="s">
        <v>996</v>
      </c>
      <c r="K1266" s="406" t="s">
        <v>7650</v>
      </c>
    </row>
    <row r="1267" spans="1:11" x14ac:dyDescent="0.25">
      <c r="A1267" s="270" t="s">
        <v>3160</v>
      </c>
      <c r="B1267" s="266"/>
      <c r="C1267" s="266" t="s">
        <v>1274</v>
      </c>
      <c r="D1267" s="266" t="s">
        <v>4166</v>
      </c>
      <c r="E1267" s="267" t="s">
        <v>7651</v>
      </c>
      <c r="F1267" s="267">
        <v>12655</v>
      </c>
      <c r="G1267" s="266" t="s">
        <v>4196</v>
      </c>
      <c r="H1267" s="266" t="s">
        <v>1110</v>
      </c>
      <c r="I1267" s="266" t="s">
        <v>7652</v>
      </c>
      <c r="J1267" s="266" t="s">
        <v>985</v>
      </c>
      <c r="K1267" s="406" t="s">
        <v>7653</v>
      </c>
    </row>
    <row r="1268" spans="1:11" x14ac:dyDescent="0.25">
      <c r="A1268" s="270" t="s">
        <v>3168</v>
      </c>
      <c r="B1268" s="266">
        <v>30</v>
      </c>
      <c r="C1268" s="266" t="s">
        <v>309</v>
      </c>
      <c r="D1268" s="266" t="s">
        <v>704</v>
      </c>
      <c r="E1268" s="267" t="s">
        <v>7654</v>
      </c>
      <c r="F1268" s="267">
        <v>38636</v>
      </c>
      <c r="G1268" s="266" t="s">
        <v>283</v>
      </c>
      <c r="H1268" s="266" t="s">
        <v>756</v>
      </c>
      <c r="I1268" s="266" t="s">
        <v>505</v>
      </c>
      <c r="J1268" s="266" t="s">
        <v>996</v>
      </c>
      <c r="K1268" s="406" t="s">
        <v>7655</v>
      </c>
    </row>
    <row r="1269" spans="1:11" x14ac:dyDescent="0.25">
      <c r="A1269" s="270" t="s">
        <v>3170</v>
      </c>
      <c r="B1269" s="266">
        <v>31</v>
      </c>
      <c r="C1269" s="266" t="s">
        <v>309</v>
      </c>
      <c r="D1269" s="266" t="s">
        <v>705</v>
      </c>
      <c r="E1269" s="267" t="s">
        <v>7654</v>
      </c>
      <c r="F1269" s="267">
        <v>38636</v>
      </c>
      <c r="G1269" s="266" t="s">
        <v>286</v>
      </c>
      <c r="H1269" s="266" t="s">
        <v>756</v>
      </c>
      <c r="I1269" s="266" t="s">
        <v>7241</v>
      </c>
      <c r="J1269" s="266" t="s">
        <v>996</v>
      </c>
      <c r="K1269" s="406" t="s">
        <v>7656</v>
      </c>
    </row>
    <row r="1270" spans="1:11" x14ac:dyDescent="0.25">
      <c r="A1270" s="270" t="s">
        <v>3172</v>
      </c>
      <c r="B1270" s="266">
        <v>34</v>
      </c>
      <c r="C1270" s="266" t="s">
        <v>309</v>
      </c>
      <c r="D1270" s="266" t="s">
        <v>714</v>
      </c>
      <c r="E1270" s="267" t="s">
        <v>7654</v>
      </c>
      <c r="F1270" s="267">
        <v>38670</v>
      </c>
      <c r="G1270" s="266" t="s">
        <v>292</v>
      </c>
      <c r="H1270" s="266" t="s">
        <v>756</v>
      </c>
      <c r="I1270" s="266" t="s">
        <v>7657</v>
      </c>
      <c r="J1270" s="266" t="s">
        <v>996</v>
      </c>
      <c r="K1270" s="406" t="s">
        <v>7658</v>
      </c>
    </row>
    <row r="1271" spans="1:11" x14ac:dyDescent="0.25">
      <c r="A1271" s="270" t="s">
        <v>3173</v>
      </c>
      <c r="B1271" s="266"/>
      <c r="C1271" s="266" t="s">
        <v>309</v>
      </c>
      <c r="D1271" s="266" t="s">
        <v>709</v>
      </c>
      <c r="E1271" s="267" t="s">
        <v>7654</v>
      </c>
      <c r="F1271" s="267">
        <v>38657</v>
      </c>
      <c r="G1271" s="266" t="s">
        <v>1958</v>
      </c>
      <c r="H1271" s="266" t="s">
        <v>756</v>
      </c>
      <c r="I1271" s="266" t="s">
        <v>497</v>
      </c>
      <c r="J1271" s="266" t="s">
        <v>996</v>
      </c>
      <c r="K1271" s="406" t="s">
        <v>7659</v>
      </c>
    </row>
    <row r="1272" spans="1:11" x14ac:dyDescent="0.25">
      <c r="A1272" s="270" t="s">
        <v>3171</v>
      </c>
      <c r="B1272" s="266">
        <v>32</v>
      </c>
      <c r="C1272" s="266" t="s">
        <v>309</v>
      </c>
      <c r="D1272" s="266" t="s">
        <v>706</v>
      </c>
      <c r="E1272" s="267" t="s">
        <v>7654</v>
      </c>
      <c r="F1272" s="267">
        <v>38637</v>
      </c>
      <c r="G1272" s="266" t="s">
        <v>288</v>
      </c>
      <c r="H1272" s="266" t="s">
        <v>756</v>
      </c>
      <c r="I1272" s="266" t="s">
        <v>497</v>
      </c>
      <c r="J1272" s="266" t="s">
        <v>996</v>
      </c>
      <c r="K1272" s="406" t="s">
        <v>7660</v>
      </c>
    </row>
    <row r="1273" spans="1:11" x14ac:dyDescent="0.25">
      <c r="A1273" s="270" t="s">
        <v>3175</v>
      </c>
      <c r="B1273" s="266"/>
      <c r="C1273" s="266" t="s">
        <v>309</v>
      </c>
      <c r="D1273" s="266" t="s">
        <v>707</v>
      </c>
      <c r="E1273" s="267" t="s">
        <v>7654</v>
      </c>
      <c r="F1273" s="267">
        <v>38653</v>
      </c>
      <c r="G1273" s="266" t="s">
        <v>708</v>
      </c>
      <c r="H1273" s="266" t="s">
        <v>756</v>
      </c>
      <c r="I1273" s="266" t="s">
        <v>497</v>
      </c>
      <c r="J1273" s="266" t="s">
        <v>996</v>
      </c>
      <c r="K1273" s="406" t="s">
        <v>7661</v>
      </c>
    </row>
    <row r="1274" spans="1:11" x14ac:dyDescent="0.25">
      <c r="A1274" s="270" t="s">
        <v>3178</v>
      </c>
      <c r="B1274" s="266">
        <v>29</v>
      </c>
      <c r="C1274" s="266" t="s">
        <v>309</v>
      </c>
      <c r="D1274" s="266" t="s">
        <v>699</v>
      </c>
      <c r="E1274" s="267" t="s">
        <v>7662</v>
      </c>
      <c r="F1274" s="267">
        <v>38621</v>
      </c>
      <c r="G1274" s="266" t="s">
        <v>280</v>
      </c>
      <c r="H1274" s="266" t="s">
        <v>755</v>
      </c>
      <c r="I1274" s="266" t="s">
        <v>502</v>
      </c>
      <c r="J1274" s="266" t="s">
        <v>996</v>
      </c>
      <c r="K1274" s="406" t="s">
        <v>7663</v>
      </c>
    </row>
    <row r="1275" spans="1:11" x14ac:dyDescent="0.25">
      <c r="A1275" s="270" t="s">
        <v>3180</v>
      </c>
      <c r="B1275" s="266"/>
      <c r="C1275" s="266" t="s">
        <v>309</v>
      </c>
      <c r="D1275" s="266" t="s">
        <v>700</v>
      </c>
      <c r="E1275" s="267" t="s">
        <v>7662</v>
      </c>
      <c r="F1275" s="267">
        <v>38621</v>
      </c>
      <c r="G1275" s="266" t="s">
        <v>701</v>
      </c>
      <c r="H1275" s="266" t="s">
        <v>755</v>
      </c>
      <c r="I1275" s="266" t="s">
        <v>488</v>
      </c>
      <c r="J1275" s="266" t="s">
        <v>996</v>
      </c>
      <c r="K1275" s="406" t="s">
        <v>7664</v>
      </c>
    </row>
    <row r="1276" spans="1:11" x14ac:dyDescent="0.25">
      <c r="A1276" s="270" t="s">
        <v>3182</v>
      </c>
      <c r="B1276" s="266"/>
      <c r="C1276" s="266" t="s">
        <v>2913</v>
      </c>
      <c r="D1276" s="266" t="s">
        <v>7665</v>
      </c>
      <c r="E1276" s="267" t="s">
        <v>7666</v>
      </c>
      <c r="F1276" s="267">
        <v>38698</v>
      </c>
      <c r="G1276" s="266" t="s">
        <v>3184</v>
      </c>
      <c r="H1276" s="266" t="s">
        <v>3185</v>
      </c>
      <c r="I1276" s="266" t="s">
        <v>7219</v>
      </c>
      <c r="J1276" s="266" t="s">
        <v>1095</v>
      </c>
      <c r="K1276" s="406" t="s">
        <v>7667</v>
      </c>
    </row>
    <row r="1277" spans="1:11" x14ac:dyDescent="0.25">
      <c r="A1277" s="270" t="s">
        <v>3186</v>
      </c>
      <c r="B1277" s="266"/>
      <c r="C1277" s="266" t="s">
        <v>2913</v>
      </c>
      <c r="D1277" s="266" t="s">
        <v>7668</v>
      </c>
      <c r="E1277" s="267" t="s">
        <v>7666</v>
      </c>
      <c r="F1277" s="267">
        <v>38694</v>
      </c>
      <c r="G1277" s="266" t="s">
        <v>286</v>
      </c>
      <c r="H1277" s="266" t="s">
        <v>1110</v>
      </c>
      <c r="I1277" s="266" t="s">
        <v>7584</v>
      </c>
      <c r="J1277" s="266" t="s">
        <v>1095</v>
      </c>
      <c r="K1277" s="406" t="s">
        <v>7669</v>
      </c>
    </row>
    <row r="1278" spans="1:11" x14ac:dyDescent="0.25">
      <c r="A1278" s="270" t="s">
        <v>3189</v>
      </c>
      <c r="B1278" s="266"/>
      <c r="C1278" s="266" t="s">
        <v>2913</v>
      </c>
      <c r="D1278" s="266" t="s">
        <v>7670</v>
      </c>
      <c r="E1278" s="267" t="s">
        <v>7666</v>
      </c>
      <c r="F1278" s="267">
        <v>38699</v>
      </c>
      <c r="G1278" s="266" t="s">
        <v>3191</v>
      </c>
      <c r="H1278" s="266" t="s">
        <v>1110</v>
      </c>
      <c r="I1278" s="266" t="s">
        <v>502</v>
      </c>
      <c r="J1278" s="266" t="s">
        <v>1095</v>
      </c>
      <c r="K1278" s="406" t="s">
        <v>7671</v>
      </c>
    </row>
    <row r="1279" spans="1:11" x14ac:dyDescent="0.25">
      <c r="A1279" s="270" t="s">
        <v>3193</v>
      </c>
      <c r="B1279" s="266">
        <v>36</v>
      </c>
      <c r="C1279" s="266" t="s">
        <v>309</v>
      </c>
      <c r="D1279" s="266" t="s">
        <v>719</v>
      </c>
      <c r="E1279" s="267" t="s">
        <v>7672</v>
      </c>
      <c r="F1279" s="267">
        <v>38708</v>
      </c>
      <c r="G1279" s="266" t="s">
        <v>240</v>
      </c>
      <c r="H1279" s="266" t="s">
        <v>720</v>
      </c>
      <c r="I1279" s="266" t="s">
        <v>488</v>
      </c>
      <c r="J1279" s="266" t="s">
        <v>996</v>
      </c>
      <c r="K1279" s="406" t="s">
        <v>7673</v>
      </c>
    </row>
    <row r="1280" spans="1:11" x14ac:dyDescent="0.25">
      <c r="A1280" s="270" t="s">
        <v>3196</v>
      </c>
      <c r="B1280" s="266">
        <v>37</v>
      </c>
      <c r="C1280" s="266" t="s">
        <v>309</v>
      </c>
      <c r="D1280" s="266" t="s">
        <v>723</v>
      </c>
      <c r="E1280" s="267" t="s">
        <v>7674</v>
      </c>
      <c r="F1280" s="267">
        <v>38725</v>
      </c>
      <c r="G1280" s="266" t="s">
        <v>298</v>
      </c>
      <c r="H1280" s="266" t="s">
        <v>3241</v>
      </c>
      <c r="I1280" s="266" t="s">
        <v>488</v>
      </c>
      <c r="J1280" s="266" t="s">
        <v>996</v>
      </c>
      <c r="K1280" s="406" t="s">
        <v>7675</v>
      </c>
    </row>
    <row r="1281" spans="1:11" x14ac:dyDescent="0.25">
      <c r="A1281" s="270" t="s">
        <v>3199</v>
      </c>
      <c r="B1281" s="266">
        <v>38</v>
      </c>
      <c r="C1281" s="266" t="s">
        <v>309</v>
      </c>
      <c r="D1281" s="266" t="s">
        <v>724</v>
      </c>
      <c r="E1281" s="267" t="s">
        <v>7676</v>
      </c>
      <c r="F1281" s="267">
        <v>38732</v>
      </c>
      <c r="G1281" s="266" t="s">
        <v>725</v>
      </c>
      <c r="H1281" s="266" t="s">
        <v>3241</v>
      </c>
      <c r="I1281" s="266" t="s">
        <v>488</v>
      </c>
      <c r="J1281" s="266" t="s">
        <v>996</v>
      </c>
      <c r="K1281" s="406" t="s">
        <v>7677</v>
      </c>
    </row>
    <row r="1282" spans="1:11" x14ac:dyDescent="0.25">
      <c r="A1282" s="270" t="s">
        <v>3201</v>
      </c>
      <c r="B1282" s="266"/>
      <c r="C1282" s="266" t="s">
        <v>114</v>
      </c>
      <c r="D1282" s="266" t="s">
        <v>7678</v>
      </c>
      <c r="E1282" s="267" t="s">
        <v>7679</v>
      </c>
      <c r="F1282" s="267">
        <v>38723</v>
      </c>
      <c r="G1282" s="266" t="s">
        <v>650</v>
      </c>
      <c r="H1282" s="266" t="s">
        <v>3007</v>
      </c>
      <c r="I1282" s="266" t="s">
        <v>7241</v>
      </c>
      <c r="J1282" s="266" t="s">
        <v>996</v>
      </c>
      <c r="K1282" s="406" t="s">
        <v>7680</v>
      </c>
    </row>
    <row r="1283" spans="1:11" x14ac:dyDescent="0.25">
      <c r="A1283" s="270" t="s">
        <v>3204</v>
      </c>
      <c r="B1283" s="266"/>
      <c r="C1283" s="266" t="s">
        <v>114</v>
      </c>
      <c r="D1283" s="266" t="s">
        <v>7681</v>
      </c>
      <c r="E1283" s="267" t="s">
        <v>7679</v>
      </c>
      <c r="F1283" s="267">
        <v>38677</v>
      </c>
      <c r="G1283" s="266" t="s">
        <v>756</v>
      </c>
      <c r="H1283" s="266" t="s">
        <v>3007</v>
      </c>
      <c r="I1283" s="266" t="s">
        <v>505</v>
      </c>
      <c r="J1283" s="266" t="s">
        <v>996</v>
      </c>
      <c r="K1283" s="406" t="s">
        <v>7682</v>
      </c>
    </row>
    <row r="1284" spans="1:11" x14ac:dyDescent="0.25">
      <c r="A1284" s="270" t="s">
        <v>3206</v>
      </c>
      <c r="B1284" s="266"/>
      <c r="C1284" s="266" t="s">
        <v>114</v>
      </c>
      <c r="D1284" s="266" t="s">
        <v>7683</v>
      </c>
      <c r="E1284" s="267" t="s">
        <v>7679</v>
      </c>
      <c r="F1284" s="267">
        <v>38651</v>
      </c>
      <c r="G1284" s="266" t="s">
        <v>756</v>
      </c>
      <c r="H1284" s="266" t="s">
        <v>3007</v>
      </c>
      <c r="I1284" s="266" t="s">
        <v>7584</v>
      </c>
      <c r="J1284" s="266" t="s">
        <v>996</v>
      </c>
      <c r="K1284" s="406" t="s">
        <v>7684</v>
      </c>
    </row>
    <row r="1285" spans="1:11" x14ac:dyDescent="0.25">
      <c r="A1285" s="270" t="s">
        <v>3208</v>
      </c>
      <c r="B1285" s="266"/>
      <c r="C1285" s="266" t="s">
        <v>114</v>
      </c>
      <c r="D1285" s="266" t="s">
        <v>7685</v>
      </c>
      <c r="E1285" s="267" t="s">
        <v>7679</v>
      </c>
      <c r="F1285" s="267">
        <v>38686</v>
      </c>
      <c r="G1285" s="266" t="s">
        <v>756</v>
      </c>
      <c r="H1285" s="266" t="s">
        <v>3007</v>
      </c>
      <c r="I1285" s="266" t="s">
        <v>7686</v>
      </c>
      <c r="J1285" s="266" t="s">
        <v>996</v>
      </c>
      <c r="K1285" s="406" t="s">
        <v>7687</v>
      </c>
    </row>
    <row r="1286" spans="1:11" x14ac:dyDescent="0.25">
      <c r="A1286" s="270" t="s">
        <v>3211</v>
      </c>
      <c r="B1286" s="266"/>
      <c r="C1286" s="266" t="s">
        <v>114</v>
      </c>
      <c r="D1286" s="266" t="s">
        <v>7688</v>
      </c>
      <c r="E1286" s="267" t="s">
        <v>7679</v>
      </c>
      <c r="F1286" s="267">
        <v>38666</v>
      </c>
      <c r="G1286" s="266" t="s">
        <v>756</v>
      </c>
      <c r="H1286" s="266" t="s">
        <v>3213</v>
      </c>
      <c r="I1286" s="266" t="s">
        <v>497</v>
      </c>
      <c r="J1286" s="266" t="s">
        <v>996</v>
      </c>
      <c r="K1286" s="406" t="s">
        <v>7689</v>
      </c>
    </row>
    <row r="1287" spans="1:11" x14ac:dyDescent="0.25">
      <c r="A1287" s="270" t="s">
        <v>3214</v>
      </c>
      <c r="B1287" s="266"/>
      <c r="C1287" s="266" t="s">
        <v>114</v>
      </c>
      <c r="D1287" s="266" t="s">
        <v>7690</v>
      </c>
      <c r="E1287" s="267" t="s">
        <v>7679</v>
      </c>
      <c r="F1287" s="267">
        <v>38666</v>
      </c>
      <c r="G1287" s="266" t="s">
        <v>756</v>
      </c>
      <c r="H1287" s="266" t="s">
        <v>3007</v>
      </c>
      <c r="I1287" s="266" t="s">
        <v>497</v>
      </c>
      <c r="J1287" s="266" t="s">
        <v>996</v>
      </c>
      <c r="K1287" s="406" t="s">
        <v>7691</v>
      </c>
    </row>
    <row r="1288" spans="1:11" x14ac:dyDescent="0.25">
      <c r="A1288" s="270" t="s">
        <v>3216</v>
      </c>
      <c r="B1288" s="266"/>
      <c r="C1288" s="266" t="s">
        <v>2441</v>
      </c>
      <c r="D1288" s="266" t="s">
        <v>7692</v>
      </c>
      <c r="E1288" s="267" t="s">
        <v>7693</v>
      </c>
      <c r="F1288" s="267">
        <v>38733</v>
      </c>
      <c r="G1288" s="266" t="s">
        <v>944</v>
      </c>
      <c r="H1288" s="266" t="s">
        <v>3103</v>
      </c>
      <c r="I1288" s="266" t="s">
        <v>505</v>
      </c>
      <c r="J1288" s="266" t="s">
        <v>1095</v>
      </c>
      <c r="K1288" s="406" t="s">
        <v>7694</v>
      </c>
    </row>
    <row r="1289" spans="1:11" x14ac:dyDescent="0.25">
      <c r="A1289" s="270" t="s">
        <v>3221</v>
      </c>
      <c r="B1289" s="266">
        <v>35</v>
      </c>
      <c r="C1289" s="266" t="s">
        <v>309</v>
      </c>
      <c r="D1289" s="266" t="s">
        <v>718</v>
      </c>
      <c r="E1289" s="267" t="s">
        <v>7695</v>
      </c>
      <c r="F1289" s="267">
        <v>38693</v>
      </c>
      <c r="G1289" s="266" t="s">
        <v>294</v>
      </c>
      <c r="H1289" s="266" t="s">
        <v>756</v>
      </c>
      <c r="I1289" s="266" t="s">
        <v>717</v>
      </c>
      <c r="J1289" s="266" t="s">
        <v>996</v>
      </c>
      <c r="K1289" s="406" t="s">
        <v>7696</v>
      </c>
    </row>
    <row r="1290" spans="1:11" x14ac:dyDescent="0.25">
      <c r="A1290" s="270" t="s">
        <v>3219</v>
      </c>
      <c r="B1290" s="266">
        <v>33</v>
      </c>
      <c r="C1290" s="266" t="s">
        <v>309</v>
      </c>
      <c r="D1290" s="266" t="s">
        <v>710</v>
      </c>
      <c r="E1290" s="267" t="s">
        <v>7695</v>
      </c>
      <c r="F1290" s="267">
        <v>38657</v>
      </c>
      <c r="G1290" s="266" t="s">
        <v>249</v>
      </c>
      <c r="H1290" s="266" t="s">
        <v>756</v>
      </c>
      <c r="I1290" s="266" t="s">
        <v>497</v>
      </c>
      <c r="J1290" s="266" t="s">
        <v>996</v>
      </c>
      <c r="K1290" s="406" t="s">
        <v>7697</v>
      </c>
    </row>
    <row r="1291" spans="1:11" x14ac:dyDescent="0.25">
      <c r="A1291" s="270" t="s">
        <v>3222</v>
      </c>
      <c r="B1291" s="266"/>
      <c r="C1291" s="266" t="s">
        <v>309</v>
      </c>
      <c r="D1291" s="266" t="s">
        <v>711</v>
      </c>
      <c r="E1291" s="267" t="s">
        <v>7695</v>
      </c>
      <c r="F1291" s="267">
        <v>38657</v>
      </c>
      <c r="G1291" s="266" t="s">
        <v>712</v>
      </c>
      <c r="H1291" s="266" t="s">
        <v>756</v>
      </c>
      <c r="I1291" s="266" t="s">
        <v>497</v>
      </c>
      <c r="J1291" s="266" t="s">
        <v>996</v>
      </c>
      <c r="K1291" s="406" t="s">
        <v>7698</v>
      </c>
    </row>
    <row r="1292" spans="1:11" x14ac:dyDescent="0.25">
      <c r="A1292" s="270" t="s">
        <v>3224</v>
      </c>
      <c r="B1292" s="266"/>
      <c r="C1292" s="266" t="s">
        <v>309</v>
      </c>
      <c r="D1292" s="266" t="s">
        <v>716</v>
      </c>
      <c r="E1292" s="267" t="s">
        <v>7695</v>
      </c>
      <c r="F1292" s="267">
        <v>38677</v>
      </c>
      <c r="G1292" s="266" t="s">
        <v>535</v>
      </c>
      <c r="H1292" s="266" t="s">
        <v>756</v>
      </c>
      <c r="I1292" s="266" t="s">
        <v>717</v>
      </c>
      <c r="J1292" s="266" t="s">
        <v>996</v>
      </c>
      <c r="K1292" s="406" t="s">
        <v>7699</v>
      </c>
    </row>
    <row r="1293" spans="1:11" x14ac:dyDescent="0.25">
      <c r="A1293" s="270" t="s">
        <v>3226</v>
      </c>
      <c r="B1293" s="266"/>
      <c r="C1293" s="266" t="s">
        <v>309</v>
      </c>
      <c r="D1293" s="266" t="s">
        <v>713</v>
      </c>
      <c r="E1293" s="267" t="s">
        <v>7695</v>
      </c>
      <c r="F1293" s="267">
        <v>38657</v>
      </c>
      <c r="G1293" s="266" t="s">
        <v>252</v>
      </c>
      <c r="H1293" s="266" t="s">
        <v>756</v>
      </c>
      <c r="I1293" s="266" t="s">
        <v>497</v>
      </c>
      <c r="J1293" s="266" t="s">
        <v>996</v>
      </c>
      <c r="K1293" s="406" t="s">
        <v>7700</v>
      </c>
    </row>
    <row r="1294" spans="1:11" x14ac:dyDescent="0.25">
      <c r="A1294" s="270" t="s">
        <v>3228</v>
      </c>
      <c r="B1294" s="266"/>
      <c r="C1294" s="266" t="s">
        <v>309</v>
      </c>
      <c r="D1294" s="266" t="s">
        <v>640</v>
      </c>
      <c r="E1294" s="267" t="s">
        <v>7701</v>
      </c>
      <c r="F1294" s="267">
        <v>38001</v>
      </c>
      <c r="G1294" s="266" t="s">
        <v>392</v>
      </c>
      <c r="H1294" s="266" t="s">
        <v>266</v>
      </c>
      <c r="I1294" s="266" t="s">
        <v>488</v>
      </c>
      <c r="J1294" s="266" t="s">
        <v>996</v>
      </c>
      <c r="K1294" s="406" t="s">
        <v>7702</v>
      </c>
    </row>
    <row r="1295" spans="1:11" x14ac:dyDescent="0.25">
      <c r="A1295" s="270" t="s">
        <v>3230</v>
      </c>
      <c r="B1295" s="266"/>
      <c r="C1295" s="266" t="s">
        <v>114</v>
      </c>
      <c r="D1295" s="266" t="s">
        <v>7703</v>
      </c>
      <c r="E1295" s="267" t="s">
        <v>7704</v>
      </c>
      <c r="F1295" s="267">
        <v>38748</v>
      </c>
      <c r="G1295" s="266" t="s">
        <v>755</v>
      </c>
      <c r="H1295" s="266" t="s">
        <v>3232</v>
      </c>
      <c r="I1295" s="266" t="s">
        <v>3233</v>
      </c>
      <c r="J1295" s="266" t="s">
        <v>996</v>
      </c>
      <c r="K1295" s="406" t="s">
        <v>7705</v>
      </c>
    </row>
    <row r="1296" spans="1:11" x14ac:dyDescent="0.25">
      <c r="A1296" s="270" t="s">
        <v>3234</v>
      </c>
      <c r="B1296" s="266"/>
      <c r="C1296" s="266" t="s">
        <v>309</v>
      </c>
      <c r="D1296" s="266" t="s">
        <v>721</v>
      </c>
      <c r="E1296" s="267" t="s">
        <v>7706</v>
      </c>
      <c r="F1296" s="267">
        <v>38720</v>
      </c>
      <c r="G1296" s="266" t="s">
        <v>3236</v>
      </c>
      <c r="H1296" s="266" t="s">
        <v>756</v>
      </c>
      <c r="I1296" s="266" t="s">
        <v>502</v>
      </c>
      <c r="J1296" s="266" t="s">
        <v>996</v>
      </c>
      <c r="K1296" s="406" t="s">
        <v>7707</v>
      </c>
    </row>
    <row r="1297" spans="1:11" x14ac:dyDescent="0.25">
      <c r="A1297" s="270" t="s">
        <v>3237</v>
      </c>
      <c r="B1297" s="266"/>
      <c r="C1297" s="266" t="s">
        <v>114</v>
      </c>
      <c r="D1297" s="266" t="s">
        <v>7708</v>
      </c>
      <c r="E1297" s="267" t="s">
        <v>7709</v>
      </c>
      <c r="F1297" s="267">
        <v>38737</v>
      </c>
      <c r="G1297" s="266" t="s">
        <v>3239</v>
      </c>
      <c r="H1297" s="266" t="s">
        <v>3007</v>
      </c>
      <c r="I1297" s="266" t="s">
        <v>717</v>
      </c>
      <c r="J1297" s="266" t="s">
        <v>996</v>
      </c>
      <c r="K1297" s="406" t="s">
        <v>7710</v>
      </c>
    </row>
    <row r="1298" spans="1:11" x14ac:dyDescent="0.25">
      <c r="A1298" s="270" t="s">
        <v>3240</v>
      </c>
      <c r="B1298" s="266"/>
      <c r="C1298" s="266" t="s">
        <v>309</v>
      </c>
      <c r="D1298" s="266" t="s">
        <v>731</v>
      </c>
      <c r="E1298" s="267" t="s">
        <v>7711</v>
      </c>
      <c r="F1298" s="267">
        <v>38760</v>
      </c>
      <c r="G1298" s="266" t="s">
        <v>304</v>
      </c>
      <c r="H1298" s="266" t="s">
        <v>3241</v>
      </c>
      <c r="I1298" s="266" t="s">
        <v>502</v>
      </c>
      <c r="J1298" s="266" t="s">
        <v>996</v>
      </c>
      <c r="K1298" s="406" t="s">
        <v>7712</v>
      </c>
    </row>
    <row r="1299" spans="1:11" x14ac:dyDescent="0.25">
      <c r="A1299" s="270" t="s">
        <v>3242</v>
      </c>
      <c r="B1299" s="266"/>
      <c r="C1299" s="266" t="s">
        <v>114</v>
      </c>
      <c r="D1299" s="266" t="s">
        <v>7713</v>
      </c>
      <c r="E1299" s="267" t="s">
        <v>7714</v>
      </c>
      <c r="F1299" s="267">
        <v>38757</v>
      </c>
      <c r="G1299" s="266" t="s">
        <v>2988</v>
      </c>
      <c r="H1299" s="266" t="s">
        <v>487</v>
      </c>
      <c r="I1299" s="266" t="s">
        <v>488</v>
      </c>
      <c r="J1299" s="266" t="s">
        <v>996</v>
      </c>
      <c r="K1299" s="406" t="s">
        <v>7715</v>
      </c>
    </row>
    <row r="1300" spans="1:11" x14ac:dyDescent="0.25">
      <c r="A1300" s="270" t="s">
        <v>3244</v>
      </c>
      <c r="B1300" s="266"/>
      <c r="C1300" s="266" t="s">
        <v>114</v>
      </c>
      <c r="D1300" s="266" t="s">
        <v>7716</v>
      </c>
      <c r="E1300" s="267" t="s">
        <v>7717</v>
      </c>
      <c r="F1300" s="267">
        <v>38687</v>
      </c>
      <c r="G1300" s="266" t="s">
        <v>3239</v>
      </c>
      <c r="H1300" s="266" t="s">
        <v>3246</v>
      </c>
      <c r="I1300" s="266" t="s">
        <v>3247</v>
      </c>
      <c r="J1300" s="266" t="s">
        <v>996</v>
      </c>
      <c r="K1300" s="406" t="s">
        <v>7718</v>
      </c>
    </row>
    <row r="1301" spans="1:11" x14ac:dyDescent="0.25">
      <c r="A1301" s="270" t="s">
        <v>3248</v>
      </c>
      <c r="B1301" s="266"/>
      <c r="C1301" s="266" t="s">
        <v>114</v>
      </c>
      <c r="D1301" s="266" t="s">
        <v>7719</v>
      </c>
      <c r="E1301" s="267" t="s">
        <v>7717</v>
      </c>
      <c r="F1301" s="267">
        <v>38687</v>
      </c>
      <c r="G1301" s="266" t="s">
        <v>3239</v>
      </c>
      <c r="H1301" s="266" t="s">
        <v>3246</v>
      </c>
      <c r="I1301" s="266" t="s">
        <v>3247</v>
      </c>
      <c r="J1301" s="266" t="s">
        <v>996</v>
      </c>
      <c r="K1301" s="406" t="s">
        <v>7720</v>
      </c>
    </row>
    <row r="1302" spans="1:11" x14ac:dyDescent="0.25">
      <c r="A1302" s="270" t="s">
        <v>3250</v>
      </c>
      <c r="B1302" s="266"/>
      <c r="C1302" s="266" t="s">
        <v>114</v>
      </c>
      <c r="D1302" s="266" t="s">
        <v>7721</v>
      </c>
      <c r="E1302" s="267" t="s">
        <v>7717</v>
      </c>
      <c r="F1302" s="267">
        <v>38702</v>
      </c>
      <c r="G1302" s="266" t="s">
        <v>3239</v>
      </c>
      <c r="H1302" s="266" t="s">
        <v>3246</v>
      </c>
      <c r="I1302" s="266" t="s">
        <v>717</v>
      </c>
      <c r="J1302" s="266" t="s">
        <v>996</v>
      </c>
      <c r="K1302" s="406" t="s">
        <v>7722</v>
      </c>
    </row>
    <row r="1303" spans="1:11" x14ac:dyDescent="0.25">
      <c r="A1303" s="270" t="s">
        <v>3252</v>
      </c>
      <c r="B1303" s="266"/>
      <c r="C1303" s="266" t="s">
        <v>1196</v>
      </c>
      <c r="D1303" s="266" t="s">
        <v>7723</v>
      </c>
      <c r="E1303" s="267" t="s">
        <v>7724</v>
      </c>
      <c r="F1303" s="267">
        <v>38691</v>
      </c>
      <c r="G1303" s="266" t="s">
        <v>535</v>
      </c>
      <c r="H1303" s="266" t="s">
        <v>3239</v>
      </c>
      <c r="I1303" s="266" t="s">
        <v>242</v>
      </c>
      <c r="J1303" s="266" t="s">
        <v>1095</v>
      </c>
      <c r="K1303" s="406" t="s">
        <v>7725</v>
      </c>
    </row>
    <row r="1304" spans="1:11" x14ac:dyDescent="0.25">
      <c r="A1304" s="270" t="s">
        <v>3255</v>
      </c>
      <c r="B1304" s="266"/>
      <c r="C1304" s="266" t="s">
        <v>726</v>
      </c>
      <c r="D1304" s="266" t="s">
        <v>727</v>
      </c>
      <c r="E1304" s="267" t="s">
        <v>7726</v>
      </c>
      <c r="F1304" s="267">
        <v>38748</v>
      </c>
      <c r="G1304" s="266" t="s">
        <v>611</v>
      </c>
      <c r="H1304" s="266" t="s">
        <v>950</v>
      </c>
      <c r="I1304" s="266" t="s">
        <v>502</v>
      </c>
      <c r="J1304" s="266" t="s">
        <v>996</v>
      </c>
      <c r="K1304" s="406" t="s">
        <v>7727</v>
      </c>
    </row>
    <row r="1305" spans="1:11" x14ac:dyDescent="0.25">
      <c r="A1305" s="270" t="s">
        <v>3257</v>
      </c>
      <c r="B1305" s="266"/>
      <c r="C1305" s="266" t="s">
        <v>3082</v>
      </c>
      <c r="D1305" s="266" t="s">
        <v>7728</v>
      </c>
      <c r="E1305" s="267" t="s">
        <v>7729</v>
      </c>
      <c r="F1305" s="267">
        <v>38798</v>
      </c>
      <c r="G1305" s="266" t="s">
        <v>487</v>
      </c>
      <c r="H1305" s="266" t="s">
        <v>3259</v>
      </c>
      <c r="I1305" s="266" t="s">
        <v>488</v>
      </c>
      <c r="J1305" s="266" t="s">
        <v>996</v>
      </c>
      <c r="K1305" s="406" t="s">
        <v>7730</v>
      </c>
    </row>
    <row r="1306" spans="1:11" x14ac:dyDescent="0.25">
      <c r="A1306" s="270" t="s">
        <v>3260</v>
      </c>
      <c r="B1306" s="266"/>
      <c r="C1306" s="266" t="s">
        <v>309</v>
      </c>
      <c r="D1306" s="266" t="s">
        <v>729</v>
      </c>
      <c r="E1306" s="267" t="s">
        <v>7731</v>
      </c>
      <c r="F1306" s="267">
        <v>38748</v>
      </c>
      <c r="G1306" s="266" t="s">
        <v>730</v>
      </c>
      <c r="H1306" s="266" t="s">
        <v>756</v>
      </c>
      <c r="I1306" s="266" t="s">
        <v>7241</v>
      </c>
      <c r="J1306" s="266" t="s">
        <v>996</v>
      </c>
      <c r="K1306" s="406" t="s">
        <v>7732</v>
      </c>
    </row>
    <row r="1307" spans="1:11" x14ac:dyDescent="0.25">
      <c r="A1307" s="270" t="s">
        <v>3262</v>
      </c>
      <c r="B1307" s="266"/>
      <c r="C1307" s="266" t="s">
        <v>1623</v>
      </c>
      <c r="D1307" s="266" t="s">
        <v>4248</v>
      </c>
      <c r="E1307" s="267" t="s">
        <v>7733</v>
      </c>
      <c r="F1307" s="267">
        <v>38855</v>
      </c>
      <c r="G1307" s="266" t="s">
        <v>3056</v>
      </c>
      <c r="H1307" s="266" t="s">
        <v>3264</v>
      </c>
      <c r="I1307" s="266" t="s">
        <v>7219</v>
      </c>
      <c r="J1307" s="266" t="s">
        <v>1625</v>
      </c>
      <c r="K1307" s="406" t="s">
        <v>7734</v>
      </c>
    </row>
    <row r="1308" spans="1:11" x14ac:dyDescent="0.25">
      <c r="A1308" s="270" t="s">
        <v>3265</v>
      </c>
      <c r="B1308" s="266"/>
      <c r="C1308" s="266" t="s">
        <v>114</v>
      </c>
      <c r="D1308" s="266" t="s">
        <v>7735</v>
      </c>
      <c r="E1308" s="267" t="s">
        <v>7736</v>
      </c>
      <c r="F1308" s="267">
        <v>38769</v>
      </c>
      <c r="G1308" s="266" t="s">
        <v>3239</v>
      </c>
      <c r="H1308" s="266" t="s">
        <v>950</v>
      </c>
      <c r="I1308" s="266" t="s">
        <v>502</v>
      </c>
      <c r="J1308" s="266" t="s">
        <v>996</v>
      </c>
      <c r="K1308" s="406" t="s">
        <v>7737</v>
      </c>
    </row>
    <row r="1309" spans="1:11" x14ac:dyDescent="0.25">
      <c r="A1309" s="270" t="s">
        <v>3267</v>
      </c>
      <c r="B1309" s="266"/>
      <c r="C1309" s="266" t="s">
        <v>3082</v>
      </c>
      <c r="D1309" s="266" t="s">
        <v>7738</v>
      </c>
      <c r="E1309" s="267" t="s">
        <v>7739</v>
      </c>
      <c r="F1309" s="267">
        <v>38862</v>
      </c>
      <c r="G1309" s="266" t="s">
        <v>3269</v>
      </c>
      <c r="H1309" s="266" t="s">
        <v>3270</v>
      </c>
      <c r="I1309" s="266" t="s">
        <v>488</v>
      </c>
      <c r="J1309" s="266" t="s">
        <v>996</v>
      </c>
      <c r="K1309" s="406" t="s">
        <v>7740</v>
      </c>
    </row>
    <row r="1310" spans="1:11" x14ac:dyDescent="0.25">
      <c r="A1310" s="270" t="s">
        <v>3271</v>
      </c>
      <c r="B1310" s="266"/>
      <c r="C1310" s="266" t="s">
        <v>3082</v>
      </c>
      <c r="D1310" s="266" t="s">
        <v>7741</v>
      </c>
      <c r="E1310" s="267" t="s">
        <v>7742</v>
      </c>
      <c r="F1310" s="267">
        <v>38890</v>
      </c>
      <c r="G1310" s="266" t="s">
        <v>3273</v>
      </c>
      <c r="H1310" s="266" t="s">
        <v>3274</v>
      </c>
      <c r="I1310" s="266" t="s">
        <v>488</v>
      </c>
      <c r="J1310" s="266" t="s">
        <v>996</v>
      </c>
      <c r="K1310" s="406" t="s">
        <v>7743</v>
      </c>
    </row>
    <row r="1311" spans="1:11" x14ac:dyDescent="0.25">
      <c r="A1311" s="270" t="s">
        <v>3275</v>
      </c>
      <c r="B1311" s="266"/>
      <c r="C1311" s="266" t="s">
        <v>114</v>
      </c>
      <c r="D1311" s="266" t="s">
        <v>7744</v>
      </c>
      <c r="E1311" s="267" t="s">
        <v>7745</v>
      </c>
      <c r="F1311" s="267">
        <v>38905</v>
      </c>
      <c r="G1311" s="266" t="s">
        <v>3277</v>
      </c>
      <c r="H1311" s="266" t="s">
        <v>3278</v>
      </c>
      <c r="I1311" s="266" t="s">
        <v>488</v>
      </c>
      <c r="J1311" s="266" t="s">
        <v>996</v>
      </c>
      <c r="K1311" s="406" t="s">
        <v>7746</v>
      </c>
    </row>
    <row r="1312" spans="1:11" x14ac:dyDescent="0.25">
      <c r="A1312" s="270" t="s">
        <v>3279</v>
      </c>
      <c r="B1312" s="266"/>
      <c r="C1312" s="266" t="s">
        <v>114</v>
      </c>
      <c r="D1312" s="266" t="s">
        <v>7747</v>
      </c>
      <c r="E1312" s="267" t="s">
        <v>7748</v>
      </c>
      <c r="F1312" s="267">
        <v>38909</v>
      </c>
      <c r="G1312" s="266" t="s">
        <v>3281</v>
      </c>
      <c r="H1312" s="266" t="s">
        <v>3282</v>
      </c>
      <c r="I1312" s="266" t="s">
        <v>488</v>
      </c>
      <c r="J1312" s="266" t="s">
        <v>996</v>
      </c>
      <c r="K1312" s="406" t="s">
        <v>7749</v>
      </c>
    </row>
    <row r="1313" spans="1:11" x14ac:dyDescent="0.25">
      <c r="A1313" s="270" t="s">
        <v>3283</v>
      </c>
      <c r="B1313" s="266"/>
      <c r="C1313" s="266" t="s">
        <v>3284</v>
      </c>
      <c r="D1313" s="266" t="s">
        <v>7750</v>
      </c>
      <c r="E1313" s="267" t="s">
        <v>7751</v>
      </c>
      <c r="F1313" s="267">
        <v>38869</v>
      </c>
      <c r="G1313" s="266" t="s">
        <v>3286</v>
      </c>
      <c r="H1313" s="266" t="s">
        <v>1110</v>
      </c>
      <c r="I1313" s="266" t="s">
        <v>6713</v>
      </c>
      <c r="J1313" s="266" t="s">
        <v>996</v>
      </c>
      <c r="K1313" s="406" t="s">
        <v>7752</v>
      </c>
    </row>
    <row r="1314" spans="1:11" x14ac:dyDescent="0.25">
      <c r="A1314" s="270" t="s">
        <v>3287</v>
      </c>
      <c r="B1314" s="266"/>
      <c r="C1314" s="266" t="s">
        <v>2441</v>
      </c>
      <c r="D1314" s="266" t="s">
        <v>7753</v>
      </c>
      <c r="E1314" s="267" t="s">
        <v>7754</v>
      </c>
      <c r="F1314" s="267">
        <v>38861</v>
      </c>
      <c r="G1314" s="266" t="s">
        <v>3289</v>
      </c>
      <c r="H1314" s="266" t="s">
        <v>3290</v>
      </c>
      <c r="I1314" s="266" t="s">
        <v>7219</v>
      </c>
      <c r="J1314" s="266" t="s">
        <v>1095</v>
      </c>
      <c r="K1314" s="406" t="s">
        <v>7755</v>
      </c>
    </row>
    <row r="1315" spans="1:11" x14ac:dyDescent="0.25">
      <c r="A1315" s="270" t="s">
        <v>3291</v>
      </c>
      <c r="B1315" s="266"/>
      <c r="C1315" s="266" t="s">
        <v>2902</v>
      </c>
      <c r="D1315" s="266" t="s">
        <v>7756</v>
      </c>
      <c r="E1315" s="267" t="s">
        <v>7757</v>
      </c>
      <c r="F1315" s="267">
        <v>38717</v>
      </c>
      <c r="G1315" s="266" t="s">
        <v>3293</v>
      </c>
      <c r="H1315" s="266" t="s">
        <v>3294</v>
      </c>
      <c r="I1315" s="266" t="s">
        <v>717</v>
      </c>
      <c r="J1315" s="266" t="s">
        <v>996</v>
      </c>
      <c r="K1315" s="406" t="s">
        <v>7758</v>
      </c>
    </row>
    <row r="1316" spans="1:11" x14ac:dyDescent="0.25">
      <c r="A1316" s="270" t="s">
        <v>3296</v>
      </c>
      <c r="B1316" s="266"/>
      <c r="C1316" s="266" t="s">
        <v>3082</v>
      </c>
      <c r="D1316" s="266" t="s">
        <v>7759</v>
      </c>
      <c r="E1316" s="267" t="s">
        <v>7760</v>
      </c>
      <c r="F1316" s="267">
        <v>39009</v>
      </c>
      <c r="G1316" s="266" t="s">
        <v>3298</v>
      </c>
      <c r="H1316" s="266" t="s">
        <v>3299</v>
      </c>
      <c r="I1316" s="266" t="s">
        <v>488</v>
      </c>
      <c r="J1316" s="266" t="s">
        <v>996</v>
      </c>
      <c r="K1316" s="406" t="s">
        <v>7761</v>
      </c>
    </row>
    <row r="1317" spans="1:11" x14ac:dyDescent="0.25">
      <c r="A1317" s="270" t="s">
        <v>3300</v>
      </c>
      <c r="B1317" s="266"/>
      <c r="C1317" s="266" t="s">
        <v>114</v>
      </c>
      <c r="D1317" s="266" t="s">
        <v>7762</v>
      </c>
      <c r="E1317" s="267" t="s">
        <v>7763</v>
      </c>
      <c r="F1317" s="267">
        <v>39052</v>
      </c>
      <c r="G1317" s="266" t="s">
        <v>3302</v>
      </c>
      <c r="H1317" s="266" t="s">
        <v>3303</v>
      </c>
      <c r="I1317" s="266" t="s">
        <v>488</v>
      </c>
      <c r="J1317" s="266" t="s">
        <v>996</v>
      </c>
      <c r="K1317" s="406" t="s">
        <v>7764</v>
      </c>
    </row>
    <row r="1318" spans="1:11" x14ac:dyDescent="0.25">
      <c r="A1318" s="270" t="s">
        <v>3304</v>
      </c>
      <c r="B1318" s="266"/>
      <c r="C1318" s="266" t="s">
        <v>2746</v>
      </c>
      <c r="D1318" s="266" t="s">
        <v>7765</v>
      </c>
      <c r="E1318" s="267" t="s">
        <v>7766</v>
      </c>
      <c r="F1318" s="267">
        <v>36835</v>
      </c>
      <c r="G1318" s="266" t="s">
        <v>7767</v>
      </c>
      <c r="H1318" s="266" t="s">
        <v>1110</v>
      </c>
      <c r="I1318" s="266" t="s">
        <v>7768</v>
      </c>
      <c r="J1318" s="266" t="s">
        <v>1095</v>
      </c>
      <c r="K1318" s="406" t="s">
        <v>7769</v>
      </c>
    </row>
    <row r="1319" spans="1:11" x14ac:dyDescent="0.25">
      <c r="A1319" s="270" t="s">
        <v>3308</v>
      </c>
      <c r="B1319" s="266"/>
      <c r="C1319" s="266" t="s">
        <v>114</v>
      </c>
      <c r="D1319" s="266" t="s">
        <v>7770</v>
      </c>
      <c r="E1319" s="267" t="s">
        <v>7771</v>
      </c>
      <c r="F1319" s="267">
        <v>38861</v>
      </c>
      <c r="G1319" s="266" t="s">
        <v>3310</v>
      </c>
      <c r="H1319" s="266" t="s">
        <v>3311</v>
      </c>
      <c r="I1319" s="266" t="s">
        <v>3312</v>
      </c>
      <c r="J1319" s="266" t="s">
        <v>996</v>
      </c>
      <c r="K1319" s="406" t="s">
        <v>7772</v>
      </c>
    </row>
    <row r="1320" spans="1:11" x14ac:dyDescent="0.25">
      <c r="A1320" s="270" t="s">
        <v>3313</v>
      </c>
      <c r="B1320" s="266"/>
      <c r="C1320" s="266" t="s">
        <v>1623</v>
      </c>
      <c r="D1320" s="266" t="s">
        <v>4249</v>
      </c>
      <c r="E1320" s="267" t="s">
        <v>7773</v>
      </c>
      <c r="F1320" s="267">
        <v>39160</v>
      </c>
      <c r="G1320" s="266" t="s">
        <v>3315</v>
      </c>
      <c r="H1320" s="266" t="s">
        <v>944</v>
      </c>
      <c r="I1320" s="266" t="s">
        <v>7219</v>
      </c>
      <c r="J1320" s="266" t="s">
        <v>1625</v>
      </c>
      <c r="K1320" s="406" t="s">
        <v>7774</v>
      </c>
    </row>
    <row r="1321" spans="1:11" x14ac:dyDescent="0.25">
      <c r="A1321" s="270" t="s">
        <v>3317</v>
      </c>
      <c r="B1321" s="266"/>
      <c r="C1321" s="266" t="s">
        <v>2506</v>
      </c>
      <c r="D1321" s="266" t="s">
        <v>4167</v>
      </c>
      <c r="E1321" s="267" t="s">
        <v>7775</v>
      </c>
      <c r="F1321" s="267">
        <v>39162</v>
      </c>
      <c r="G1321" s="266" t="s">
        <v>3319</v>
      </c>
      <c r="H1321" s="266" t="s">
        <v>3320</v>
      </c>
      <c r="I1321" s="266" t="s">
        <v>7776</v>
      </c>
      <c r="J1321" s="266" t="s">
        <v>985</v>
      </c>
      <c r="K1321" s="406" t="s">
        <v>7777</v>
      </c>
    </row>
    <row r="1322" spans="1:11" x14ac:dyDescent="0.25">
      <c r="A1322" s="270" t="s">
        <v>3322</v>
      </c>
      <c r="B1322" s="266"/>
      <c r="C1322" s="266" t="s">
        <v>2441</v>
      </c>
      <c r="D1322" s="266" t="s">
        <v>7778</v>
      </c>
      <c r="E1322" s="267" t="s">
        <v>7779</v>
      </c>
      <c r="F1322" s="267">
        <v>38798</v>
      </c>
      <c r="G1322" s="266" t="s">
        <v>487</v>
      </c>
      <c r="H1322" s="266" t="s">
        <v>3324</v>
      </c>
      <c r="I1322" s="266" t="s">
        <v>488</v>
      </c>
      <c r="J1322" s="266" t="s">
        <v>1095</v>
      </c>
      <c r="K1322" s="406" t="s">
        <v>7780</v>
      </c>
    </row>
    <row r="1323" spans="1:11" x14ac:dyDescent="0.25">
      <c r="A1323" s="270" t="s">
        <v>3325</v>
      </c>
      <c r="B1323" s="266"/>
      <c r="C1323" s="266" t="s">
        <v>2441</v>
      </c>
      <c r="D1323" s="266" t="s">
        <v>7781</v>
      </c>
      <c r="E1323" s="267" t="s">
        <v>7782</v>
      </c>
      <c r="F1323" s="267">
        <v>39268</v>
      </c>
      <c r="G1323" s="266" t="s">
        <v>2988</v>
      </c>
      <c r="H1323" s="266" t="s">
        <v>487</v>
      </c>
      <c r="I1323" s="266" t="s">
        <v>7783</v>
      </c>
      <c r="J1323" s="266" t="s">
        <v>1095</v>
      </c>
      <c r="K1323" s="406" t="s">
        <v>7784</v>
      </c>
    </row>
    <row r="1324" spans="1:11" x14ac:dyDescent="0.25">
      <c r="A1324" s="270" t="s">
        <v>3328</v>
      </c>
      <c r="B1324" s="266"/>
      <c r="C1324" s="266" t="s">
        <v>3284</v>
      </c>
      <c r="D1324" s="266" t="s">
        <v>7785</v>
      </c>
      <c r="E1324" s="267" t="s">
        <v>7786</v>
      </c>
      <c r="F1324" s="267">
        <v>39145</v>
      </c>
      <c r="G1324" s="266" t="s">
        <v>2552</v>
      </c>
      <c r="H1324" s="266" t="s">
        <v>3330</v>
      </c>
      <c r="I1324" s="266" t="s">
        <v>7787</v>
      </c>
      <c r="J1324" s="266" t="s">
        <v>996</v>
      </c>
      <c r="K1324" s="406" t="s">
        <v>7788</v>
      </c>
    </row>
    <row r="1325" spans="1:11" x14ac:dyDescent="0.25">
      <c r="A1325" s="270" t="s">
        <v>3332</v>
      </c>
      <c r="B1325" s="266"/>
      <c r="C1325" s="266" t="s">
        <v>7789</v>
      </c>
      <c r="D1325" s="266" t="s">
        <v>7790</v>
      </c>
      <c r="E1325" s="267" t="s">
        <v>7791</v>
      </c>
      <c r="F1325" s="267">
        <v>39315</v>
      </c>
      <c r="G1325" s="266" t="s">
        <v>3335</v>
      </c>
      <c r="H1325" s="266" t="s">
        <v>1110</v>
      </c>
      <c r="I1325" s="266" t="s">
        <v>6193</v>
      </c>
      <c r="J1325" s="266" t="s">
        <v>1095</v>
      </c>
      <c r="K1325" s="406" t="s">
        <v>7792</v>
      </c>
    </row>
    <row r="1326" spans="1:11" x14ac:dyDescent="0.25">
      <c r="A1326" s="270" t="s">
        <v>3340</v>
      </c>
      <c r="B1326" s="266">
        <v>40</v>
      </c>
      <c r="C1326" s="266" t="s">
        <v>114</v>
      </c>
      <c r="D1326" s="266" t="s">
        <v>4444</v>
      </c>
      <c r="E1326" s="267" t="s">
        <v>7793</v>
      </c>
      <c r="F1326" s="267">
        <v>39336</v>
      </c>
      <c r="G1326" s="266" t="s">
        <v>3338</v>
      </c>
      <c r="H1326" s="266" t="s">
        <v>3339</v>
      </c>
      <c r="I1326" s="266" t="s">
        <v>7794</v>
      </c>
      <c r="J1326" s="266" t="s">
        <v>996</v>
      </c>
      <c r="K1326" s="406" t="s">
        <v>7795</v>
      </c>
    </row>
    <row r="1327" spans="1:11" x14ac:dyDescent="0.25">
      <c r="A1327" s="270" t="s">
        <v>3342</v>
      </c>
      <c r="B1327" s="266"/>
      <c r="C1327" s="266" t="s">
        <v>1274</v>
      </c>
      <c r="D1327" s="266" t="s">
        <v>4250</v>
      </c>
      <c r="E1327" s="267" t="s">
        <v>7796</v>
      </c>
      <c r="F1327" s="267">
        <v>39400</v>
      </c>
      <c r="G1327" s="266" t="s">
        <v>433</v>
      </c>
      <c r="H1327" s="266" t="s">
        <v>1110</v>
      </c>
      <c r="I1327" s="266" t="s">
        <v>7219</v>
      </c>
      <c r="J1327" s="266" t="s">
        <v>985</v>
      </c>
      <c r="K1327" s="406" t="s">
        <v>7797</v>
      </c>
    </row>
    <row r="1328" spans="1:11" x14ac:dyDescent="0.25">
      <c r="A1328" s="270" t="s">
        <v>3344</v>
      </c>
      <c r="B1328" s="266"/>
      <c r="C1328" s="266" t="s">
        <v>2827</v>
      </c>
      <c r="D1328" s="266" t="s">
        <v>4168</v>
      </c>
      <c r="E1328" s="267" t="s">
        <v>7798</v>
      </c>
      <c r="F1328" s="267">
        <v>39609</v>
      </c>
      <c r="G1328" s="266" t="s">
        <v>3346</v>
      </c>
      <c r="H1328" s="266" t="s">
        <v>3347</v>
      </c>
      <c r="I1328" s="266" t="s">
        <v>3348</v>
      </c>
      <c r="J1328" s="266" t="s">
        <v>985</v>
      </c>
      <c r="K1328" s="406" t="s">
        <v>7799</v>
      </c>
    </row>
    <row r="1329" spans="1:11" x14ac:dyDescent="0.25">
      <c r="A1329" s="270" t="s">
        <v>3349</v>
      </c>
      <c r="B1329" s="266"/>
      <c r="C1329" s="266" t="s">
        <v>82</v>
      </c>
      <c r="D1329" s="266" t="s">
        <v>4366</v>
      </c>
      <c r="E1329" s="267" t="s">
        <v>7800</v>
      </c>
      <c r="F1329" s="267">
        <v>39645</v>
      </c>
      <c r="G1329" s="266" t="s">
        <v>3351</v>
      </c>
      <c r="H1329" s="266" t="s">
        <v>3352</v>
      </c>
      <c r="I1329" s="266" t="s">
        <v>7208</v>
      </c>
      <c r="J1329" s="266" t="s">
        <v>1625</v>
      </c>
      <c r="K1329" s="406" t="s">
        <v>7801</v>
      </c>
    </row>
    <row r="1330" spans="1:11" x14ac:dyDescent="0.25">
      <c r="A1330" s="270" t="s">
        <v>3353</v>
      </c>
      <c r="B1330" s="266"/>
      <c r="C1330" s="266" t="s">
        <v>1623</v>
      </c>
      <c r="D1330" s="266" t="s">
        <v>4367</v>
      </c>
      <c r="E1330" s="267" t="s">
        <v>7802</v>
      </c>
      <c r="F1330" s="267">
        <v>38286</v>
      </c>
      <c r="G1330" s="266" t="s">
        <v>3355</v>
      </c>
      <c r="H1330" s="266" t="s">
        <v>611</v>
      </c>
      <c r="I1330" s="266" t="s">
        <v>7803</v>
      </c>
      <c r="J1330" s="266" t="s">
        <v>1625</v>
      </c>
      <c r="K1330" s="406" t="s">
        <v>7804</v>
      </c>
    </row>
    <row r="1331" spans="1:11" x14ac:dyDescent="0.25">
      <c r="A1331" s="270" t="s">
        <v>3357</v>
      </c>
      <c r="B1331" s="266"/>
      <c r="C1331" s="266" t="s">
        <v>3284</v>
      </c>
      <c r="D1331" s="266" t="s">
        <v>7805</v>
      </c>
      <c r="E1331" s="267" t="s">
        <v>7806</v>
      </c>
      <c r="F1331" s="267">
        <v>39756</v>
      </c>
      <c r="G1331" s="266" t="s">
        <v>3351</v>
      </c>
      <c r="H1331" s="266" t="s">
        <v>3352</v>
      </c>
      <c r="I1331" s="266" t="s">
        <v>7208</v>
      </c>
      <c r="J1331" s="266" t="s">
        <v>996</v>
      </c>
      <c r="K1331" s="406" t="s">
        <v>7807</v>
      </c>
    </row>
    <row r="1332" spans="1:11" x14ac:dyDescent="0.25">
      <c r="A1332" s="270" t="s">
        <v>3359</v>
      </c>
      <c r="B1332" s="266"/>
      <c r="C1332" s="266" t="s">
        <v>1623</v>
      </c>
      <c r="D1332" s="266" t="s">
        <v>4251</v>
      </c>
      <c r="E1332" s="267" t="s">
        <v>7808</v>
      </c>
      <c r="F1332" s="267">
        <v>39751</v>
      </c>
      <c r="G1332" s="266" t="s">
        <v>3361</v>
      </c>
      <c r="H1332" s="266" t="s">
        <v>7809</v>
      </c>
      <c r="I1332" s="266" t="s">
        <v>7219</v>
      </c>
      <c r="J1332" s="266" t="s">
        <v>1625</v>
      </c>
      <c r="K1332" s="406" t="s">
        <v>7810</v>
      </c>
    </row>
    <row r="1333" spans="1:11" x14ac:dyDescent="0.25">
      <c r="A1333" s="270" t="s">
        <v>3363</v>
      </c>
      <c r="B1333" s="266"/>
      <c r="C1333" s="266" t="s">
        <v>114</v>
      </c>
      <c r="D1333" s="266" t="s">
        <v>7811</v>
      </c>
      <c r="E1333" s="267" t="s">
        <v>7812</v>
      </c>
      <c r="F1333" s="267">
        <v>39815</v>
      </c>
      <c r="G1333" s="266" t="s">
        <v>3365</v>
      </c>
      <c r="H1333" s="266" t="s">
        <v>3366</v>
      </c>
      <c r="I1333" s="266" t="s">
        <v>7200</v>
      </c>
      <c r="J1333" s="266" t="s">
        <v>996</v>
      </c>
      <c r="K1333" s="406" t="s">
        <v>7813</v>
      </c>
    </row>
    <row r="1334" spans="1:11" x14ac:dyDescent="0.25">
      <c r="A1334" s="270" t="s">
        <v>3367</v>
      </c>
      <c r="B1334" s="266"/>
      <c r="C1334" s="266" t="s">
        <v>114</v>
      </c>
      <c r="D1334" s="266" t="s">
        <v>7814</v>
      </c>
      <c r="E1334" s="267" t="s">
        <v>7815</v>
      </c>
      <c r="F1334" s="267">
        <v>38701</v>
      </c>
      <c r="G1334" s="266" t="s">
        <v>3369</v>
      </c>
      <c r="H1334" s="266" t="s">
        <v>3370</v>
      </c>
      <c r="I1334" s="266" t="s">
        <v>497</v>
      </c>
      <c r="J1334" s="266" t="s">
        <v>996</v>
      </c>
      <c r="K1334" s="406" t="s">
        <v>7816</v>
      </c>
    </row>
    <row r="1335" spans="1:11" x14ac:dyDescent="0.25">
      <c r="A1335" s="270" t="s">
        <v>3371</v>
      </c>
      <c r="B1335" s="266"/>
      <c r="C1335" s="266" t="s">
        <v>114</v>
      </c>
      <c r="D1335" s="266" t="s">
        <v>7817</v>
      </c>
      <c r="E1335" s="267" t="s">
        <v>7815</v>
      </c>
      <c r="F1335" s="267">
        <v>38760</v>
      </c>
      <c r="G1335" s="266" t="s">
        <v>3369</v>
      </c>
      <c r="H1335" s="266" t="s">
        <v>3370</v>
      </c>
      <c r="I1335" s="266" t="s">
        <v>7241</v>
      </c>
      <c r="J1335" s="266" t="s">
        <v>996</v>
      </c>
      <c r="K1335" s="406" t="s">
        <v>7818</v>
      </c>
    </row>
    <row r="1336" spans="1:11" x14ac:dyDescent="0.25">
      <c r="A1336" s="270" t="s">
        <v>3374</v>
      </c>
      <c r="B1336" s="266"/>
      <c r="C1336" s="266" t="s">
        <v>993</v>
      </c>
      <c r="D1336" s="266" t="s">
        <v>7819</v>
      </c>
      <c r="E1336" s="267" t="s">
        <v>7820</v>
      </c>
      <c r="F1336" s="267">
        <v>39811</v>
      </c>
      <c r="G1336" s="266" t="s">
        <v>3376</v>
      </c>
      <c r="H1336" s="266" t="s">
        <v>3377</v>
      </c>
      <c r="I1336" s="266" t="s">
        <v>7200</v>
      </c>
      <c r="J1336" s="266" t="s">
        <v>996</v>
      </c>
      <c r="K1336" s="406" t="s">
        <v>7821</v>
      </c>
    </row>
    <row r="1337" spans="1:11" x14ac:dyDescent="0.25">
      <c r="A1337" s="270" t="s">
        <v>3378</v>
      </c>
      <c r="B1337" s="266"/>
      <c r="C1337" s="266" t="s">
        <v>7822</v>
      </c>
      <c r="D1337" s="266" t="s">
        <v>7823</v>
      </c>
      <c r="E1337" s="267" t="s">
        <v>7824</v>
      </c>
      <c r="F1337" s="267">
        <v>39854</v>
      </c>
      <c r="G1337" s="266" t="s">
        <v>3381</v>
      </c>
      <c r="H1337" s="266" t="s">
        <v>1110</v>
      </c>
      <c r="I1337" s="266" t="s">
        <v>313</v>
      </c>
      <c r="J1337" s="266" t="s">
        <v>985</v>
      </c>
      <c r="K1337" s="406" t="s">
        <v>7825</v>
      </c>
    </row>
    <row r="1338" spans="1:11" x14ac:dyDescent="0.25">
      <c r="A1338" s="270" t="s">
        <v>3382</v>
      </c>
      <c r="B1338" s="266"/>
      <c r="C1338" s="266" t="s">
        <v>1623</v>
      </c>
      <c r="D1338" s="266" t="s">
        <v>4252</v>
      </c>
      <c r="E1338" s="267" t="s">
        <v>7826</v>
      </c>
      <c r="F1338" s="267">
        <v>39871</v>
      </c>
      <c r="G1338" s="266" t="s">
        <v>3384</v>
      </c>
      <c r="H1338" s="266" t="s">
        <v>3385</v>
      </c>
      <c r="I1338" s="266" t="s">
        <v>7219</v>
      </c>
      <c r="J1338" s="266" t="s">
        <v>1625</v>
      </c>
      <c r="K1338" s="406" t="s">
        <v>7827</v>
      </c>
    </row>
    <row r="1339" spans="1:11" x14ac:dyDescent="0.25">
      <c r="A1339" s="270" t="s">
        <v>3386</v>
      </c>
      <c r="B1339" s="266"/>
      <c r="C1339" s="266" t="s">
        <v>2430</v>
      </c>
      <c r="D1339" s="266" t="s">
        <v>4368</v>
      </c>
      <c r="E1339" s="267" t="s">
        <v>7828</v>
      </c>
      <c r="F1339" s="267">
        <v>39939</v>
      </c>
      <c r="G1339" s="266" t="s">
        <v>3388</v>
      </c>
      <c r="H1339" s="266" t="s">
        <v>7829</v>
      </c>
      <c r="I1339" s="266" t="s">
        <v>7830</v>
      </c>
      <c r="J1339" s="266" t="s">
        <v>985</v>
      </c>
      <c r="K1339" s="406" t="s">
        <v>7831</v>
      </c>
    </row>
    <row r="1340" spans="1:11" x14ac:dyDescent="0.25">
      <c r="A1340" s="270" t="s">
        <v>3391</v>
      </c>
      <c r="B1340" s="266"/>
      <c r="C1340" s="266" t="s">
        <v>3392</v>
      </c>
      <c r="D1340" s="266" t="s">
        <v>4369</v>
      </c>
      <c r="E1340" s="267" t="s">
        <v>7832</v>
      </c>
      <c r="F1340" s="267">
        <v>39945</v>
      </c>
      <c r="G1340" s="266" t="s">
        <v>3394</v>
      </c>
      <c r="H1340" s="266" t="s">
        <v>3395</v>
      </c>
      <c r="I1340" s="266" t="s">
        <v>7241</v>
      </c>
      <c r="J1340" s="266" t="s">
        <v>985</v>
      </c>
      <c r="K1340" s="406" t="s">
        <v>7833</v>
      </c>
    </row>
    <row r="1341" spans="1:11" x14ac:dyDescent="0.25">
      <c r="A1341" s="270" t="s">
        <v>3397</v>
      </c>
      <c r="B1341" s="266"/>
      <c r="C1341" s="266" t="s">
        <v>2506</v>
      </c>
      <c r="D1341" s="266" t="s">
        <v>4370</v>
      </c>
      <c r="E1341" s="267" t="s">
        <v>7834</v>
      </c>
      <c r="F1341" s="267">
        <v>39981</v>
      </c>
      <c r="G1341" s="266" t="s">
        <v>3399</v>
      </c>
      <c r="H1341" s="266" t="s">
        <v>3400</v>
      </c>
      <c r="I1341" s="266" t="s">
        <v>7835</v>
      </c>
      <c r="J1341" s="266" t="s">
        <v>985</v>
      </c>
      <c r="K1341" s="406" t="s">
        <v>7836</v>
      </c>
    </row>
    <row r="1342" spans="1:11" x14ac:dyDescent="0.25">
      <c r="A1342" s="270" t="s">
        <v>3402</v>
      </c>
      <c r="B1342" s="266"/>
      <c r="C1342" s="266" t="s">
        <v>2430</v>
      </c>
      <c r="D1342" s="266" t="s">
        <v>4371</v>
      </c>
      <c r="E1342" s="267" t="s">
        <v>7837</v>
      </c>
      <c r="F1342" s="267">
        <v>40009</v>
      </c>
      <c r="G1342" s="266" t="s">
        <v>7838</v>
      </c>
      <c r="H1342" s="266" t="s">
        <v>3405</v>
      </c>
      <c r="I1342" s="266" t="s">
        <v>7830</v>
      </c>
      <c r="J1342" s="266" t="s">
        <v>985</v>
      </c>
      <c r="K1342" s="406" t="s">
        <v>7839</v>
      </c>
    </row>
    <row r="1343" spans="1:11" x14ac:dyDescent="0.25">
      <c r="A1343" s="270" t="s">
        <v>3406</v>
      </c>
      <c r="B1343" s="266"/>
      <c r="C1343" s="266" t="s">
        <v>7789</v>
      </c>
      <c r="D1343" s="266" t="s">
        <v>7840</v>
      </c>
      <c r="E1343" s="267" t="s">
        <v>7841</v>
      </c>
      <c r="F1343" s="267">
        <v>40059</v>
      </c>
      <c r="G1343" s="266" t="s">
        <v>3408</v>
      </c>
      <c r="H1343" s="266" t="s">
        <v>3409</v>
      </c>
      <c r="I1343" s="266" t="s">
        <v>5812</v>
      </c>
      <c r="J1343" s="266" t="s">
        <v>1095</v>
      </c>
      <c r="K1343" s="406" t="s">
        <v>7842</v>
      </c>
    </row>
    <row r="1344" spans="1:11" x14ac:dyDescent="0.25">
      <c r="A1344" s="270" t="s">
        <v>3411</v>
      </c>
      <c r="B1344" s="266"/>
      <c r="C1344" s="266" t="s">
        <v>2902</v>
      </c>
      <c r="D1344" s="266" t="s">
        <v>7843</v>
      </c>
      <c r="E1344" s="267" t="s">
        <v>7844</v>
      </c>
      <c r="F1344" s="267">
        <v>40133</v>
      </c>
      <c r="G1344" s="266" t="s">
        <v>944</v>
      </c>
      <c r="H1344" s="266" t="s">
        <v>2856</v>
      </c>
      <c r="I1344" s="266" t="s">
        <v>6193</v>
      </c>
      <c r="J1344" s="266" t="s">
        <v>996</v>
      </c>
      <c r="K1344" s="406" t="s">
        <v>7845</v>
      </c>
    </row>
    <row r="1345" spans="1:11" x14ac:dyDescent="0.25">
      <c r="A1345" s="270" t="s">
        <v>3413</v>
      </c>
      <c r="B1345" s="266"/>
      <c r="C1345" s="266" t="s">
        <v>82</v>
      </c>
      <c r="D1345" s="266" t="s">
        <v>4253</v>
      </c>
      <c r="E1345" s="267" t="s">
        <v>7846</v>
      </c>
      <c r="F1345" s="267">
        <v>40067</v>
      </c>
      <c r="G1345" s="266" t="s">
        <v>3415</v>
      </c>
      <c r="H1345" s="266" t="s">
        <v>3416</v>
      </c>
      <c r="I1345" s="266" t="s">
        <v>7219</v>
      </c>
      <c r="J1345" s="266" t="s">
        <v>1625</v>
      </c>
      <c r="K1345" s="406" t="s">
        <v>7847</v>
      </c>
    </row>
    <row r="1346" spans="1:11" x14ac:dyDescent="0.25">
      <c r="A1346" s="270" t="s">
        <v>3417</v>
      </c>
      <c r="B1346" s="266"/>
      <c r="C1346" s="266" t="s">
        <v>3418</v>
      </c>
      <c r="D1346" s="266" t="s">
        <v>7848</v>
      </c>
      <c r="E1346" s="267" t="s">
        <v>7849</v>
      </c>
      <c r="F1346" s="267">
        <v>40298</v>
      </c>
      <c r="G1346" s="266" t="s">
        <v>3420</v>
      </c>
      <c r="H1346" s="266" t="s">
        <v>1110</v>
      </c>
      <c r="I1346" s="266" t="s">
        <v>5812</v>
      </c>
      <c r="J1346" s="266" t="s">
        <v>1095</v>
      </c>
      <c r="K1346" s="406" t="s">
        <v>7850</v>
      </c>
    </row>
    <row r="1347" spans="1:11" x14ac:dyDescent="0.25">
      <c r="A1347" s="270" t="s">
        <v>3421</v>
      </c>
      <c r="B1347" s="266"/>
      <c r="C1347" s="266" t="s">
        <v>1623</v>
      </c>
      <c r="D1347" s="266" t="s">
        <v>4254</v>
      </c>
      <c r="E1347" s="267" t="s">
        <v>7851</v>
      </c>
      <c r="F1347" s="267">
        <v>40333</v>
      </c>
      <c r="G1347" s="266" t="s">
        <v>3423</v>
      </c>
      <c r="H1347" s="266" t="s">
        <v>3424</v>
      </c>
      <c r="I1347" s="266" t="s">
        <v>7219</v>
      </c>
      <c r="J1347" s="266" t="s">
        <v>1625</v>
      </c>
      <c r="K1347" s="406" t="s">
        <v>7852</v>
      </c>
    </row>
    <row r="1348" spans="1:11" x14ac:dyDescent="0.25">
      <c r="A1348" s="270" t="s">
        <v>3425</v>
      </c>
      <c r="B1348" s="266"/>
      <c r="C1348" s="266" t="s">
        <v>114</v>
      </c>
      <c r="D1348" s="266" t="s">
        <v>7853</v>
      </c>
      <c r="E1348" s="267" t="s">
        <v>7854</v>
      </c>
      <c r="F1348" s="267">
        <v>40338</v>
      </c>
      <c r="G1348" s="266" t="s">
        <v>2522</v>
      </c>
      <c r="H1348" s="266" t="s">
        <v>3427</v>
      </c>
      <c r="I1348" s="266" t="s">
        <v>6713</v>
      </c>
      <c r="J1348" s="266" t="s">
        <v>996</v>
      </c>
      <c r="K1348" s="406" t="s">
        <v>7855</v>
      </c>
    </row>
    <row r="1349" spans="1:11" x14ac:dyDescent="0.25">
      <c r="A1349" s="270" t="s">
        <v>3428</v>
      </c>
      <c r="B1349" s="266"/>
      <c r="C1349" s="266" t="s">
        <v>114</v>
      </c>
      <c r="D1349" s="266" t="s">
        <v>7856</v>
      </c>
      <c r="E1349" s="267" t="s">
        <v>7854</v>
      </c>
      <c r="F1349" s="267">
        <v>40338</v>
      </c>
      <c r="G1349" s="266" t="s">
        <v>3430</v>
      </c>
      <c r="H1349" s="266" t="s">
        <v>3431</v>
      </c>
      <c r="I1349" s="266" t="s">
        <v>6713</v>
      </c>
      <c r="J1349" s="266" t="s">
        <v>996</v>
      </c>
      <c r="K1349" s="406" t="s">
        <v>7857</v>
      </c>
    </row>
    <row r="1350" spans="1:11" x14ac:dyDescent="0.25">
      <c r="A1350" s="270" t="s">
        <v>3432</v>
      </c>
      <c r="B1350" s="266"/>
      <c r="C1350" s="266" t="s">
        <v>2441</v>
      </c>
      <c r="D1350" s="266" t="s">
        <v>7858</v>
      </c>
      <c r="E1350" s="267" t="s">
        <v>7859</v>
      </c>
      <c r="F1350" s="267">
        <v>40318</v>
      </c>
      <c r="G1350" s="266" t="s">
        <v>3434</v>
      </c>
      <c r="H1350" s="266" t="s">
        <v>3362</v>
      </c>
      <c r="I1350" s="266" t="s">
        <v>7219</v>
      </c>
      <c r="J1350" s="266" t="s">
        <v>1095</v>
      </c>
      <c r="K1350" s="406" t="s">
        <v>7860</v>
      </c>
    </row>
    <row r="1351" spans="1:11" x14ac:dyDescent="0.25">
      <c r="A1351" s="270" t="s">
        <v>3435</v>
      </c>
      <c r="B1351" s="266"/>
      <c r="C1351" s="266" t="s">
        <v>1623</v>
      </c>
      <c r="D1351" s="266" t="s">
        <v>4255</v>
      </c>
      <c r="E1351" s="267" t="s">
        <v>7861</v>
      </c>
      <c r="F1351" s="267">
        <v>40357</v>
      </c>
      <c r="G1351" s="266" t="s">
        <v>620</v>
      </c>
      <c r="H1351" s="266" t="s">
        <v>3138</v>
      </c>
      <c r="I1351" s="266" t="s">
        <v>488</v>
      </c>
      <c r="J1351" s="266" t="s">
        <v>1625</v>
      </c>
      <c r="K1351" s="406" t="s">
        <v>7862</v>
      </c>
    </row>
    <row r="1352" spans="1:11" x14ac:dyDescent="0.25">
      <c r="A1352" s="270" t="s">
        <v>3437</v>
      </c>
      <c r="B1352" s="266"/>
      <c r="C1352" s="266" t="s">
        <v>114</v>
      </c>
      <c r="D1352" s="266" t="s">
        <v>7863</v>
      </c>
      <c r="E1352" s="267" t="s">
        <v>7864</v>
      </c>
      <c r="F1352" s="267">
        <v>40396</v>
      </c>
      <c r="G1352" s="266" t="s">
        <v>3330</v>
      </c>
      <c r="H1352" s="266" t="s">
        <v>3439</v>
      </c>
      <c r="I1352" s="266" t="s">
        <v>7787</v>
      </c>
      <c r="J1352" s="266" t="s">
        <v>996</v>
      </c>
      <c r="K1352" s="406" t="s">
        <v>7865</v>
      </c>
    </row>
    <row r="1353" spans="1:11" x14ac:dyDescent="0.25">
      <c r="A1353" s="270" t="s">
        <v>3440</v>
      </c>
      <c r="B1353" s="266"/>
      <c r="C1353" s="266" t="s">
        <v>1623</v>
      </c>
      <c r="D1353" s="266" t="s">
        <v>4256</v>
      </c>
      <c r="E1353" s="267" t="s">
        <v>7866</v>
      </c>
      <c r="F1353" s="267">
        <v>40416</v>
      </c>
      <c r="G1353" s="266" t="s">
        <v>3442</v>
      </c>
      <c r="H1353" s="266" t="s">
        <v>3443</v>
      </c>
      <c r="I1353" s="266" t="s">
        <v>7219</v>
      </c>
      <c r="J1353" s="266" t="s">
        <v>1625</v>
      </c>
      <c r="K1353" s="406" t="s">
        <v>7867</v>
      </c>
    </row>
    <row r="1354" spans="1:11" x14ac:dyDescent="0.25">
      <c r="A1354" s="270" t="s">
        <v>3444</v>
      </c>
      <c r="B1354" s="266"/>
      <c r="C1354" s="266" t="s">
        <v>1623</v>
      </c>
      <c r="D1354" s="266" t="s">
        <v>4342</v>
      </c>
      <c r="E1354" s="267" t="s">
        <v>7868</v>
      </c>
      <c r="F1354" s="267">
        <v>40437</v>
      </c>
      <c r="G1354" s="266" t="s">
        <v>3446</v>
      </c>
      <c r="H1354" s="266" t="s">
        <v>3447</v>
      </c>
      <c r="I1354" s="266" t="s">
        <v>6713</v>
      </c>
      <c r="J1354" s="266" t="s">
        <v>1625</v>
      </c>
      <c r="K1354" s="406" t="s">
        <v>7869</v>
      </c>
    </row>
    <row r="1355" spans="1:11" x14ac:dyDescent="0.25">
      <c r="A1355" s="270" t="s">
        <v>3448</v>
      </c>
      <c r="B1355" s="266"/>
      <c r="C1355" s="266" t="s">
        <v>3449</v>
      </c>
      <c r="D1355" s="266" t="s">
        <v>7870</v>
      </c>
      <c r="E1355" s="267" t="s">
        <v>7871</v>
      </c>
      <c r="F1355" s="267">
        <v>40360</v>
      </c>
      <c r="G1355" s="266" t="s">
        <v>3330</v>
      </c>
      <c r="H1355" s="266" t="s">
        <v>3347</v>
      </c>
      <c r="I1355" s="266" t="s">
        <v>3348</v>
      </c>
      <c r="J1355" s="266" t="s">
        <v>1095</v>
      </c>
      <c r="K1355" s="406" t="s">
        <v>7872</v>
      </c>
    </row>
    <row r="1356" spans="1:11" x14ac:dyDescent="0.25">
      <c r="A1356" s="270" t="s">
        <v>3451</v>
      </c>
      <c r="B1356" s="266"/>
      <c r="C1356" s="266" t="s">
        <v>3392</v>
      </c>
      <c r="D1356" s="266" t="s">
        <v>7873</v>
      </c>
      <c r="E1356" s="267" t="s">
        <v>7874</v>
      </c>
      <c r="F1356" s="267">
        <v>40513</v>
      </c>
      <c r="G1356" s="266" t="s">
        <v>3453</v>
      </c>
      <c r="H1356" s="266" t="s">
        <v>3454</v>
      </c>
      <c r="I1356" s="266" t="s">
        <v>5812</v>
      </c>
      <c r="J1356" s="266" t="s">
        <v>985</v>
      </c>
      <c r="K1356" s="406" t="s">
        <v>7875</v>
      </c>
    </row>
    <row r="1357" spans="1:11" x14ac:dyDescent="0.25">
      <c r="A1357" s="270" t="s">
        <v>3455</v>
      </c>
      <c r="B1357" s="266"/>
      <c r="C1357" s="266" t="s">
        <v>3456</v>
      </c>
      <c r="D1357" s="266" t="s">
        <v>4169</v>
      </c>
      <c r="E1357" s="267" t="s">
        <v>7876</v>
      </c>
      <c r="F1357" s="267">
        <v>40577</v>
      </c>
      <c r="G1357" s="266" t="s">
        <v>3458</v>
      </c>
      <c r="H1357" s="266" t="s">
        <v>3459</v>
      </c>
      <c r="I1357" s="266" t="s">
        <v>7478</v>
      </c>
      <c r="J1357" s="266" t="s">
        <v>1625</v>
      </c>
      <c r="K1357" s="406" t="s">
        <v>7877</v>
      </c>
    </row>
    <row r="1358" spans="1:11" x14ac:dyDescent="0.25">
      <c r="A1358" s="270" t="s">
        <v>3460</v>
      </c>
      <c r="B1358" s="266"/>
      <c r="C1358" s="266" t="s">
        <v>3456</v>
      </c>
      <c r="D1358" s="266" t="s">
        <v>4170</v>
      </c>
      <c r="E1358" s="267" t="s">
        <v>7876</v>
      </c>
      <c r="F1358" s="267">
        <v>40577</v>
      </c>
      <c r="G1358" s="266" t="s">
        <v>3462</v>
      </c>
      <c r="H1358" s="266" t="s">
        <v>3463</v>
      </c>
      <c r="I1358" s="266" t="s">
        <v>7478</v>
      </c>
      <c r="J1358" s="266" t="s">
        <v>1625</v>
      </c>
      <c r="K1358" s="406" t="s">
        <v>7878</v>
      </c>
    </row>
    <row r="1359" spans="1:11" x14ac:dyDescent="0.25">
      <c r="A1359" s="270" t="s">
        <v>3464</v>
      </c>
      <c r="B1359" s="266"/>
      <c r="C1359" s="266" t="s">
        <v>3456</v>
      </c>
      <c r="D1359" s="266" t="s">
        <v>4171</v>
      </c>
      <c r="E1359" s="267" t="s">
        <v>7876</v>
      </c>
      <c r="F1359" s="267">
        <v>40583</v>
      </c>
      <c r="G1359" s="266" t="s">
        <v>3466</v>
      </c>
      <c r="H1359" s="266" t="s">
        <v>3467</v>
      </c>
      <c r="I1359" s="266" t="s">
        <v>7478</v>
      </c>
      <c r="J1359" s="266" t="s">
        <v>1625</v>
      </c>
      <c r="K1359" s="406" t="s">
        <v>7879</v>
      </c>
    </row>
    <row r="1360" spans="1:11" x14ac:dyDescent="0.25">
      <c r="A1360" s="270" t="s">
        <v>3468</v>
      </c>
      <c r="B1360" s="266"/>
      <c r="C1360" s="266" t="s">
        <v>1623</v>
      </c>
      <c r="D1360" s="266" t="s">
        <v>4257</v>
      </c>
      <c r="E1360" s="267" t="s">
        <v>7880</v>
      </c>
      <c r="F1360" s="267">
        <v>40661</v>
      </c>
      <c r="G1360" s="266" t="s">
        <v>3470</v>
      </c>
      <c r="H1360" s="266" t="s">
        <v>7881</v>
      </c>
      <c r="I1360" s="266" t="s">
        <v>7219</v>
      </c>
      <c r="J1360" s="266" t="s">
        <v>1625</v>
      </c>
      <c r="K1360" s="406" t="s">
        <v>7882</v>
      </c>
    </row>
    <row r="1361" spans="1:11" x14ac:dyDescent="0.25">
      <c r="A1361" s="270" t="s">
        <v>3472</v>
      </c>
      <c r="B1361" s="266"/>
      <c r="C1361" s="266" t="s">
        <v>1623</v>
      </c>
      <c r="D1361" s="266" t="s">
        <v>7883</v>
      </c>
      <c r="E1361" s="267" t="s">
        <v>7884</v>
      </c>
      <c r="F1361" s="267">
        <v>40778</v>
      </c>
      <c r="G1361" s="266" t="s">
        <v>3474</v>
      </c>
      <c r="H1361" s="266" t="s">
        <v>7885</v>
      </c>
      <c r="I1361" s="266" t="s">
        <v>242</v>
      </c>
      <c r="J1361" s="266" t="s">
        <v>1625</v>
      </c>
      <c r="K1361" s="406" t="s">
        <v>7886</v>
      </c>
    </row>
    <row r="1362" spans="1:11" x14ac:dyDescent="0.25">
      <c r="A1362" s="270" t="s">
        <v>3477</v>
      </c>
      <c r="B1362" s="266"/>
      <c r="C1362" s="266" t="s">
        <v>2506</v>
      </c>
      <c r="D1362" s="266" t="s">
        <v>7887</v>
      </c>
      <c r="E1362" s="267" t="s">
        <v>7888</v>
      </c>
      <c r="F1362" s="267">
        <v>40788</v>
      </c>
      <c r="G1362" s="266" t="s">
        <v>3479</v>
      </c>
      <c r="H1362" s="266" t="s">
        <v>3480</v>
      </c>
      <c r="I1362" s="266" t="s">
        <v>6193</v>
      </c>
      <c r="J1362" s="266" t="s">
        <v>985</v>
      </c>
      <c r="K1362" s="406" t="s">
        <v>7889</v>
      </c>
    </row>
    <row r="1363" spans="1:11" x14ac:dyDescent="0.25">
      <c r="A1363" s="270" t="s">
        <v>3481</v>
      </c>
      <c r="B1363" s="266"/>
      <c r="C1363" s="266" t="s">
        <v>969</v>
      </c>
      <c r="D1363" s="266" t="s">
        <v>4258</v>
      </c>
      <c r="E1363" s="267" t="s">
        <v>7890</v>
      </c>
      <c r="F1363" s="267">
        <v>40839</v>
      </c>
      <c r="G1363" s="266" t="s">
        <v>3483</v>
      </c>
      <c r="H1363" s="266" t="s">
        <v>3484</v>
      </c>
      <c r="I1363" s="266" t="s">
        <v>7350</v>
      </c>
      <c r="J1363" s="266" t="s">
        <v>985</v>
      </c>
      <c r="K1363" s="406" t="s">
        <v>7891</v>
      </c>
    </row>
    <row r="1364" spans="1:11" x14ac:dyDescent="0.25">
      <c r="A1364" s="270" t="s">
        <v>3485</v>
      </c>
      <c r="B1364" s="266"/>
      <c r="C1364" s="266" t="s">
        <v>1623</v>
      </c>
      <c r="D1364" s="266" t="s">
        <v>4259</v>
      </c>
      <c r="E1364" s="267" t="s">
        <v>7890</v>
      </c>
      <c r="F1364" s="267">
        <v>40839</v>
      </c>
      <c r="G1364" s="266" t="s">
        <v>3483</v>
      </c>
      <c r="H1364" s="266" t="s">
        <v>3484</v>
      </c>
      <c r="I1364" s="266" t="s">
        <v>7219</v>
      </c>
      <c r="J1364" s="266" t="s">
        <v>1625</v>
      </c>
      <c r="K1364" s="406" t="s">
        <v>7892</v>
      </c>
    </row>
    <row r="1365" spans="1:11" x14ac:dyDescent="0.25">
      <c r="A1365" s="270" t="s">
        <v>3487</v>
      </c>
      <c r="B1365" s="266"/>
      <c r="C1365" s="266" t="s">
        <v>1107</v>
      </c>
      <c r="D1365" s="266" t="s">
        <v>7893</v>
      </c>
      <c r="E1365" s="267" t="s">
        <v>7890</v>
      </c>
      <c r="F1365" s="267">
        <v>40839</v>
      </c>
      <c r="G1365" s="266" t="s">
        <v>3489</v>
      </c>
      <c r="H1365" s="266" t="s">
        <v>1110</v>
      </c>
      <c r="I1365" s="266" t="s">
        <v>7219</v>
      </c>
      <c r="J1365" s="266" t="s">
        <v>1095</v>
      </c>
      <c r="K1365" s="406" t="s">
        <v>7894</v>
      </c>
    </row>
    <row r="1366" spans="1:11" x14ac:dyDescent="0.25">
      <c r="A1366" s="270" t="s">
        <v>3490</v>
      </c>
      <c r="B1366" s="266"/>
      <c r="C1366" s="266" t="s">
        <v>1623</v>
      </c>
      <c r="D1366" s="266" t="s">
        <v>4372</v>
      </c>
      <c r="E1366" s="267" t="s">
        <v>7895</v>
      </c>
      <c r="F1366" s="267">
        <v>40855</v>
      </c>
      <c r="G1366" s="266" t="s">
        <v>3492</v>
      </c>
      <c r="H1366" s="266" t="s">
        <v>3493</v>
      </c>
      <c r="I1366" s="266" t="s">
        <v>7896</v>
      </c>
      <c r="J1366" s="266" t="s">
        <v>1625</v>
      </c>
      <c r="K1366" s="406" t="s">
        <v>7897</v>
      </c>
    </row>
    <row r="1367" spans="1:11" x14ac:dyDescent="0.25">
      <c r="A1367" s="270" t="s">
        <v>3495</v>
      </c>
      <c r="B1367" s="266"/>
      <c r="C1367" s="266" t="s">
        <v>1623</v>
      </c>
      <c r="D1367" s="266" t="s">
        <v>4328</v>
      </c>
      <c r="E1367" s="267" t="s">
        <v>7898</v>
      </c>
      <c r="F1367" s="267">
        <v>40876</v>
      </c>
      <c r="G1367" s="266" t="s">
        <v>240</v>
      </c>
      <c r="H1367" s="266" t="s">
        <v>3497</v>
      </c>
      <c r="I1367" s="266" t="s">
        <v>7899</v>
      </c>
      <c r="J1367" s="266" t="s">
        <v>1625</v>
      </c>
      <c r="K1367" s="406" t="s">
        <v>7900</v>
      </c>
    </row>
    <row r="1368" spans="1:11" x14ac:dyDescent="0.25">
      <c r="A1368" s="270" t="s">
        <v>3499</v>
      </c>
      <c r="B1368" s="266"/>
      <c r="C1368" s="266" t="s">
        <v>1623</v>
      </c>
      <c r="D1368" s="266" t="s">
        <v>7901</v>
      </c>
      <c r="E1368" s="267" t="s">
        <v>7902</v>
      </c>
      <c r="F1368" s="267">
        <v>40892</v>
      </c>
      <c r="G1368" s="266" t="s">
        <v>3501</v>
      </c>
      <c r="H1368" s="266" t="s">
        <v>7903</v>
      </c>
      <c r="I1368" s="266" t="s">
        <v>242</v>
      </c>
      <c r="J1368" s="266" t="s">
        <v>1625</v>
      </c>
      <c r="K1368" s="406" t="s">
        <v>7904</v>
      </c>
    </row>
    <row r="1369" spans="1:11" x14ac:dyDescent="0.25">
      <c r="A1369" s="270" t="s">
        <v>3503</v>
      </c>
      <c r="B1369" s="266"/>
      <c r="C1369" s="266" t="s">
        <v>1107</v>
      </c>
      <c r="D1369" s="266" t="s">
        <v>7905</v>
      </c>
      <c r="E1369" s="267" t="s">
        <v>7906</v>
      </c>
      <c r="F1369" s="267">
        <v>40905</v>
      </c>
      <c r="G1369" s="266" t="s">
        <v>3505</v>
      </c>
      <c r="H1369" s="266" t="s">
        <v>1110</v>
      </c>
      <c r="I1369" s="266" t="s">
        <v>242</v>
      </c>
      <c r="J1369" s="266" t="s">
        <v>1095</v>
      </c>
      <c r="K1369" s="406" t="s">
        <v>7907</v>
      </c>
    </row>
    <row r="1370" spans="1:11" x14ac:dyDescent="0.25">
      <c r="A1370" s="270" t="s">
        <v>3506</v>
      </c>
      <c r="B1370" s="266"/>
      <c r="C1370" s="266" t="s">
        <v>3507</v>
      </c>
      <c r="D1370" s="266" t="s">
        <v>7908</v>
      </c>
      <c r="E1370" s="267" t="s">
        <v>7909</v>
      </c>
      <c r="F1370" s="267">
        <v>40973</v>
      </c>
      <c r="G1370" s="266" t="s">
        <v>3509</v>
      </c>
      <c r="H1370" s="266" t="s">
        <v>3510</v>
      </c>
      <c r="I1370" s="266" t="s">
        <v>7910</v>
      </c>
      <c r="J1370" s="266" t="s">
        <v>996</v>
      </c>
      <c r="K1370" s="406" t="s">
        <v>7911</v>
      </c>
    </row>
    <row r="1371" spans="1:11" x14ac:dyDescent="0.25">
      <c r="A1371" s="270" t="s">
        <v>3512</v>
      </c>
      <c r="B1371" s="266"/>
      <c r="C1371" s="266" t="s">
        <v>1274</v>
      </c>
      <c r="D1371" s="266" t="s">
        <v>4373</v>
      </c>
      <c r="E1371" s="267" t="s">
        <v>7912</v>
      </c>
      <c r="F1371" s="267">
        <v>40988</v>
      </c>
      <c r="G1371" s="266" t="s">
        <v>3514</v>
      </c>
      <c r="H1371" s="266" t="s">
        <v>1110</v>
      </c>
      <c r="I1371" s="266" t="s">
        <v>7208</v>
      </c>
      <c r="J1371" s="266" t="s">
        <v>985</v>
      </c>
      <c r="K1371" s="406" t="s">
        <v>7913</v>
      </c>
    </row>
    <row r="1372" spans="1:11" x14ac:dyDescent="0.25">
      <c r="A1372" s="270" t="s">
        <v>3515</v>
      </c>
      <c r="B1372" s="266"/>
      <c r="C1372" s="266" t="s">
        <v>114</v>
      </c>
      <c r="D1372" s="266" t="s">
        <v>7914</v>
      </c>
      <c r="E1372" s="267" t="s">
        <v>7915</v>
      </c>
      <c r="F1372" s="267">
        <v>41000</v>
      </c>
      <c r="G1372" s="266" t="s">
        <v>3510</v>
      </c>
      <c r="H1372" s="266" t="s">
        <v>3517</v>
      </c>
      <c r="I1372" s="266" t="s">
        <v>6193</v>
      </c>
      <c r="J1372" s="266" t="s">
        <v>996</v>
      </c>
      <c r="K1372" s="406" t="s">
        <v>7916</v>
      </c>
    </row>
    <row r="1373" spans="1:11" x14ac:dyDescent="0.25">
      <c r="A1373" s="270" t="s">
        <v>3518</v>
      </c>
      <c r="B1373" s="266"/>
      <c r="C1373" s="266" t="s">
        <v>1623</v>
      </c>
      <c r="D1373" s="266" t="s">
        <v>4260</v>
      </c>
      <c r="E1373" s="267" t="s">
        <v>7917</v>
      </c>
      <c r="F1373" s="267">
        <v>41011</v>
      </c>
      <c r="G1373" s="266" t="s">
        <v>3520</v>
      </c>
      <c r="H1373" s="266" t="s">
        <v>3521</v>
      </c>
      <c r="I1373" s="266" t="s">
        <v>7219</v>
      </c>
      <c r="J1373" s="266" t="s">
        <v>1625</v>
      </c>
      <c r="K1373" s="406" t="s">
        <v>7918</v>
      </c>
    </row>
    <row r="1374" spans="1:11" x14ac:dyDescent="0.25">
      <c r="A1374" s="270" t="s">
        <v>3522</v>
      </c>
      <c r="B1374" s="266"/>
      <c r="C1374" s="266" t="s">
        <v>1623</v>
      </c>
      <c r="D1374" s="266" t="s">
        <v>4329</v>
      </c>
      <c r="E1374" s="267" t="s">
        <v>7919</v>
      </c>
      <c r="F1374" s="267">
        <v>41059</v>
      </c>
      <c r="G1374" s="266" t="s">
        <v>3524</v>
      </c>
      <c r="H1374" s="266" t="s">
        <v>3525</v>
      </c>
      <c r="I1374" s="266" t="s">
        <v>7899</v>
      </c>
      <c r="J1374" s="266" t="s">
        <v>1625</v>
      </c>
      <c r="K1374" s="406" t="s">
        <v>7920</v>
      </c>
    </row>
    <row r="1375" spans="1:11" x14ac:dyDescent="0.25">
      <c r="A1375" s="270" t="s">
        <v>3526</v>
      </c>
      <c r="B1375" s="266"/>
      <c r="C1375" s="266" t="s">
        <v>7789</v>
      </c>
      <c r="D1375" s="266" t="s">
        <v>7921</v>
      </c>
      <c r="E1375" s="267" t="s">
        <v>7922</v>
      </c>
      <c r="F1375" s="267">
        <v>41092</v>
      </c>
      <c r="G1375" s="266" t="s">
        <v>3528</v>
      </c>
      <c r="H1375" s="266" t="s">
        <v>3529</v>
      </c>
      <c r="I1375" s="266" t="s">
        <v>6193</v>
      </c>
      <c r="J1375" s="266" t="s">
        <v>1095</v>
      </c>
      <c r="K1375" s="406" t="s">
        <v>7923</v>
      </c>
    </row>
    <row r="1376" spans="1:11" x14ac:dyDescent="0.25">
      <c r="A1376" s="270" t="s">
        <v>3530</v>
      </c>
      <c r="B1376" s="266"/>
      <c r="C1376" s="266" t="s">
        <v>2746</v>
      </c>
      <c r="D1376" s="266" t="s">
        <v>7924</v>
      </c>
      <c r="E1376" s="267" t="s">
        <v>7925</v>
      </c>
      <c r="F1376" s="267">
        <v>40961</v>
      </c>
      <c r="G1376" s="266" t="s">
        <v>3532</v>
      </c>
      <c r="H1376" s="266" t="s">
        <v>3533</v>
      </c>
      <c r="I1376" s="266" t="s">
        <v>7208</v>
      </c>
      <c r="J1376" s="266" t="s">
        <v>1095</v>
      </c>
      <c r="K1376" s="406" t="s">
        <v>7926</v>
      </c>
    </row>
    <row r="1377" spans="1:11" x14ac:dyDescent="0.25">
      <c r="A1377" s="270" t="s">
        <v>3534</v>
      </c>
      <c r="B1377" s="266"/>
      <c r="C1377" s="266" t="s">
        <v>3535</v>
      </c>
      <c r="D1377" s="266" t="s">
        <v>7927</v>
      </c>
      <c r="E1377" s="267" t="s">
        <v>7928</v>
      </c>
      <c r="F1377" s="267">
        <v>41000</v>
      </c>
      <c r="G1377" s="266" t="s">
        <v>3510</v>
      </c>
      <c r="H1377" s="266" t="s">
        <v>3517</v>
      </c>
      <c r="I1377" s="266" t="s">
        <v>6193</v>
      </c>
      <c r="J1377" s="266" t="s">
        <v>996</v>
      </c>
      <c r="K1377" s="406" t="s">
        <v>7929</v>
      </c>
    </row>
    <row r="1378" spans="1:11" x14ac:dyDescent="0.25">
      <c r="A1378" s="270" t="s">
        <v>3542</v>
      </c>
      <c r="B1378" s="266"/>
      <c r="C1378" s="266" t="s">
        <v>114</v>
      </c>
      <c r="D1378" s="266" t="s">
        <v>7930</v>
      </c>
      <c r="E1378" s="267" t="s">
        <v>7931</v>
      </c>
      <c r="F1378" s="267">
        <v>41074</v>
      </c>
      <c r="G1378" s="266" t="s">
        <v>3544</v>
      </c>
      <c r="H1378" s="266" t="s">
        <v>3545</v>
      </c>
      <c r="I1378" s="266" t="s">
        <v>7241</v>
      </c>
      <c r="J1378" s="266" t="s">
        <v>996</v>
      </c>
      <c r="K1378" s="406" t="s">
        <v>7932</v>
      </c>
    </row>
    <row r="1379" spans="1:11" x14ac:dyDescent="0.25">
      <c r="A1379" s="270" t="s">
        <v>3546</v>
      </c>
      <c r="B1379" s="266"/>
      <c r="C1379" s="266" t="s">
        <v>114</v>
      </c>
      <c r="D1379" s="266" t="s">
        <v>7933</v>
      </c>
      <c r="E1379" s="267" t="s">
        <v>7934</v>
      </c>
      <c r="F1379" s="267">
        <v>41215</v>
      </c>
      <c r="G1379" s="266" t="s">
        <v>896</v>
      </c>
      <c r="H1379" s="266" t="s">
        <v>3548</v>
      </c>
      <c r="I1379" s="266" t="s">
        <v>7241</v>
      </c>
      <c r="J1379" s="266" t="s">
        <v>996</v>
      </c>
      <c r="K1379" s="406" t="s">
        <v>7935</v>
      </c>
    </row>
    <row r="1380" spans="1:11" x14ac:dyDescent="0.25">
      <c r="A1380" s="270" t="s">
        <v>3550</v>
      </c>
      <c r="B1380" s="266"/>
      <c r="C1380" s="266" t="s">
        <v>1274</v>
      </c>
      <c r="D1380" s="266" t="s">
        <v>4172</v>
      </c>
      <c r="E1380" s="267" t="s">
        <v>7936</v>
      </c>
      <c r="F1380" s="267">
        <v>41290</v>
      </c>
      <c r="G1380" s="266" t="s">
        <v>3552</v>
      </c>
      <c r="H1380" s="266" t="s">
        <v>1110</v>
      </c>
      <c r="I1380" s="266" t="s">
        <v>7937</v>
      </c>
      <c r="J1380" s="266" t="s">
        <v>985</v>
      </c>
      <c r="K1380" s="406" t="s">
        <v>7938</v>
      </c>
    </row>
    <row r="1381" spans="1:11" x14ac:dyDescent="0.25">
      <c r="A1381" s="270" t="s">
        <v>3559</v>
      </c>
      <c r="B1381" s="266"/>
      <c r="C1381" s="266" t="s">
        <v>2441</v>
      </c>
      <c r="D1381" s="266" t="s">
        <v>7939</v>
      </c>
      <c r="E1381" s="267" t="s">
        <v>7940</v>
      </c>
      <c r="F1381" s="267">
        <v>41340</v>
      </c>
      <c r="G1381" s="266" t="s">
        <v>3097</v>
      </c>
      <c r="H1381" s="266" t="s">
        <v>611</v>
      </c>
      <c r="I1381" s="266" t="s">
        <v>7803</v>
      </c>
      <c r="J1381" s="266" t="s">
        <v>1095</v>
      </c>
      <c r="K1381" s="406" t="s">
        <v>7941</v>
      </c>
    </row>
    <row r="1382" spans="1:11" x14ac:dyDescent="0.25">
      <c r="A1382" s="270" t="s">
        <v>3562</v>
      </c>
      <c r="B1382" s="266"/>
      <c r="C1382" s="266" t="s">
        <v>82</v>
      </c>
      <c r="D1382" s="266" t="s">
        <v>4374</v>
      </c>
      <c r="E1382" s="267" t="s">
        <v>7942</v>
      </c>
      <c r="F1382" s="267">
        <v>41368</v>
      </c>
      <c r="G1382" s="266" t="s">
        <v>611</v>
      </c>
      <c r="H1382" s="266" t="s">
        <v>3493</v>
      </c>
      <c r="I1382" s="266" t="s">
        <v>7803</v>
      </c>
      <c r="J1382" s="266" t="s">
        <v>1625</v>
      </c>
      <c r="K1382" s="406" t="s">
        <v>7943</v>
      </c>
    </row>
    <row r="1383" spans="1:11" x14ac:dyDescent="0.25">
      <c r="A1383" s="270" t="s">
        <v>3565</v>
      </c>
      <c r="B1383" s="266"/>
      <c r="C1383" s="266" t="s">
        <v>3284</v>
      </c>
      <c r="D1383" s="266" t="s">
        <v>7944</v>
      </c>
      <c r="E1383" s="267" t="s">
        <v>7945</v>
      </c>
      <c r="F1383" s="267">
        <v>41404</v>
      </c>
      <c r="G1383" s="266" t="s">
        <v>3567</v>
      </c>
      <c r="H1383" s="266" t="s">
        <v>3568</v>
      </c>
      <c r="I1383" s="266" t="s">
        <v>6193</v>
      </c>
      <c r="J1383" s="266" t="s">
        <v>996</v>
      </c>
      <c r="K1383" s="406" t="s">
        <v>7946</v>
      </c>
    </row>
    <row r="1384" spans="1:11" x14ac:dyDescent="0.25">
      <c r="A1384" s="270" t="s">
        <v>3569</v>
      </c>
      <c r="B1384" s="266"/>
      <c r="C1384" s="266" t="s">
        <v>114</v>
      </c>
      <c r="D1384" s="266" t="s">
        <v>7947</v>
      </c>
      <c r="E1384" s="267" t="s">
        <v>7948</v>
      </c>
      <c r="F1384" s="267">
        <v>41474</v>
      </c>
      <c r="G1384" s="266" t="s">
        <v>3311</v>
      </c>
      <c r="H1384" s="266" t="s">
        <v>3571</v>
      </c>
      <c r="I1384" s="266" t="s">
        <v>6193</v>
      </c>
      <c r="J1384" s="266" t="s">
        <v>996</v>
      </c>
      <c r="K1384" s="406" t="s">
        <v>7949</v>
      </c>
    </row>
    <row r="1385" spans="1:11" x14ac:dyDescent="0.25">
      <c r="A1385" s="270" t="s">
        <v>3572</v>
      </c>
      <c r="B1385" s="266"/>
      <c r="C1385" s="266" t="s">
        <v>1623</v>
      </c>
      <c r="D1385" s="266" t="s">
        <v>4375</v>
      </c>
      <c r="E1385" s="267" t="s">
        <v>7950</v>
      </c>
      <c r="F1385" s="267">
        <v>41482</v>
      </c>
      <c r="G1385" s="266" t="s">
        <v>611</v>
      </c>
      <c r="H1385" s="266" t="s">
        <v>3493</v>
      </c>
      <c r="I1385" s="266" t="s">
        <v>7951</v>
      </c>
      <c r="J1385" s="266" t="s">
        <v>1625</v>
      </c>
      <c r="K1385" s="406" t="s">
        <v>7952</v>
      </c>
    </row>
    <row r="1386" spans="1:11" x14ac:dyDescent="0.25">
      <c r="A1386" s="270" t="s">
        <v>3575</v>
      </c>
      <c r="B1386" s="266"/>
      <c r="C1386" s="266" t="s">
        <v>1623</v>
      </c>
      <c r="D1386" s="266" t="s">
        <v>4261</v>
      </c>
      <c r="E1386" s="267" t="s">
        <v>7953</v>
      </c>
      <c r="F1386" s="267">
        <v>40876</v>
      </c>
      <c r="G1386" s="266" t="s">
        <v>240</v>
      </c>
      <c r="H1386" s="266" t="s">
        <v>3497</v>
      </c>
      <c r="I1386" s="266" t="s">
        <v>7219</v>
      </c>
      <c r="J1386" s="266" t="s">
        <v>1625</v>
      </c>
      <c r="K1386" s="406" t="s">
        <v>7954</v>
      </c>
    </row>
    <row r="1387" spans="1:11" x14ac:dyDescent="0.25">
      <c r="A1387" s="270" t="s">
        <v>3577</v>
      </c>
      <c r="B1387" s="266"/>
      <c r="C1387" s="266" t="s">
        <v>82</v>
      </c>
      <c r="D1387" s="266" t="s">
        <v>4376</v>
      </c>
      <c r="E1387" s="267" t="s">
        <v>7955</v>
      </c>
      <c r="F1387" s="267">
        <v>41505</v>
      </c>
      <c r="G1387" s="266" t="s">
        <v>274</v>
      </c>
      <c r="H1387" s="266" t="s">
        <v>3579</v>
      </c>
      <c r="I1387" s="266" t="s">
        <v>7208</v>
      </c>
      <c r="J1387" s="266" t="s">
        <v>1625</v>
      </c>
      <c r="K1387" s="406" t="s">
        <v>7956</v>
      </c>
    </row>
    <row r="1388" spans="1:11" x14ac:dyDescent="0.25">
      <c r="A1388" s="270" t="s">
        <v>3580</v>
      </c>
      <c r="B1388" s="266"/>
      <c r="C1388" s="266" t="s">
        <v>114</v>
      </c>
      <c r="D1388" s="266" t="s">
        <v>7957</v>
      </c>
      <c r="E1388" s="267" t="s">
        <v>7958</v>
      </c>
      <c r="F1388" s="267">
        <v>41543</v>
      </c>
      <c r="G1388" s="266" t="s">
        <v>487</v>
      </c>
      <c r="H1388" s="266" t="s">
        <v>3582</v>
      </c>
      <c r="I1388" s="266" t="s">
        <v>6193</v>
      </c>
      <c r="J1388" s="266" t="s">
        <v>996</v>
      </c>
      <c r="K1388" s="406" t="s">
        <v>7959</v>
      </c>
    </row>
    <row r="1389" spans="1:11" x14ac:dyDescent="0.25">
      <c r="A1389" s="270" t="s">
        <v>3583</v>
      </c>
      <c r="B1389" s="266"/>
      <c r="C1389" s="266" t="s">
        <v>2827</v>
      </c>
      <c r="D1389" s="266" t="s">
        <v>4377</v>
      </c>
      <c r="E1389" s="267" t="s">
        <v>7960</v>
      </c>
      <c r="F1389" s="267">
        <v>41582</v>
      </c>
      <c r="G1389" s="266" t="s">
        <v>3585</v>
      </c>
      <c r="H1389" s="266" t="s">
        <v>3586</v>
      </c>
      <c r="I1389" s="266" t="s">
        <v>7830</v>
      </c>
      <c r="J1389" s="266" t="s">
        <v>985</v>
      </c>
      <c r="K1389" s="406" t="s">
        <v>7961</v>
      </c>
    </row>
    <row r="1390" spans="1:11" x14ac:dyDescent="0.25">
      <c r="A1390" s="270" t="s">
        <v>3588</v>
      </c>
      <c r="B1390" s="266"/>
      <c r="C1390" s="266" t="s">
        <v>1623</v>
      </c>
      <c r="D1390" s="266" t="s">
        <v>7962</v>
      </c>
      <c r="E1390" s="267" t="s">
        <v>7963</v>
      </c>
      <c r="F1390" s="267">
        <v>41517</v>
      </c>
      <c r="G1390" s="266" t="s">
        <v>3590</v>
      </c>
      <c r="H1390" s="266" t="s">
        <v>3591</v>
      </c>
      <c r="I1390" s="266" t="s">
        <v>313</v>
      </c>
      <c r="J1390" s="266" t="s">
        <v>1625</v>
      </c>
      <c r="K1390" s="406" t="s">
        <v>7964</v>
      </c>
    </row>
    <row r="1391" spans="1:11" x14ac:dyDescent="0.25">
      <c r="A1391" s="270" t="s">
        <v>3592</v>
      </c>
      <c r="B1391" s="266"/>
      <c r="C1391" s="266" t="s">
        <v>1623</v>
      </c>
      <c r="D1391" s="266" t="s">
        <v>7965</v>
      </c>
      <c r="E1391" s="267" t="s">
        <v>7963</v>
      </c>
      <c r="F1391" s="267">
        <v>41575</v>
      </c>
      <c r="G1391" s="266" t="s">
        <v>602</v>
      </c>
      <c r="H1391" s="266" t="s">
        <v>3591</v>
      </c>
      <c r="I1391" s="266" t="s">
        <v>313</v>
      </c>
      <c r="J1391" s="266" t="s">
        <v>1625</v>
      </c>
      <c r="K1391" s="406" t="s">
        <v>7966</v>
      </c>
    </row>
    <row r="1392" spans="1:11" x14ac:dyDescent="0.25">
      <c r="A1392" s="270" t="s">
        <v>3594</v>
      </c>
      <c r="B1392" s="266"/>
      <c r="C1392" s="266" t="s">
        <v>3595</v>
      </c>
      <c r="D1392" s="266" t="s">
        <v>7967</v>
      </c>
      <c r="E1392" s="267" t="s">
        <v>7968</v>
      </c>
      <c r="F1392" s="267">
        <v>41526</v>
      </c>
      <c r="G1392" s="266" t="s">
        <v>3597</v>
      </c>
      <c r="H1392" s="266" t="s">
        <v>3598</v>
      </c>
      <c r="I1392" s="266" t="s">
        <v>7969</v>
      </c>
      <c r="J1392" s="266" t="s">
        <v>1095</v>
      </c>
      <c r="K1392" s="406" t="s">
        <v>7970</v>
      </c>
    </row>
    <row r="1393" spans="1:11" x14ac:dyDescent="0.25">
      <c r="A1393" s="270" t="s">
        <v>3600</v>
      </c>
      <c r="B1393" s="266"/>
      <c r="C1393" s="266" t="s">
        <v>1623</v>
      </c>
      <c r="D1393" s="266" t="s">
        <v>4436</v>
      </c>
      <c r="E1393" s="267" t="s">
        <v>7968</v>
      </c>
      <c r="F1393" s="267">
        <v>41486</v>
      </c>
      <c r="G1393" s="266" t="s">
        <v>3597</v>
      </c>
      <c r="H1393" s="266" t="s">
        <v>3598</v>
      </c>
      <c r="I1393" s="266" t="s">
        <v>7969</v>
      </c>
      <c r="J1393" s="266" t="s">
        <v>1625</v>
      </c>
      <c r="K1393" s="406" t="s">
        <v>7971</v>
      </c>
    </row>
    <row r="1394" spans="1:11" x14ac:dyDescent="0.25">
      <c r="A1394" s="270" t="s">
        <v>3602</v>
      </c>
      <c r="B1394" s="266"/>
      <c r="C1394" s="266" t="s">
        <v>7314</v>
      </c>
      <c r="D1394" s="266" t="s">
        <v>7972</v>
      </c>
      <c r="E1394" s="267" t="s">
        <v>7973</v>
      </c>
      <c r="F1394" s="267">
        <v>41624</v>
      </c>
      <c r="G1394" s="266" t="s">
        <v>3604</v>
      </c>
      <c r="H1394" s="266" t="s">
        <v>1110</v>
      </c>
      <c r="I1394" s="266" t="s">
        <v>7219</v>
      </c>
      <c r="J1394" s="266" t="s">
        <v>985</v>
      </c>
      <c r="K1394" s="406" t="s">
        <v>7974</v>
      </c>
    </row>
    <row r="1395" spans="1:11" x14ac:dyDescent="0.25">
      <c r="A1395" s="270" t="s">
        <v>3605</v>
      </c>
      <c r="B1395" s="266"/>
      <c r="C1395" s="266" t="s">
        <v>7314</v>
      </c>
      <c r="D1395" s="266" t="s">
        <v>7975</v>
      </c>
      <c r="E1395" s="267" t="s">
        <v>7973</v>
      </c>
      <c r="F1395" s="267">
        <v>41624</v>
      </c>
      <c r="G1395" s="266" t="s">
        <v>3607</v>
      </c>
      <c r="H1395" s="266" t="s">
        <v>1110</v>
      </c>
      <c r="I1395" s="266" t="s">
        <v>7219</v>
      </c>
      <c r="J1395" s="266" t="s">
        <v>985</v>
      </c>
      <c r="K1395" s="406" t="s">
        <v>7976</v>
      </c>
    </row>
    <row r="1396" spans="1:11" x14ac:dyDescent="0.25">
      <c r="A1396" s="270" t="s">
        <v>3608</v>
      </c>
      <c r="B1396" s="266"/>
      <c r="C1396" s="266" t="s">
        <v>1107</v>
      </c>
      <c r="D1396" s="266" t="s">
        <v>7977</v>
      </c>
      <c r="E1396" s="267" t="s">
        <v>7978</v>
      </c>
      <c r="F1396" s="267">
        <v>41730</v>
      </c>
      <c r="G1396" s="266" t="s">
        <v>3610</v>
      </c>
      <c r="H1396" s="266" t="s">
        <v>1110</v>
      </c>
      <c r="I1396" s="266" t="s">
        <v>6193</v>
      </c>
      <c r="J1396" s="266" t="s">
        <v>1095</v>
      </c>
      <c r="K1396" s="406" t="s">
        <v>7979</v>
      </c>
    </row>
    <row r="1397" spans="1:11" x14ac:dyDescent="0.25">
      <c r="A1397" s="270" t="s">
        <v>3611</v>
      </c>
      <c r="B1397" s="266"/>
      <c r="C1397" s="266" t="s">
        <v>1623</v>
      </c>
      <c r="D1397" s="266" t="s">
        <v>4262</v>
      </c>
      <c r="E1397" s="267" t="s">
        <v>7980</v>
      </c>
      <c r="F1397" s="267">
        <v>41734</v>
      </c>
      <c r="G1397" s="266" t="s">
        <v>3385</v>
      </c>
      <c r="H1397" s="266" t="s">
        <v>3613</v>
      </c>
      <c r="I1397" s="266" t="s">
        <v>7219</v>
      </c>
      <c r="J1397" s="266" t="s">
        <v>1625</v>
      </c>
      <c r="K1397" s="406" t="s">
        <v>7981</v>
      </c>
    </row>
    <row r="1398" spans="1:11" x14ac:dyDescent="0.25">
      <c r="A1398" s="270" t="s">
        <v>3614</v>
      </c>
      <c r="B1398" s="266"/>
      <c r="C1398" s="266" t="s">
        <v>1623</v>
      </c>
      <c r="D1398" s="266" t="s">
        <v>4173</v>
      </c>
      <c r="E1398" s="267" t="s">
        <v>7982</v>
      </c>
      <c r="F1398" s="267">
        <v>41746</v>
      </c>
      <c r="G1398" s="266" t="s">
        <v>3616</v>
      </c>
      <c r="H1398" s="266" t="s">
        <v>3617</v>
      </c>
      <c r="I1398" s="266" t="s">
        <v>7200</v>
      </c>
      <c r="J1398" s="266" t="s">
        <v>1625</v>
      </c>
      <c r="K1398" s="406" t="s">
        <v>7983</v>
      </c>
    </row>
    <row r="1399" spans="1:11" x14ac:dyDescent="0.25">
      <c r="A1399" s="270" t="s">
        <v>3618</v>
      </c>
      <c r="B1399" s="266"/>
      <c r="C1399" s="266" t="s">
        <v>1274</v>
      </c>
      <c r="D1399" s="266" t="s">
        <v>4263</v>
      </c>
      <c r="E1399" s="267" t="s">
        <v>7984</v>
      </c>
      <c r="F1399" s="267">
        <v>41821</v>
      </c>
      <c r="G1399" s="266" t="s">
        <v>3620</v>
      </c>
      <c r="H1399" s="266" t="s">
        <v>1110</v>
      </c>
      <c r="I1399" s="266" t="s">
        <v>7219</v>
      </c>
      <c r="J1399" s="266" t="s">
        <v>985</v>
      </c>
      <c r="K1399" s="406" t="s">
        <v>7985</v>
      </c>
    </row>
    <row r="1400" spans="1:11" x14ac:dyDescent="0.25">
      <c r="A1400" s="270" t="s">
        <v>3621</v>
      </c>
      <c r="B1400" s="266"/>
      <c r="C1400" s="266" t="s">
        <v>3622</v>
      </c>
      <c r="D1400" s="266" t="s">
        <v>4378</v>
      </c>
      <c r="E1400" s="267" t="s">
        <v>7986</v>
      </c>
      <c r="F1400" s="267">
        <v>41782</v>
      </c>
      <c r="G1400" s="266" t="s">
        <v>3624</v>
      </c>
      <c r="H1400" s="266" t="s">
        <v>3625</v>
      </c>
      <c r="I1400" s="266" t="s">
        <v>7241</v>
      </c>
      <c r="J1400" s="266" t="s">
        <v>985</v>
      </c>
      <c r="K1400" s="406" t="s">
        <v>7987</v>
      </c>
    </row>
    <row r="1401" spans="1:11" x14ac:dyDescent="0.25">
      <c r="A1401" s="270" t="s">
        <v>3626</v>
      </c>
      <c r="B1401" s="266"/>
      <c r="C1401" s="266" t="s">
        <v>1623</v>
      </c>
      <c r="D1401" s="266" t="s">
        <v>7988</v>
      </c>
      <c r="E1401" s="267" t="s">
        <v>7989</v>
      </c>
      <c r="F1401" s="267">
        <v>41851</v>
      </c>
      <c r="G1401" s="266" t="s">
        <v>3628</v>
      </c>
      <c r="H1401" s="266" t="s">
        <v>3629</v>
      </c>
      <c r="I1401" s="266" t="s">
        <v>7263</v>
      </c>
      <c r="J1401" s="266" t="s">
        <v>1625</v>
      </c>
      <c r="K1401" s="406" t="s">
        <v>7990</v>
      </c>
    </row>
    <row r="1402" spans="1:11" x14ac:dyDescent="0.25">
      <c r="A1402" s="270" t="s">
        <v>3631</v>
      </c>
      <c r="B1402" s="266"/>
      <c r="C1402" s="266" t="s">
        <v>114</v>
      </c>
      <c r="D1402" s="266" t="s">
        <v>7991</v>
      </c>
      <c r="E1402" s="267" t="s">
        <v>7992</v>
      </c>
      <c r="F1402" s="267">
        <v>41821</v>
      </c>
      <c r="G1402" s="266" t="s">
        <v>3633</v>
      </c>
      <c r="H1402" s="266" t="s">
        <v>3634</v>
      </c>
      <c r="I1402" s="266" t="s">
        <v>6193</v>
      </c>
      <c r="J1402" s="266" t="s">
        <v>996</v>
      </c>
      <c r="K1402" s="406" t="s">
        <v>7993</v>
      </c>
    </row>
    <row r="1403" spans="1:11" x14ac:dyDescent="0.25">
      <c r="A1403" s="270" t="s">
        <v>3635</v>
      </c>
      <c r="B1403" s="266"/>
      <c r="C1403" s="266" t="s">
        <v>1623</v>
      </c>
      <c r="D1403" s="266" t="s">
        <v>4174</v>
      </c>
      <c r="E1403" s="267" t="s">
        <v>7994</v>
      </c>
      <c r="F1403" s="267">
        <v>41926</v>
      </c>
      <c r="G1403" s="266" t="s">
        <v>3637</v>
      </c>
      <c r="H1403" s="266" t="s">
        <v>3638</v>
      </c>
      <c r="I1403" s="266" t="s">
        <v>7995</v>
      </c>
      <c r="J1403" s="266" t="s">
        <v>1625</v>
      </c>
      <c r="K1403" s="406" t="s">
        <v>7996</v>
      </c>
    </row>
    <row r="1404" spans="1:11" x14ac:dyDescent="0.25">
      <c r="A1404" s="270" t="s">
        <v>3640</v>
      </c>
      <c r="B1404" s="266"/>
      <c r="C1404" s="266" t="s">
        <v>1107</v>
      </c>
      <c r="D1404" s="266" t="s">
        <v>7997</v>
      </c>
      <c r="E1404" s="267" t="s">
        <v>7998</v>
      </c>
      <c r="F1404" s="267">
        <v>41926</v>
      </c>
      <c r="G1404" s="266" t="s">
        <v>3642</v>
      </c>
      <c r="H1404" s="266" t="s">
        <v>1110</v>
      </c>
      <c r="I1404" s="266" t="s">
        <v>6193</v>
      </c>
      <c r="J1404" s="266" t="s">
        <v>1095</v>
      </c>
      <c r="K1404" s="406" t="s">
        <v>7999</v>
      </c>
    </row>
    <row r="1405" spans="1:11" x14ac:dyDescent="0.25">
      <c r="A1405" s="270" t="s">
        <v>3644</v>
      </c>
      <c r="B1405" s="266"/>
      <c r="C1405" s="266" t="s">
        <v>114</v>
      </c>
      <c r="D1405" s="266" t="s">
        <v>8000</v>
      </c>
      <c r="E1405" s="267" t="s">
        <v>8001</v>
      </c>
      <c r="F1405" s="267">
        <v>41988</v>
      </c>
      <c r="G1405" s="266" t="s">
        <v>8002</v>
      </c>
      <c r="H1405" s="266" t="s">
        <v>3647</v>
      </c>
      <c r="I1405" s="266" t="s">
        <v>6193</v>
      </c>
      <c r="J1405" s="266" t="s">
        <v>996</v>
      </c>
      <c r="K1405" s="406" t="s">
        <v>8003</v>
      </c>
    </row>
    <row r="1406" spans="1:11" x14ac:dyDescent="0.25">
      <c r="A1406" s="270" t="s">
        <v>3648</v>
      </c>
      <c r="B1406" s="266"/>
      <c r="C1406" s="266" t="s">
        <v>1623</v>
      </c>
      <c r="D1406" s="266" t="s">
        <v>4264</v>
      </c>
      <c r="E1406" s="267" t="s">
        <v>8004</v>
      </c>
      <c r="F1406" s="267">
        <v>42061</v>
      </c>
      <c r="G1406" s="266" t="s">
        <v>3650</v>
      </c>
      <c r="H1406" s="266" t="s">
        <v>3651</v>
      </c>
      <c r="I1406" s="266" t="s">
        <v>7219</v>
      </c>
      <c r="J1406" s="266" t="s">
        <v>1625</v>
      </c>
      <c r="K1406" s="406" t="s">
        <v>8005</v>
      </c>
    </row>
    <row r="1407" spans="1:11" x14ac:dyDescent="0.25">
      <c r="A1407" s="270" t="s">
        <v>3652</v>
      </c>
      <c r="B1407" s="266"/>
      <c r="C1407" s="266" t="s">
        <v>2902</v>
      </c>
      <c r="D1407" s="266" t="s">
        <v>8006</v>
      </c>
      <c r="E1407" s="267" t="s">
        <v>8007</v>
      </c>
      <c r="F1407" s="267">
        <v>42111</v>
      </c>
      <c r="G1407" s="266" t="s">
        <v>278</v>
      </c>
      <c r="H1407" s="266" t="s">
        <v>1110</v>
      </c>
      <c r="I1407" s="266" t="s">
        <v>488</v>
      </c>
      <c r="J1407" s="266" t="s">
        <v>996</v>
      </c>
      <c r="K1407" s="406" t="s">
        <v>8008</v>
      </c>
    </row>
    <row r="1408" spans="1:11" x14ac:dyDescent="0.25">
      <c r="A1408" s="270" t="s">
        <v>3654</v>
      </c>
      <c r="B1408" s="266"/>
      <c r="C1408" s="266" t="s">
        <v>114</v>
      </c>
      <c r="D1408" s="266" t="s">
        <v>8009</v>
      </c>
      <c r="E1408" s="267" t="s">
        <v>8010</v>
      </c>
      <c r="F1408" s="267">
        <v>42129</v>
      </c>
      <c r="G1408" s="266" t="s">
        <v>3656</v>
      </c>
      <c r="H1408" s="266" t="s">
        <v>3657</v>
      </c>
      <c r="I1408" s="266" t="s">
        <v>6193</v>
      </c>
      <c r="J1408" s="266" t="s">
        <v>996</v>
      </c>
      <c r="K1408" s="406" t="s">
        <v>8011</v>
      </c>
    </row>
    <row r="1409" spans="1:11" x14ac:dyDescent="0.25">
      <c r="A1409" s="270" t="s">
        <v>3658</v>
      </c>
      <c r="B1409" s="266"/>
      <c r="C1409" s="266" t="s">
        <v>114</v>
      </c>
      <c r="D1409" s="266" t="s">
        <v>8012</v>
      </c>
      <c r="E1409" s="267" t="s">
        <v>8013</v>
      </c>
      <c r="F1409" s="267">
        <v>42142</v>
      </c>
      <c r="G1409" s="266" t="s">
        <v>3376</v>
      </c>
      <c r="H1409" s="266" t="s">
        <v>3660</v>
      </c>
      <c r="I1409" s="266" t="s">
        <v>6193</v>
      </c>
      <c r="J1409" s="266" t="s">
        <v>996</v>
      </c>
      <c r="K1409" s="406" t="s">
        <v>8014</v>
      </c>
    </row>
    <row r="1410" spans="1:11" x14ac:dyDescent="0.25">
      <c r="A1410" s="270" t="s">
        <v>3661</v>
      </c>
      <c r="B1410" s="266"/>
      <c r="C1410" s="266" t="s">
        <v>3284</v>
      </c>
      <c r="D1410" s="266" t="s">
        <v>8015</v>
      </c>
      <c r="E1410" s="267" t="s">
        <v>8016</v>
      </c>
      <c r="F1410" s="267">
        <v>42199</v>
      </c>
      <c r="G1410" s="266" t="s">
        <v>8017</v>
      </c>
      <c r="H1410" s="266" t="s">
        <v>8018</v>
      </c>
      <c r="I1410" s="266" t="s">
        <v>6193</v>
      </c>
      <c r="J1410" s="266" t="s">
        <v>996</v>
      </c>
      <c r="K1410" s="406" t="s">
        <v>8019</v>
      </c>
    </row>
    <row r="1411" spans="1:11" x14ac:dyDescent="0.25">
      <c r="A1411" s="270" t="s">
        <v>3665</v>
      </c>
      <c r="B1411" s="266"/>
      <c r="C1411" s="266" t="s">
        <v>3284</v>
      </c>
      <c r="D1411" s="266" t="s">
        <v>8020</v>
      </c>
      <c r="E1411" s="267" t="s">
        <v>8016</v>
      </c>
      <c r="F1411" s="267">
        <v>42199</v>
      </c>
      <c r="G1411" s="266" t="s">
        <v>8021</v>
      </c>
      <c r="H1411" s="266" t="s">
        <v>8022</v>
      </c>
      <c r="I1411" s="266" t="s">
        <v>6193</v>
      </c>
      <c r="J1411" s="266" t="s">
        <v>996</v>
      </c>
      <c r="K1411" s="406" t="s">
        <v>8023</v>
      </c>
    </row>
    <row r="1412" spans="1:11" x14ac:dyDescent="0.25">
      <c r="A1412" s="270" t="s">
        <v>3669</v>
      </c>
      <c r="B1412" s="266"/>
      <c r="C1412" s="266" t="s">
        <v>114</v>
      </c>
      <c r="D1412" s="266" t="s">
        <v>8024</v>
      </c>
      <c r="E1412" s="267" t="s">
        <v>8025</v>
      </c>
      <c r="F1412" s="267">
        <v>41821</v>
      </c>
      <c r="G1412" s="266" t="s">
        <v>3671</v>
      </c>
      <c r="H1412" s="266" t="s">
        <v>3672</v>
      </c>
      <c r="I1412" s="266" t="s">
        <v>6193</v>
      </c>
      <c r="J1412" s="266" t="s">
        <v>996</v>
      </c>
      <c r="K1412" s="406" t="s">
        <v>8026</v>
      </c>
    </row>
    <row r="1413" spans="1:11" x14ac:dyDescent="0.25">
      <c r="A1413" s="270" t="s">
        <v>3673</v>
      </c>
      <c r="B1413" s="266"/>
      <c r="C1413" s="266" t="s">
        <v>114</v>
      </c>
      <c r="D1413" s="266" t="s">
        <v>8027</v>
      </c>
      <c r="E1413" s="267" t="s">
        <v>8025</v>
      </c>
      <c r="F1413" s="267">
        <v>41944</v>
      </c>
      <c r="G1413" s="266" t="s">
        <v>3675</v>
      </c>
      <c r="H1413" s="266" t="s">
        <v>3672</v>
      </c>
      <c r="I1413" s="266" t="s">
        <v>6193</v>
      </c>
      <c r="J1413" s="266" t="s">
        <v>996</v>
      </c>
      <c r="K1413" s="406" t="s">
        <v>8028</v>
      </c>
    </row>
    <row r="1414" spans="1:11" x14ac:dyDescent="0.25">
      <c r="A1414" s="270" t="s">
        <v>3676</v>
      </c>
      <c r="B1414" s="266"/>
      <c r="C1414" s="266" t="s">
        <v>1623</v>
      </c>
      <c r="D1414" s="266" t="s">
        <v>4265</v>
      </c>
      <c r="E1414" s="267" t="s">
        <v>8029</v>
      </c>
      <c r="F1414" s="267">
        <v>42242</v>
      </c>
      <c r="G1414" s="266" t="s">
        <v>3678</v>
      </c>
      <c r="H1414" s="266" t="s">
        <v>3679</v>
      </c>
      <c r="I1414" s="266" t="s">
        <v>8030</v>
      </c>
      <c r="J1414" s="266" t="s">
        <v>1625</v>
      </c>
      <c r="K1414" s="406" t="s">
        <v>8031</v>
      </c>
    </row>
    <row r="1415" spans="1:11" x14ac:dyDescent="0.25">
      <c r="A1415" s="270" t="s">
        <v>3681</v>
      </c>
      <c r="B1415" s="266"/>
      <c r="C1415" s="266" t="s">
        <v>2441</v>
      </c>
      <c r="D1415" s="266" t="s">
        <v>8032</v>
      </c>
      <c r="E1415" s="267" t="s">
        <v>8033</v>
      </c>
      <c r="F1415" s="267">
        <v>42199</v>
      </c>
      <c r="G1415" s="266" t="s">
        <v>3683</v>
      </c>
      <c r="H1415" s="266" t="s">
        <v>8034</v>
      </c>
      <c r="I1415" s="266" t="s">
        <v>6193</v>
      </c>
      <c r="J1415" s="266" t="s">
        <v>1095</v>
      </c>
      <c r="K1415" s="406" t="s">
        <v>8035</v>
      </c>
    </row>
    <row r="1416" spans="1:11" x14ac:dyDescent="0.25">
      <c r="A1416" s="270" t="s">
        <v>3685</v>
      </c>
      <c r="B1416" s="266"/>
      <c r="C1416" s="266" t="s">
        <v>2441</v>
      </c>
      <c r="D1416" s="266" t="s">
        <v>8036</v>
      </c>
      <c r="E1416" s="267" t="s">
        <v>8033</v>
      </c>
      <c r="F1416" s="267">
        <v>42199</v>
      </c>
      <c r="G1416" s="266" t="s">
        <v>3683</v>
      </c>
      <c r="H1416" s="266" t="s">
        <v>8037</v>
      </c>
      <c r="I1416" s="266" t="s">
        <v>6193</v>
      </c>
      <c r="J1416" s="266" t="s">
        <v>1095</v>
      </c>
      <c r="K1416" s="406" t="s">
        <v>8038</v>
      </c>
    </row>
    <row r="1417" spans="1:11" x14ac:dyDescent="0.25">
      <c r="A1417" s="270" t="s">
        <v>3688</v>
      </c>
      <c r="B1417" s="266"/>
      <c r="C1417" s="266" t="s">
        <v>1623</v>
      </c>
      <c r="D1417" s="266" t="s">
        <v>4266</v>
      </c>
      <c r="E1417" s="267" t="s">
        <v>8039</v>
      </c>
      <c r="F1417" s="267">
        <v>42305</v>
      </c>
      <c r="G1417" s="266" t="s">
        <v>3521</v>
      </c>
      <c r="H1417" s="266" t="s">
        <v>3690</v>
      </c>
      <c r="I1417" s="266" t="s">
        <v>7219</v>
      </c>
      <c r="J1417" s="266" t="s">
        <v>1625</v>
      </c>
      <c r="K1417" s="406" t="s">
        <v>8040</v>
      </c>
    </row>
    <row r="1418" spans="1:11" x14ac:dyDescent="0.25">
      <c r="A1418" s="270" t="s">
        <v>3691</v>
      </c>
      <c r="B1418" s="266"/>
      <c r="C1418" s="266" t="s">
        <v>3284</v>
      </c>
      <c r="D1418" s="266" t="s">
        <v>8041</v>
      </c>
      <c r="E1418" s="267" t="s">
        <v>8042</v>
      </c>
      <c r="F1418" s="267">
        <v>42255</v>
      </c>
      <c r="G1418" s="266" t="s">
        <v>3693</v>
      </c>
      <c r="H1418" s="266" t="s">
        <v>8043</v>
      </c>
      <c r="I1418" s="266" t="s">
        <v>8030</v>
      </c>
      <c r="J1418" s="266" t="s">
        <v>996</v>
      </c>
      <c r="K1418" s="406" t="s">
        <v>8044</v>
      </c>
    </row>
    <row r="1419" spans="1:11" x14ac:dyDescent="0.25">
      <c r="A1419" s="270" t="s">
        <v>3695</v>
      </c>
      <c r="B1419" s="266"/>
      <c r="C1419" s="266" t="s">
        <v>2506</v>
      </c>
      <c r="D1419" s="266" t="s">
        <v>4379</v>
      </c>
      <c r="E1419" s="267" t="s">
        <v>8045</v>
      </c>
      <c r="F1419" s="267">
        <v>42547</v>
      </c>
      <c r="G1419" s="266" t="s">
        <v>3697</v>
      </c>
      <c r="H1419" s="266" t="s">
        <v>3698</v>
      </c>
      <c r="I1419" s="266" t="s">
        <v>7835</v>
      </c>
      <c r="J1419" s="266" t="s">
        <v>985</v>
      </c>
      <c r="K1419" s="406" t="s">
        <v>8046</v>
      </c>
    </row>
    <row r="1420" spans="1:11" x14ac:dyDescent="0.25">
      <c r="A1420" s="270" t="s">
        <v>3700</v>
      </c>
      <c r="B1420" s="266"/>
      <c r="C1420" s="266" t="s">
        <v>82</v>
      </c>
      <c r="D1420" s="266" t="s">
        <v>4175</v>
      </c>
      <c r="E1420" s="267" t="s">
        <v>8047</v>
      </c>
      <c r="F1420" s="267">
        <v>42370</v>
      </c>
      <c r="G1420" s="266" t="s">
        <v>3567</v>
      </c>
      <c r="H1420" s="266" t="s">
        <v>3702</v>
      </c>
      <c r="I1420" s="266" t="s">
        <v>6860</v>
      </c>
      <c r="J1420" s="266" t="s">
        <v>1625</v>
      </c>
      <c r="K1420" s="406" t="s">
        <v>8048</v>
      </c>
    </row>
    <row r="1421" spans="1:11" x14ac:dyDescent="0.25">
      <c r="A1421" s="270" t="s">
        <v>3704</v>
      </c>
      <c r="B1421" s="266"/>
      <c r="C1421" s="266" t="s">
        <v>114</v>
      </c>
      <c r="D1421" s="266" t="s">
        <v>4445</v>
      </c>
      <c r="E1421" s="267" t="s">
        <v>8047</v>
      </c>
      <c r="F1421" s="267">
        <v>42370</v>
      </c>
      <c r="G1421" s="266" t="s">
        <v>3567</v>
      </c>
      <c r="H1421" s="266" t="s">
        <v>3706</v>
      </c>
      <c r="I1421" s="266" t="s">
        <v>6193</v>
      </c>
      <c r="J1421" s="266" t="s">
        <v>996</v>
      </c>
      <c r="K1421" s="406" t="s">
        <v>8049</v>
      </c>
    </row>
    <row r="1422" spans="1:11" x14ac:dyDescent="0.25">
      <c r="A1422" s="270" t="s">
        <v>3707</v>
      </c>
      <c r="B1422" s="266"/>
      <c r="C1422" s="266" t="s">
        <v>1317</v>
      </c>
      <c r="D1422" s="266" t="s">
        <v>8050</v>
      </c>
      <c r="E1422" s="267" t="s">
        <v>8051</v>
      </c>
      <c r="F1422" s="267">
        <v>36389</v>
      </c>
      <c r="G1422" s="266" t="s">
        <v>3709</v>
      </c>
      <c r="H1422" s="266" t="s">
        <v>1110</v>
      </c>
      <c r="I1422" s="266" t="s">
        <v>8052</v>
      </c>
      <c r="J1422" s="266" t="s">
        <v>1095</v>
      </c>
      <c r="K1422" s="406" t="s">
        <v>8053</v>
      </c>
    </row>
    <row r="1423" spans="1:11" x14ac:dyDescent="0.25">
      <c r="A1423" s="270" t="s">
        <v>3716</v>
      </c>
      <c r="B1423" s="266">
        <v>44</v>
      </c>
      <c r="C1423" s="266" t="s">
        <v>114</v>
      </c>
      <c r="D1423" s="266" t="s">
        <v>4446</v>
      </c>
      <c r="E1423" s="267" t="s">
        <v>8054</v>
      </c>
      <c r="F1423" s="267">
        <v>42673</v>
      </c>
      <c r="G1423" s="266" t="s">
        <v>3453</v>
      </c>
      <c r="H1423" s="266" t="s">
        <v>3454</v>
      </c>
      <c r="I1423" s="266" t="s">
        <v>6193</v>
      </c>
      <c r="J1423" s="266" t="s">
        <v>996</v>
      </c>
      <c r="K1423" s="406" t="s">
        <v>8055</v>
      </c>
    </row>
    <row r="1424" spans="1:11" x14ac:dyDescent="0.25">
      <c r="A1424" s="270" t="s">
        <v>3733</v>
      </c>
      <c r="B1424" s="266"/>
      <c r="C1424" s="266" t="s">
        <v>1623</v>
      </c>
      <c r="D1424" s="266" t="s">
        <v>4176</v>
      </c>
      <c r="E1424" s="267" t="s">
        <v>8056</v>
      </c>
      <c r="F1424" s="267">
        <v>42985</v>
      </c>
      <c r="G1424" s="266" t="s">
        <v>520</v>
      </c>
      <c r="H1424" s="266" t="s">
        <v>3735</v>
      </c>
      <c r="I1424" s="266" t="s">
        <v>6193</v>
      </c>
      <c r="J1424" s="266" t="s">
        <v>1625</v>
      </c>
      <c r="K1424" s="406" t="s">
        <v>8057</v>
      </c>
    </row>
    <row r="1425" spans="1:11" x14ac:dyDescent="0.25">
      <c r="A1425" s="270" t="s">
        <v>3736</v>
      </c>
      <c r="B1425" s="266"/>
      <c r="C1425" s="266" t="s">
        <v>2437</v>
      </c>
      <c r="D1425" s="266" t="s">
        <v>5750</v>
      </c>
      <c r="E1425" s="267" t="s">
        <v>8058</v>
      </c>
      <c r="F1425" s="267">
        <v>43070</v>
      </c>
      <c r="G1425" s="266" t="s">
        <v>3706</v>
      </c>
      <c r="H1425" s="266" t="s">
        <v>3738</v>
      </c>
      <c r="I1425" s="266" t="s">
        <v>6193</v>
      </c>
      <c r="J1425" s="266" t="s">
        <v>985</v>
      </c>
      <c r="K1425" s="406" t="s">
        <v>8059</v>
      </c>
    </row>
    <row r="1426" spans="1:11" x14ac:dyDescent="0.25">
      <c r="A1426" s="270" t="s">
        <v>3743</v>
      </c>
      <c r="B1426" s="266"/>
      <c r="C1426" s="266" t="s">
        <v>1107</v>
      </c>
      <c r="D1426" s="266" t="s">
        <v>8060</v>
      </c>
      <c r="E1426" s="267" t="s">
        <v>8061</v>
      </c>
      <c r="F1426" s="267">
        <v>43249</v>
      </c>
      <c r="G1426" s="266" t="s">
        <v>3745</v>
      </c>
      <c r="H1426" s="266" t="s">
        <v>1110</v>
      </c>
      <c r="I1426" s="266" t="s">
        <v>6193</v>
      </c>
      <c r="J1426" s="266" t="s">
        <v>1095</v>
      </c>
      <c r="K1426" s="406" t="s">
        <v>8062</v>
      </c>
    </row>
    <row r="1427" spans="1:11" x14ac:dyDescent="0.25">
      <c r="A1427" s="270" t="s">
        <v>3746</v>
      </c>
      <c r="B1427" s="266">
        <v>48</v>
      </c>
      <c r="C1427" s="266" t="s">
        <v>3284</v>
      </c>
      <c r="D1427" s="266" t="s">
        <v>5752</v>
      </c>
      <c r="E1427" s="267" t="s">
        <v>8063</v>
      </c>
      <c r="F1427" s="267">
        <v>43314</v>
      </c>
      <c r="G1427" s="266" t="s">
        <v>8064</v>
      </c>
      <c r="H1427" s="266" t="s">
        <v>1110</v>
      </c>
      <c r="I1427" s="266" t="s">
        <v>6193</v>
      </c>
      <c r="J1427" s="266" t="s">
        <v>996</v>
      </c>
      <c r="K1427" s="406" t="s">
        <v>8065</v>
      </c>
    </row>
    <row r="1428" spans="1:11" x14ac:dyDescent="0.25">
      <c r="A1428" s="270" t="s">
        <v>3749</v>
      </c>
      <c r="B1428" s="266"/>
      <c r="C1428" s="266" t="s">
        <v>114</v>
      </c>
      <c r="D1428" s="266" t="s">
        <v>8066</v>
      </c>
      <c r="E1428" s="267" t="s">
        <v>8067</v>
      </c>
      <c r="F1428" s="267">
        <v>43291</v>
      </c>
      <c r="G1428" s="266" t="s">
        <v>3751</v>
      </c>
      <c r="H1428" s="266" t="s">
        <v>3752</v>
      </c>
      <c r="I1428" s="266" t="s">
        <v>7787</v>
      </c>
      <c r="J1428" s="266" t="s">
        <v>996</v>
      </c>
      <c r="K1428" s="406" t="s">
        <v>8068</v>
      </c>
    </row>
    <row r="1429" spans="1:11" x14ac:dyDescent="0.25">
      <c r="A1429" s="270" t="s">
        <v>3760</v>
      </c>
      <c r="B1429" s="266"/>
      <c r="C1429" s="266" t="s">
        <v>1623</v>
      </c>
      <c r="D1429" s="266" t="s">
        <v>8069</v>
      </c>
      <c r="E1429" s="267" t="s">
        <v>8070</v>
      </c>
      <c r="F1429" s="267">
        <v>43281</v>
      </c>
      <c r="G1429" s="266" t="s">
        <v>3762</v>
      </c>
      <c r="H1429" s="266" t="s">
        <v>3763</v>
      </c>
      <c r="I1429" s="266" t="s">
        <v>6193</v>
      </c>
      <c r="J1429" s="266" t="s">
        <v>1625</v>
      </c>
      <c r="K1429" s="406" t="s">
        <v>8071</v>
      </c>
    </row>
    <row r="1430" spans="1:11" x14ac:dyDescent="0.25">
      <c r="A1430" s="270" t="s">
        <v>3764</v>
      </c>
      <c r="B1430" s="266"/>
      <c r="C1430" s="266" t="s">
        <v>1623</v>
      </c>
      <c r="D1430" s="266" t="s">
        <v>4267</v>
      </c>
      <c r="E1430" s="267" t="s">
        <v>8072</v>
      </c>
      <c r="F1430" s="267">
        <v>43423</v>
      </c>
      <c r="G1430" s="266" t="s">
        <v>438</v>
      </c>
      <c r="H1430" s="266" t="s">
        <v>263</v>
      </c>
      <c r="I1430" s="266" t="s">
        <v>7219</v>
      </c>
      <c r="J1430" s="266" t="s">
        <v>1625</v>
      </c>
      <c r="K1430" s="406" t="s">
        <v>8073</v>
      </c>
    </row>
    <row r="1431" spans="1:11" x14ac:dyDescent="0.25">
      <c r="A1431" s="270" t="s">
        <v>3766</v>
      </c>
      <c r="B1431" s="266"/>
      <c r="C1431" s="266" t="s">
        <v>114</v>
      </c>
      <c r="D1431" s="266" t="s">
        <v>4447</v>
      </c>
      <c r="E1431" s="267" t="s">
        <v>8074</v>
      </c>
      <c r="F1431" s="267">
        <v>43564</v>
      </c>
      <c r="G1431" s="266" t="s">
        <v>3763</v>
      </c>
      <c r="H1431" s="266" t="s">
        <v>3769</v>
      </c>
      <c r="I1431" s="266" t="s">
        <v>6193</v>
      </c>
      <c r="J1431" s="266" t="s">
        <v>996</v>
      </c>
      <c r="K1431" s="406" t="s">
        <v>8075</v>
      </c>
    </row>
    <row r="1432" spans="1:11" x14ac:dyDescent="0.25">
      <c r="A1432" s="270" t="s">
        <v>3779</v>
      </c>
      <c r="B1432" s="266"/>
      <c r="C1432" s="266" t="s">
        <v>1107</v>
      </c>
      <c r="D1432" s="266" t="s">
        <v>8076</v>
      </c>
      <c r="E1432" s="267" t="s">
        <v>8077</v>
      </c>
      <c r="F1432" s="267">
        <v>44050</v>
      </c>
      <c r="G1432" s="266" t="s">
        <v>3781</v>
      </c>
      <c r="H1432" s="266" t="s">
        <v>1110</v>
      </c>
      <c r="I1432" s="266" t="s">
        <v>6193</v>
      </c>
      <c r="J1432" s="266" t="s">
        <v>1095</v>
      </c>
      <c r="K1432" s="406" t="s">
        <v>8078</v>
      </c>
    </row>
    <row r="1433" spans="1:11" x14ac:dyDescent="0.25">
      <c r="A1433" s="270" t="s">
        <v>3782</v>
      </c>
      <c r="B1433" s="266"/>
      <c r="C1433" s="266" t="s">
        <v>3783</v>
      </c>
      <c r="D1433" s="266" t="s">
        <v>8079</v>
      </c>
      <c r="E1433" s="267" t="s">
        <v>8077</v>
      </c>
      <c r="F1433" s="267">
        <v>44060</v>
      </c>
      <c r="G1433" s="266" t="s">
        <v>3376</v>
      </c>
      <c r="H1433" s="266" t="s">
        <v>3785</v>
      </c>
      <c r="I1433" s="266" t="s">
        <v>6193</v>
      </c>
      <c r="J1433" s="266" t="s">
        <v>1095</v>
      </c>
      <c r="K1433" s="406" t="s">
        <v>8080</v>
      </c>
    </row>
    <row r="1434" spans="1:11" x14ac:dyDescent="0.25">
      <c r="A1434" s="270" t="s">
        <v>3775</v>
      </c>
      <c r="B1434" s="266">
        <v>50</v>
      </c>
      <c r="C1434" s="266" t="s">
        <v>114</v>
      </c>
      <c r="D1434" s="266" t="s">
        <v>4448</v>
      </c>
      <c r="E1434" s="267" t="s">
        <v>8077</v>
      </c>
      <c r="F1434" s="267">
        <v>43831</v>
      </c>
      <c r="G1434" s="266" t="s">
        <v>8081</v>
      </c>
      <c r="H1434" s="266" t="s">
        <v>3778</v>
      </c>
      <c r="I1434" s="266" t="s">
        <v>6193</v>
      </c>
      <c r="J1434" s="266" t="s">
        <v>996</v>
      </c>
      <c r="K1434" s="406" t="s">
        <v>8082</v>
      </c>
    </row>
    <row r="1435" spans="1:11" x14ac:dyDescent="0.25">
      <c r="A1435" s="270" t="s">
        <v>3786</v>
      </c>
      <c r="B1435" s="266"/>
      <c r="C1435" s="266" t="s">
        <v>82</v>
      </c>
      <c r="D1435" s="266" t="s">
        <v>4380</v>
      </c>
      <c r="E1435" s="267" t="s">
        <v>8083</v>
      </c>
      <c r="F1435" s="267">
        <v>44071</v>
      </c>
      <c r="G1435" s="266" t="s">
        <v>3788</v>
      </c>
      <c r="H1435" s="266" t="s">
        <v>3789</v>
      </c>
      <c r="I1435" s="266" t="s">
        <v>8084</v>
      </c>
      <c r="J1435" s="266" t="s">
        <v>1625</v>
      </c>
      <c r="K1435" s="406" t="s">
        <v>8085</v>
      </c>
    </row>
    <row r="1436" spans="1:11" x14ac:dyDescent="0.25">
      <c r="A1436" s="270" t="s">
        <v>3791</v>
      </c>
      <c r="B1436" s="266">
        <v>51</v>
      </c>
      <c r="C1436" s="266" t="s">
        <v>114</v>
      </c>
      <c r="D1436" s="266" t="s">
        <v>4449</v>
      </c>
      <c r="E1436" s="267" t="s">
        <v>8086</v>
      </c>
      <c r="F1436" s="267">
        <v>44105</v>
      </c>
      <c r="G1436" s="266" t="s">
        <v>8087</v>
      </c>
      <c r="H1436" s="266" t="s">
        <v>3794</v>
      </c>
      <c r="I1436" s="266" t="s">
        <v>6193</v>
      </c>
      <c r="J1436" s="266" t="s">
        <v>996</v>
      </c>
      <c r="K1436" s="406" t="s">
        <v>8088</v>
      </c>
    </row>
    <row r="1437" spans="1:11" x14ac:dyDescent="0.25">
      <c r="A1437" s="270" t="s">
        <v>3796</v>
      </c>
      <c r="B1437" s="266"/>
      <c r="C1437" s="266" t="s">
        <v>82</v>
      </c>
      <c r="D1437" s="266" t="s">
        <v>4268</v>
      </c>
      <c r="E1437" s="267" t="s">
        <v>8089</v>
      </c>
      <c r="F1437" s="267">
        <v>44126</v>
      </c>
      <c r="G1437" s="266" t="s">
        <v>3798</v>
      </c>
      <c r="H1437" s="266" t="s">
        <v>3799</v>
      </c>
      <c r="I1437" s="266" t="s">
        <v>7219</v>
      </c>
      <c r="J1437" s="266" t="s">
        <v>1625</v>
      </c>
      <c r="K1437" s="406" t="s">
        <v>8090</v>
      </c>
    </row>
    <row r="1438" spans="1:11" x14ac:dyDescent="0.25">
      <c r="A1438" s="270" t="s">
        <v>3800</v>
      </c>
      <c r="B1438" s="266"/>
      <c r="C1438" s="266" t="s">
        <v>1623</v>
      </c>
      <c r="D1438" s="266" t="s">
        <v>5762</v>
      </c>
      <c r="E1438" s="267" t="s">
        <v>8091</v>
      </c>
      <c r="F1438" s="267">
        <v>44136</v>
      </c>
      <c r="G1438" s="266" t="s">
        <v>3802</v>
      </c>
      <c r="H1438" s="266" t="s">
        <v>3803</v>
      </c>
      <c r="I1438" s="266" t="s">
        <v>6193</v>
      </c>
      <c r="J1438" s="266" t="s">
        <v>1625</v>
      </c>
      <c r="K1438" s="406" t="s">
        <v>8092</v>
      </c>
    </row>
    <row r="1439" spans="1:11" x14ac:dyDescent="0.25">
      <c r="A1439" s="270" t="s">
        <v>3811</v>
      </c>
      <c r="B1439" s="266"/>
      <c r="C1439" s="266" t="s">
        <v>8093</v>
      </c>
      <c r="D1439" s="266" t="s">
        <v>5764</v>
      </c>
      <c r="E1439" s="267" t="s">
        <v>8094</v>
      </c>
      <c r="F1439" s="267">
        <v>44182</v>
      </c>
      <c r="G1439" s="266" t="s">
        <v>3672</v>
      </c>
      <c r="H1439" s="266" t="s">
        <v>3814</v>
      </c>
      <c r="I1439" s="266" t="s">
        <v>6193</v>
      </c>
      <c r="J1439" s="266" t="s">
        <v>985</v>
      </c>
      <c r="K1439" s="406" t="s">
        <v>8095</v>
      </c>
    </row>
    <row r="1440" spans="1:11" x14ac:dyDescent="0.25">
      <c r="A1440" s="270" t="s">
        <v>3816</v>
      </c>
      <c r="B1440" s="266"/>
      <c r="C1440" s="266" t="s">
        <v>1623</v>
      </c>
      <c r="D1440" s="266" t="s">
        <v>4177</v>
      </c>
      <c r="E1440" s="267" t="s">
        <v>8096</v>
      </c>
      <c r="F1440" s="267">
        <v>44348</v>
      </c>
      <c r="G1440" s="266" t="s">
        <v>3818</v>
      </c>
      <c r="H1440" s="266" t="s">
        <v>3819</v>
      </c>
      <c r="I1440" s="266" t="s">
        <v>7200</v>
      </c>
      <c r="J1440" s="266" t="s">
        <v>1625</v>
      </c>
      <c r="K1440" s="406" t="s">
        <v>8097</v>
      </c>
    </row>
    <row r="1441" spans="1:11" x14ac:dyDescent="0.25">
      <c r="A1441" s="270" t="s">
        <v>3820</v>
      </c>
      <c r="B1441" s="266"/>
      <c r="C1441" s="266" t="s">
        <v>993</v>
      </c>
      <c r="D1441" s="266" t="s">
        <v>8098</v>
      </c>
      <c r="E1441" s="267" t="s">
        <v>8099</v>
      </c>
      <c r="F1441" s="267">
        <v>44398</v>
      </c>
      <c r="G1441" s="266" t="s">
        <v>3822</v>
      </c>
      <c r="H1441" s="266" t="s">
        <v>3823</v>
      </c>
      <c r="I1441" s="266" t="s">
        <v>7423</v>
      </c>
      <c r="J1441" s="266" t="s">
        <v>996</v>
      </c>
      <c r="K1441" s="406" t="s">
        <v>8100</v>
      </c>
    </row>
    <row r="1442" spans="1:11" x14ac:dyDescent="0.25">
      <c r="A1442" s="270" t="s">
        <v>3824</v>
      </c>
      <c r="B1442" s="266"/>
      <c r="C1442" s="266" t="s">
        <v>2441</v>
      </c>
      <c r="D1442" s="266" t="s">
        <v>8101</v>
      </c>
      <c r="E1442" s="267" t="s">
        <v>8102</v>
      </c>
      <c r="F1442" s="267">
        <v>44044</v>
      </c>
      <c r="G1442" s="266" t="s">
        <v>3826</v>
      </c>
      <c r="H1442" s="266" t="s">
        <v>3794</v>
      </c>
      <c r="I1442" s="266" t="s">
        <v>6193</v>
      </c>
      <c r="J1442" s="266" t="s">
        <v>1095</v>
      </c>
      <c r="K1442" s="406" t="s">
        <v>8103</v>
      </c>
    </row>
    <row r="1443" spans="1:11" x14ac:dyDescent="0.25">
      <c r="A1443" s="270" t="s">
        <v>3827</v>
      </c>
      <c r="B1443" s="266"/>
      <c r="C1443" s="266" t="s">
        <v>1107</v>
      </c>
      <c r="D1443" s="266" t="s">
        <v>5766</v>
      </c>
      <c r="E1443" s="267" t="s">
        <v>8104</v>
      </c>
      <c r="F1443" s="267">
        <v>44407</v>
      </c>
      <c r="G1443" s="266" t="s">
        <v>3829</v>
      </c>
      <c r="H1443" s="266" t="s">
        <v>1110</v>
      </c>
      <c r="I1443" s="266" t="s">
        <v>6193</v>
      </c>
      <c r="J1443" s="266" t="s">
        <v>1095</v>
      </c>
      <c r="K1443" s="406" t="s">
        <v>8105</v>
      </c>
    </row>
    <row r="1444" spans="1:11" x14ac:dyDescent="0.25">
      <c r="A1444" s="270" t="s">
        <v>3831</v>
      </c>
      <c r="B1444" s="266">
        <v>53</v>
      </c>
      <c r="C1444" s="266" t="s">
        <v>3832</v>
      </c>
      <c r="D1444" s="266" t="s">
        <v>8106</v>
      </c>
      <c r="E1444" s="267" t="s">
        <v>8104</v>
      </c>
      <c r="F1444" s="267">
        <v>44407</v>
      </c>
      <c r="G1444" s="266" t="s">
        <v>3834</v>
      </c>
      <c r="H1444" s="266" t="s">
        <v>8107</v>
      </c>
      <c r="I1444" s="266" t="s">
        <v>6193</v>
      </c>
      <c r="J1444" s="266" t="s">
        <v>996</v>
      </c>
      <c r="K1444" s="406" t="s">
        <v>8108</v>
      </c>
    </row>
    <row r="1445" spans="1:11" x14ac:dyDescent="0.25">
      <c r="A1445" s="270" t="s">
        <v>3837</v>
      </c>
      <c r="B1445" s="266">
        <v>54</v>
      </c>
      <c r="C1445" s="266" t="s">
        <v>114</v>
      </c>
      <c r="D1445" s="266" t="s">
        <v>4450</v>
      </c>
      <c r="E1445" s="267" t="s">
        <v>8109</v>
      </c>
      <c r="F1445" s="267">
        <v>44348</v>
      </c>
      <c r="G1445" s="266" t="s">
        <v>3921</v>
      </c>
      <c r="H1445" s="266" t="s">
        <v>3794</v>
      </c>
      <c r="I1445" s="266" t="s">
        <v>8110</v>
      </c>
      <c r="J1445" s="266" t="s">
        <v>996</v>
      </c>
      <c r="K1445" s="406" t="s">
        <v>8111</v>
      </c>
    </row>
    <row r="1446" spans="1:11" x14ac:dyDescent="0.25">
      <c r="A1446" s="270" t="s">
        <v>3845</v>
      </c>
      <c r="B1446" s="266">
        <v>55</v>
      </c>
      <c r="C1446" s="266" t="s">
        <v>114</v>
      </c>
      <c r="D1446" s="266" t="s">
        <v>4451</v>
      </c>
      <c r="E1446" s="267" t="s">
        <v>8112</v>
      </c>
      <c r="F1446" s="267">
        <v>44440</v>
      </c>
      <c r="G1446" s="266" t="s">
        <v>3846</v>
      </c>
      <c r="H1446" s="266" t="s">
        <v>3847</v>
      </c>
      <c r="I1446" s="266" t="s">
        <v>6193</v>
      </c>
      <c r="J1446" s="266" t="s">
        <v>996</v>
      </c>
      <c r="K1446" s="406" t="s">
        <v>8113</v>
      </c>
    </row>
    <row r="1447" spans="1:11" x14ac:dyDescent="0.25">
      <c r="A1447" s="270" t="s">
        <v>3855</v>
      </c>
      <c r="B1447" s="266"/>
      <c r="C1447" s="266" t="s">
        <v>114</v>
      </c>
      <c r="D1447" s="266" t="s">
        <v>8114</v>
      </c>
      <c r="E1447" s="267" t="s">
        <v>8115</v>
      </c>
      <c r="F1447" s="267">
        <v>44530</v>
      </c>
      <c r="G1447" s="266" t="s">
        <v>3846</v>
      </c>
      <c r="H1447" s="266" t="s">
        <v>3857</v>
      </c>
      <c r="I1447" s="266" t="s">
        <v>6193</v>
      </c>
      <c r="J1447" s="266" t="s">
        <v>996</v>
      </c>
      <c r="K1447" s="406" t="s">
        <v>8116</v>
      </c>
    </row>
    <row r="1448" spans="1:11" x14ac:dyDescent="0.25">
      <c r="A1448" s="270" t="s">
        <v>3858</v>
      </c>
      <c r="B1448" s="266"/>
      <c r="C1448" s="266" t="s">
        <v>1623</v>
      </c>
      <c r="D1448" s="266" t="s">
        <v>8117</v>
      </c>
      <c r="E1448" s="267" t="s">
        <v>8118</v>
      </c>
      <c r="F1448" s="267">
        <v>44571</v>
      </c>
      <c r="G1448" s="266" t="s">
        <v>3819</v>
      </c>
      <c r="H1448" s="266" t="s">
        <v>3860</v>
      </c>
      <c r="I1448" s="266" t="s">
        <v>6193</v>
      </c>
      <c r="J1448" s="266" t="s">
        <v>1625</v>
      </c>
      <c r="K1448" s="406" t="s">
        <v>8119</v>
      </c>
    </row>
    <row r="1449" spans="1:11" x14ac:dyDescent="0.25">
      <c r="A1449" s="270" t="s">
        <v>3861</v>
      </c>
      <c r="B1449" s="266"/>
      <c r="C1449" s="266" t="s">
        <v>114</v>
      </c>
      <c r="D1449" s="266" t="s">
        <v>8120</v>
      </c>
      <c r="E1449" s="267" t="s">
        <v>8121</v>
      </c>
      <c r="F1449" s="267">
        <v>44562</v>
      </c>
      <c r="G1449" s="266" t="s">
        <v>3863</v>
      </c>
      <c r="H1449" s="266" t="s">
        <v>3864</v>
      </c>
      <c r="I1449" s="266" t="s">
        <v>6193</v>
      </c>
      <c r="J1449" s="266" t="s">
        <v>996</v>
      </c>
      <c r="K1449" s="406" t="s">
        <v>8122</v>
      </c>
    </row>
    <row r="1450" spans="1:11" x14ac:dyDescent="0.25">
      <c r="A1450" s="270" t="s">
        <v>3865</v>
      </c>
      <c r="B1450" s="266"/>
      <c r="C1450" s="266" t="s">
        <v>1107</v>
      </c>
      <c r="D1450" s="266" t="s">
        <v>8123</v>
      </c>
      <c r="E1450" s="267" t="s">
        <v>8124</v>
      </c>
      <c r="F1450" s="267">
        <v>44713</v>
      </c>
      <c r="G1450" s="266" t="s">
        <v>3867</v>
      </c>
      <c r="H1450" s="266" t="s">
        <v>1110</v>
      </c>
      <c r="I1450" s="266" t="s">
        <v>6193</v>
      </c>
      <c r="J1450" s="266" t="s">
        <v>1095</v>
      </c>
      <c r="K1450" s="406" t="s">
        <v>8125</v>
      </c>
    </row>
    <row r="1451" spans="1:11" x14ac:dyDescent="0.25">
      <c r="A1451" s="270" t="s">
        <v>3868</v>
      </c>
      <c r="B1451" s="266"/>
      <c r="C1451" s="266" t="s">
        <v>1623</v>
      </c>
      <c r="D1451" s="266" t="s">
        <v>4269</v>
      </c>
      <c r="E1451" s="267" t="s">
        <v>8126</v>
      </c>
      <c r="F1451" s="267">
        <v>45061</v>
      </c>
      <c r="G1451" s="266" t="s">
        <v>263</v>
      </c>
      <c r="H1451" s="266" t="s">
        <v>3870</v>
      </c>
      <c r="I1451" s="266" t="s">
        <v>7219</v>
      </c>
      <c r="J1451" s="266" t="s">
        <v>1625</v>
      </c>
      <c r="K1451" s="406" t="s">
        <v>8127</v>
      </c>
    </row>
    <row r="1452" spans="1:11" x14ac:dyDescent="0.25">
      <c r="A1452" s="270" t="s">
        <v>3872</v>
      </c>
      <c r="B1452" s="266"/>
      <c r="C1452" s="266" t="s">
        <v>4633</v>
      </c>
      <c r="D1452" s="266" t="s">
        <v>4452</v>
      </c>
      <c r="E1452" s="267" t="s">
        <v>8128</v>
      </c>
      <c r="F1452" s="267">
        <v>45200</v>
      </c>
      <c r="G1452" s="266" t="s">
        <v>3814</v>
      </c>
      <c r="H1452" s="266" t="s">
        <v>5543</v>
      </c>
      <c r="I1452" s="266" t="s">
        <v>6193</v>
      </c>
      <c r="J1452" s="266" t="s">
        <v>996</v>
      </c>
      <c r="K1452" s="406" t="s">
        <v>8129</v>
      </c>
    </row>
    <row r="1453" spans="1:11" x14ac:dyDescent="0.25">
      <c r="A1453" s="270" t="s">
        <v>3877</v>
      </c>
      <c r="B1453" s="266"/>
      <c r="C1453" s="266" t="s">
        <v>3535</v>
      </c>
      <c r="D1453" s="266" t="s">
        <v>8130</v>
      </c>
      <c r="E1453" s="267" t="s">
        <v>8128</v>
      </c>
      <c r="F1453" s="267">
        <v>45225</v>
      </c>
      <c r="G1453" s="266" t="s">
        <v>3879</v>
      </c>
      <c r="H1453" s="266" t="s">
        <v>3880</v>
      </c>
      <c r="I1453" s="266" t="s">
        <v>6193</v>
      </c>
      <c r="J1453" s="266" t="s">
        <v>996</v>
      </c>
      <c r="K1453" s="406" t="s">
        <v>8131</v>
      </c>
    </row>
    <row r="1454" spans="1:11" x14ac:dyDescent="0.25">
      <c r="A1454" s="270" t="s">
        <v>3881</v>
      </c>
      <c r="B1454" s="266"/>
      <c r="C1454" s="266" t="s">
        <v>3535</v>
      </c>
      <c r="D1454" s="266" t="s">
        <v>8132</v>
      </c>
      <c r="E1454" s="267" t="s">
        <v>8133</v>
      </c>
      <c r="F1454" s="267">
        <v>45250</v>
      </c>
      <c r="G1454" s="266" t="s">
        <v>3814</v>
      </c>
      <c r="H1454" s="266" t="s">
        <v>8134</v>
      </c>
      <c r="I1454" s="266" t="s">
        <v>6193</v>
      </c>
      <c r="J1454" s="266" t="s">
        <v>996</v>
      </c>
      <c r="K1454" s="406" t="s">
        <v>8135</v>
      </c>
    </row>
    <row r="1455" spans="1:11" x14ac:dyDescent="0.25">
      <c r="A1455" s="270" t="s">
        <v>3888</v>
      </c>
      <c r="B1455" s="266">
        <v>57</v>
      </c>
      <c r="C1455" s="266" t="s">
        <v>114</v>
      </c>
      <c r="D1455" s="266" t="s">
        <v>4453</v>
      </c>
      <c r="E1455" s="267" t="s">
        <v>8136</v>
      </c>
      <c r="F1455" s="267">
        <v>45391</v>
      </c>
      <c r="G1455" s="266" t="s">
        <v>896</v>
      </c>
      <c r="H1455" s="266" t="s">
        <v>3890</v>
      </c>
      <c r="I1455" s="266" t="s">
        <v>6193</v>
      </c>
      <c r="J1455" s="266" t="s">
        <v>996</v>
      </c>
      <c r="K1455" s="406" t="s">
        <v>8137</v>
      </c>
    </row>
    <row r="1456" spans="1:11" x14ac:dyDescent="0.25">
      <c r="A1456" s="270" t="s">
        <v>3891</v>
      </c>
      <c r="B1456" s="266">
        <v>58</v>
      </c>
      <c r="C1456" s="266" t="s">
        <v>114</v>
      </c>
      <c r="D1456" s="266" t="s">
        <v>4454</v>
      </c>
      <c r="E1456" s="267" t="s">
        <v>8138</v>
      </c>
      <c r="F1456" s="267">
        <v>45399</v>
      </c>
      <c r="G1456" s="266" t="s">
        <v>896</v>
      </c>
      <c r="H1456" s="266" t="s">
        <v>8139</v>
      </c>
      <c r="I1456" s="266" t="s">
        <v>6193</v>
      </c>
      <c r="J1456" s="266" t="s">
        <v>996</v>
      </c>
      <c r="K1456" s="406" t="s">
        <v>8140</v>
      </c>
    </row>
    <row r="1457" spans="1:11" x14ac:dyDescent="0.25">
      <c r="A1457" s="270" t="s">
        <v>3897</v>
      </c>
      <c r="B1457" s="266"/>
      <c r="C1457" s="266" t="s">
        <v>3082</v>
      </c>
      <c r="D1457" s="266" t="s">
        <v>4455</v>
      </c>
      <c r="E1457" s="267" t="s">
        <v>8141</v>
      </c>
      <c r="F1457" s="267">
        <v>45148</v>
      </c>
      <c r="G1457" s="266" t="s">
        <v>3864</v>
      </c>
      <c r="H1457" s="266" t="s">
        <v>3898</v>
      </c>
      <c r="I1457" s="266" t="s">
        <v>6193</v>
      </c>
      <c r="J1457" s="266" t="s">
        <v>996</v>
      </c>
      <c r="K1457" s="406" t="s">
        <v>8142</v>
      </c>
    </row>
    <row r="1458" spans="1:11" x14ac:dyDescent="0.25">
      <c r="A1458" s="270" t="s">
        <v>3899</v>
      </c>
      <c r="B1458" s="266"/>
      <c r="C1458" s="266" t="s">
        <v>2437</v>
      </c>
      <c r="D1458" s="266" t="s">
        <v>5777</v>
      </c>
      <c r="E1458" s="267" t="s">
        <v>8143</v>
      </c>
      <c r="F1458" s="267">
        <v>45588</v>
      </c>
      <c r="G1458" s="266" t="s">
        <v>896</v>
      </c>
      <c r="H1458" s="266" t="s">
        <v>8144</v>
      </c>
      <c r="I1458" s="266" t="s">
        <v>6193</v>
      </c>
      <c r="J1458" s="266" t="s">
        <v>985</v>
      </c>
      <c r="K1458" s="406" t="s">
        <v>8145</v>
      </c>
    </row>
    <row r="1459" spans="1:11" x14ac:dyDescent="0.25">
      <c r="A1459" s="270" t="s">
        <v>3903</v>
      </c>
      <c r="B1459" s="266">
        <v>60</v>
      </c>
      <c r="C1459" s="266" t="s">
        <v>1410</v>
      </c>
      <c r="D1459" s="266" t="s">
        <v>8146</v>
      </c>
      <c r="E1459" s="267" t="s">
        <v>8143</v>
      </c>
      <c r="F1459" s="267">
        <v>45589</v>
      </c>
      <c r="G1459" s="266" t="s">
        <v>8147</v>
      </c>
      <c r="H1459" s="266" t="s">
        <v>1110</v>
      </c>
      <c r="I1459" s="266" t="s">
        <v>6193</v>
      </c>
      <c r="J1459" s="266" t="s">
        <v>985</v>
      </c>
      <c r="K1459" s="406" t="s">
        <v>8148</v>
      </c>
    </row>
    <row r="1460" spans="1:11" x14ac:dyDescent="0.25">
      <c r="A1460" s="270" t="s">
        <v>3923</v>
      </c>
      <c r="B1460" s="266"/>
      <c r="C1460" s="266" t="s">
        <v>2441</v>
      </c>
      <c r="D1460" s="266" t="s">
        <v>8149</v>
      </c>
      <c r="E1460" s="267" t="s">
        <v>8150</v>
      </c>
      <c r="F1460" s="267">
        <v>45648</v>
      </c>
      <c r="G1460" s="266" t="s">
        <v>3921</v>
      </c>
      <c r="H1460" s="266" t="s">
        <v>3794</v>
      </c>
      <c r="I1460" s="266" t="s">
        <v>6193</v>
      </c>
      <c r="J1460" s="266" t="s">
        <v>1095</v>
      </c>
      <c r="K1460" s="406" t="s">
        <v>8151</v>
      </c>
    </row>
    <row r="1461" spans="1:11" x14ac:dyDescent="0.25">
      <c r="A1461" s="270" t="s">
        <v>3924</v>
      </c>
      <c r="B1461" s="266"/>
      <c r="C1461" s="266" t="s">
        <v>3925</v>
      </c>
      <c r="D1461" s="266" t="s">
        <v>4381</v>
      </c>
      <c r="E1461" s="267" t="s">
        <v>8152</v>
      </c>
      <c r="F1461" s="267">
        <v>45726</v>
      </c>
      <c r="G1461" s="266" t="s">
        <v>3927</v>
      </c>
      <c r="H1461" s="266" t="s">
        <v>3928</v>
      </c>
      <c r="I1461" s="266" t="s">
        <v>7179</v>
      </c>
      <c r="J1461" s="266" t="s">
        <v>1625</v>
      </c>
      <c r="K1461" s="406" t="s">
        <v>8153</v>
      </c>
    </row>
    <row r="1462" spans="1:11" x14ac:dyDescent="0.25">
      <c r="A1462" s="270" t="s">
        <v>3938</v>
      </c>
      <c r="B1462" s="266"/>
      <c r="C1462" s="266" t="s">
        <v>1107</v>
      </c>
      <c r="D1462" s="266" t="s">
        <v>5780</v>
      </c>
      <c r="E1462" s="267" t="s">
        <v>8154</v>
      </c>
      <c r="F1462" s="267">
        <v>45784</v>
      </c>
      <c r="G1462" s="266" t="s">
        <v>3940</v>
      </c>
      <c r="H1462" s="266" t="s">
        <v>8155</v>
      </c>
      <c r="I1462" s="266" t="s">
        <v>6193</v>
      </c>
      <c r="J1462" s="266" t="s">
        <v>1095</v>
      </c>
      <c r="K1462" s="406" t="s">
        <v>8156</v>
      </c>
    </row>
    <row r="1463" spans="1:11" x14ac:dyDescent="0.25">
      <c r="A1463" s="270" t="s">
        <v>3942</v>
      </c>
      <c r="B1463" s="266"/>
      <c r="C1463" s="266" t="s">
        <v>2430</v>
      </c>
      <c r="D1463" s="266" t="s">
        <v>4382</v>
      </c>
      <c r="E1463" s="267" t="s">
        <v>8157</v>
      </c>
      <c r="F1463" s="267">
        <v>45726</v>
      </c>
      <c r="G1463" s="266" t="s">
        <v>3944</v>
      </c>
      <c r="H1463" s="266" t="s">
        <v>3945</v>
      </c>
      <c r="I1463" s="266" t="s">
        <v>8158</v>
      </c>
      <c r="J1463" s="266" t="s">
        <v>985</v>
      </c>
      <c r="K1463" s="406" t="s">
        <v>8159</v>
      </c>
    </row>
    <row r="1464" spans="1:11" x14ac:dyDescent="0.25">
      <c r="A1464" s="270" t="s">
        <v>3947</v>
      </c>
      <c r="B1464" s="266"/>
      <c r="C1464" s="266" t="s">
        <v>1623</v>
      </c>
      <c r="D1464" s="266" t="s">
        <v>4270</v>
      </c>
      <c r="E1464" s="267" t="s">
        <v>8160</v>
      </c>
      <c r="F1464" s="267">
        <v>45896</v>
      </c>
      <c r="G1464" s="266" t="s">
        <v>3799</v>
      </c>
      <c r="H1464" s="266" t="s">
        <v>3949</v>
      </c>
      <c r="I1464" s="266" t="s">
        <v>7219</v>
      </c>
      <c r="J1464" s="266" t="s">
        <v>1625</v>
      </c>
      <c r="K1464" s="406" t="s">
        <v>8161</v>
      </c>
    </row>
    <row r="1465" spans="1:11" x14ac:dyDescent="0.25">
      <c r="A1465" s="270" t="s">
        <v>3950</v>
      </c>
      <c r="B1465" s="266"/>
      <c r="C1465" s="266" t="s">
        <v>1623</v>
      </c>
      <c r="D1465" s="266" t="s">
        <v>4271</v>
      </c>
      <c r="E1465" s="267" t="s">
        <v>8160</v>
      </c>
      <c r="F1465" s="267">
        <v>45897</v>
      </c>
      <c r="G1465" s="266" t="s">
        <v>3949</v>
      </c>
      <c r="H1465" s="266" t="s">
        <v>3952</v>
      </c>
      <c r="I1465" s="266" t="s">
        <v>7219</v>
      </c>
      <c r="J1465" s="266" t="s">
        <v>1625</v>
      </c>
      <c r="K1465" s="406" t="s">
        <v>8162</v>
      </c>
    </row>
    <row r="1466" spans="1:11" x14ac:dyDescent="0.25">
      <c r="A1466" s="270" t="s">
        <v>3953</v>
      </c>
      <c r="B1466" s="266">
        <v>62</v>
      </c>
      <c r="C1466" s="266" t="s">
        <v>3284</v>
      </c>
      <c r="D1466" s="266" t="s">
        <v>5782</v>
      </c>
      <c r="E1466" s="267" t="s">
        <v>8163</v>
      </c>
      <c r="F1466" s="267">
        <v>45926</v>
      </c>
      <c r="G1466" s="266" t="s">
        <v>8164</v>
      </c>
      <c r="H1466" s="266" t="s">
        <v>8165</v>
      </c>
      <c r="I1466" s="266" t="s">
        <v>6193</v>
      </c>
      <c r="J1466" s="266" t="s">
        <v>996</v>
      </c>
      <c r="K1466" s="406" t="s">
        <v>8166</v>
      </c>
    </row>
    <row r="1467" spans="1:11" x14ac:dyDescent="0.25">
      <c r="A1467" s="270" t="s">
        <v>3957</v>
      </c>
      <c r="B1467" s="266"/>
      <c r="C1467" s="266" t="s">
        <v>4633</v>
      </c>
      <c r="D1467" s="266" t="s">
        <v>4457</v>
      </c>
      <c r="E1467" s="267" t="s">
        <v>8167</v>
      </c>
      <c r="F1467" s="267">
        <v>45931</v>
      </c>
      <c r="G1467" s="266" t="s">
        <v>3959</v>
      </c>
      <c r="H1467" s="266" t="s">
        <v>4636</v>
      </c>
      <c r="I1467" s="266" t="s">
        <v>6193</v>
      </c>
      <c r="J1467" s="266" t="s">
        <v>996</v>
      </c>
      <c r="K1467" s="406" t="s">
        <v>8168</v>
      </c>
    </row>
    <row r="1468" spans="1:11" x14ac:dyDescent="0.25">
      <c r="A1468" s="270" t="s">
        <v>3961</v>
      </c>
      <c r="B1468" s="266"/>
      <c r="C1468" s="266" t="s">
        <v>2441</v>
      </c>
      <c r="D1468" s="266" t="s">
        <v>8169</v>
      </c>
      <c r="E1468" s="267" t="s">
        <v>8170</v>
      </c>
      <c r="F1468" s="267">
        <v>46041</v>
      </c>
      <c r="G1468" s="266" t="s">
        <v>3963</v>
      </c>
      <c r="H1468" s="266" t="s">
        <v>1110</v>
      </c>
      <c r="I1468" s="266" t="s">
        <v>6193</v>
      </c>
      <c r="J1468" s="266" t="s">
        <v>1095</v>
      </c>
      <c r="K1468" s="406" t="s">
        <v>8171</v>
      </c>
    </row>
    <row r="1469" spans="1:11" x14ac:dyDescent="0.25">
      <c r="A1469" s="270" t="s">
        <v>3964</v>
      </c>
      <c r="B1469" s="266"/>
      <c r="C1469" s="266" t="s">
        <v>1623</v>
      </c>
      <c r="D1469" s="266" t="s">
        <v>4383</v>
      </c>
      <c r="E1469" s="267" t="s">
        <v>8172</v>
      </c>
      <c r="F1469" s="267">
        <v>45971</v>
      </c>
      <c r="G1469" s="266" t="s">
        <v>3966</v>
      </c>
      <c r="H1469" s="266" t="s">
        <v>3967</v>
      </c>
      <c r="I1469" s="266" t="s">
        <v>8173</v>
      </c>
      <c r="J1469" s="266" t="s">
        <v>1625</v>
      </c>
      <c r="K1469" s="406" t="s">
        <v>8174</v>
      </c>
    </row>
    <row r="1470" spans="1:11" x14ac:dyDescent="0.25">
      <c r="A1470" s="270" t="s">
        <v>3969</v>
      </c>
      <c r="B1470" s="266"/>
      <c r="C1470" s="266" t="s">
        <v>1623</v>
      </c>
      <c r="D1470" s="266" t="s">
        <v>4384</v>
      </c>
      <c r="E1470" s="267" t="s">
        <v>8175</v>
      </c>
      <c r="F1470" s="267">
        <v>46084</v>
      </c>
      <c r="G1470" s="266" t="s">
        <v>3971</v>
      </c>
      <c r="H1470" s="266" t="s">
        <v>3972</v>
      </c>
      <c r="I1470" s="266" t="s">
        <v>8176</v>
      </c>
      <c r="J1470" s="266" t="s">
        <v>1625</v>
      </c>
      <c r="K1470" s="406" t="s">
        <v>8177</v>
      </c>
    </row>
    <row r="1471" spans="1:11" x14ac:dyDescent="0.25">
      <c r="A1471" s="270" t="s">
        <v>3980</v>
      </c>
      <c r="B1471" s="266"/>
      <c r="C1471" s="266" t="s">
        <v>1107</v>
      </c>
      <c r="D1471" s="266" t="s">
        <v>5787</v>
      </c>
      <c r="E1471" s="267" t="s">
        <v>8178</v>
      </c>
      <c r="F1471" s="267">
        <v>46113</v>
      </c>
      <c r="G1471" s="266" t="s">
        <v>8179</v>
      </c>
      <c r="H1471" s="266" t="s">
        <v>1110</v>
      </c>
      <c r="I1471" s="266" t="s">
        <v>6193</v>
      </c>
      <c r="J1471" s="266" t="s">
        <v>1095</v>
      </c>
      <c r="K1471" s="406" t="s">
        <v>8180</v>
      </c>
    </row>
    <row r="1472" spans="1:11" x14ac:dyDescent="0.25">
      <c r="A1472" s="270" t="s">
        <v>3982</v>
      </c>
      <c r="B1472" s="266"/>
      <c r="C1472" s="266" t="s">
        <v>1107</v>
      </c>
      <c r="D1472" s="266" t="s">
        <v>8181</v>
      </c>
      <c r="E1472" s="267" t="s">
        <v>8178</v>
      </c>
      <c r="F1472" s="267">
        <v>46113</v>
      </c>
      <c r="G1472" s="266" t="s">
        <v>8179</v>
      </c>
      <c r="H1472" s="266" t="s">
        <v>1110</v>
      </c>
      <c r="I1472" s="266" t="s">
        <v>6193</v>
      </c>
      <c r="J1472" s="266" t="s">
        <v>1095</v>
      </c>
      <c r="K1472" s="406" t="s">
        <v>8182</v>
      </c>
    </row>
  </sheetData>
  <hyperlinks>
    <hyperlink ref="K200" r:id="rId1" display="county record" xr:uid="{00000000-0004-0000-1000-000000000000}"/>
    <hyperlink ref="K201" r:id="rId2" display="county record" xr:uid="{00000000-0004-0000-1000-000001000000}"/>
    <hyperlink ref="K202" r:id="rId3" display="county record" xr:uid="{00000000-0004-0000-1000-000002000000}"/>
    <hyperlink ref="K203" r:id="rId4" display="county record" xr:uid="{00000000-0004-0000-1000-000003000000}"/>
    <hyperlink ref="K204" r:id="rId5" display="county record" xr:uid="{00000000-0004-0000-1000-000004000000}"/>
    <hyperlink ref="K205" r:id="rId6" display="county record" xr:uid="{00000000-0004-0000-1000-000005000000}"/>
    <hyperlink ref="K206" r:id="rId7" display="county record" xr:uid="{00000000-0004-0000-1000-000006000000}"/>
    <hyperlink ref="K207" r:id="rId8" display="county record" xr:uid="{00000000-0004-0000-1000-000007000000}"/>
    <hyperlink ref="K208" r:id="rId9" display="county record" xr:uid="{00000000-0004-0000-1000-000008000000}"/>
    <hyperlink ref="K209" r:id="rId10" display="county record" xr:uid="{00000000-0004-0000-1000-000009000000}"/>
    <hyperlink ref="K210" r:id="rId11" xr:uid="{00000000-0004-0000-1000-00000A000000}"/>
    <hyperlink ref="K211" r:id="rId12" display="county record" xr:uid="{00000000-0004-0000-1000-00000B000000}"/>
    <hyperlink ref="K212" r:id="rId13" xr:uid="{00000000-0004-0000-1000-00000C000000}"/>
    <hyperlink ref="K213" r:id="rId14" display="county record" xr:uid="{00000000-0004-0000-1000-00000D000000}"/>
    <hyperlink ref="K214" r:id="rId15" xr:uid="{00000000-0004-0000-1000-00000E000000}"/>
    <hyperlink ref="K215" r:id="rId16" xr:uid="{00000000-0004-0000-1000-00000F000000}"/>
    <hyperlink ref="K216" r:id="rId17" xr:uid="{00000000-0004-0000-1000-000010000000}"/>
    <hyperlink ref="K217" r:id="rId18" xr:uid="{00000000-0004-0000-1000-000011000000}"/>
    <hyperlink ref="K218" r:id="rId19" xr:uid="{00000000-0004-0000-1000-000012000000}"/>
    <hyperlink ref="K219" r:id="rId20" display="county record" xr:uid="{00000000-0004-0000-1000-000013000000}"/>
    <hyperlink ref="K220" r:id="rId21" xr:uid="{00000000-0004-0000-1000-000014000000}"/>
    <hyperlink ref="K221" r:id="rId22" xr:uid="{00000000-0004-0000-1000-000015000000}"/>
    <hyperlink ref="K222" r:id="rId23" xr:uid="{00000000-0004-0000-1000-000016000000}"/>
    <hyperlink ref="K223" r:id="rId24" xr:uid="{00000000-0004-0000-1000-000017000000}"/>
    <hyperlink ref="K224" r:id="rId25" display="county record" xr:uid="{00000000-0004-0000-1000-000018000000}"/>
    <hyperlink ref="K225" r:id="rId26" xr:uid="{00000000-0004-0000-1000-000019000000}"/>
    <hyperlink ref="K226" r:id="rId27" display="county record" xr:uid="{00000000-0004-0000-1000-00001A000000}"/>
    <hyperlink ref="K227" r:id="rId28" xr:uid="{00000000-0004-0000-1000-00001B000000}"/>
    <hyperlink ref="K228" r:id="rId29" xr:uid="{00000000-0004-0000-1000-00001C000000}"/>
    <hyperlink ref="K229" r:id="rId30" display="county record" xr:uid="{00000000-0004-0000-1000-00001D000000}"/>
    <hyperlink ref="K230" r:id="rId31" display="county record" xr:uid="{00000000-0004-0000-1000-00001E000000}"/>
    <hyperlink ref="K231" r:id="rId32" xr:uid="{00000000-0004-0000-1000-00001F000000}"/>
    <hyperlink ref="K232" r:id="rId33" xr:uid="{00000000-0004-0000-1000-000020000000}"/>
    <hyperlink ref="K233" r:id="rId34" display="county record" xr:uid="{00000000-0004-0000-1000-000021000000}"/>
    <hyperlink ref="K234" r:id="rId35" display="county record" xr:uid="{00000000-0004-0000-1000-000022000000}"/>
    <hyperlink ref="K235" r:id="rId36" display="county record" xr:uid="{00000000-0004-0000-1000-000023000000}"/>
    <hyperlink ref="K236" r:id="rId37" xr:uid="{00000000-0004-0000-1000-000024000000}"/>
    <hyperlink ref="K237" r:id="rId38" xr:uid="{00000000-0004-0000-1000-000025000000}"/>
    <hyperlink ref="K238" r:id="rId39" xr:uid="{00000000-0004-0000-1000-000026000000}"/>
    <hyperlink ref="K239" r:id="rId40" xr:uid="{00000000-0004-0000-1000-000027000000}"/>
    <hyperlink ref="K240" r:id="rId41" display="county record" xr:uid="{00000000-0004-0000-1000-000028000000}"/>
    <hyperlink ref="K241" r:id="rId42" xr:uid="{00000000-0004-0000-1000-000029000000}"/>
    <hyperlink ref="K242" r:id="rId43" display="county record" xr:uid="{00000000-0004-0000-1000-00002A000000}"/>
    <hyperlink ref="K243" r:id="rId44" xr:uid="{00000000-0004-0000-1000-00002B000000}"/>
    <hyperlink ref="K244" r:id="rId45" xr:uid="{00000000-0004-0000-1000-00002C000000}"/>
    <hyperlink ref="K245" r:id="rId46" display="county record" xr:uid="{00000000-0004-0000-1000-00002D000000}"/>
    <hyperlink ref="K246" r:id="rId47" xr:uid="{00000000-0004-0000-1000-00002E000000}"/>
    <hyperlink ref="K247" r:id="rId48" xr:uid="{00000000-0004-0000-1000-00002F000000}"/>
    <hyperlink ref="K248" r:id="rId49" xr:uid="{00000000-0004-0000-1000-000030000000}"/>
    <hyperlink ref="K249" r:id="rId50" xr:uid="{00000000-0004-0000-1000-000031000000}"/>
    <hyperlink ref="K250" r:id="rId51" xr:uid="{00000000-0004-0000-1000-000032000000}"/>
    <hyperlink ref="K251" r:id="rId52" display="county record" xr:uid="{00000000-0004-0000-1000-000033000000}"/>
    <hyperlink ref="K252" r:id="rId53" display="county record" xr:uid="{00000000-0004-0000-1000-000034000000}"/>
    <hyperlink ref="K253" r:id="rId54" xr:uid="{00000000-0004-0000-1000-000035000000}"/>
    <hyperlink ref="K254" r:id="rId55" xr:uid="{00000000-0004-0000-1000-000036000000}"/>
    <hyperlink ref="K255" r:id="rId56" display="county record" xr:uid="{00000000-0004-0000-1000-000037000000}"/>
    <hyperlink ref="K256" r:id="rId57" xr:uid="{00000000-0004-0000-1000-000038000000}"/>
    <hyperlink ref="K257" r:id="rId58" xr:uid="{00000000-0004-0000-1000-000039000000}"/>
    <hyperlink ref="K258" r:id="rId59" xr:uid="{00000000-0004-0000-1000-00003A000000}"/>
    <hyperlink ref="K259" r:id="rId60" xr:uid="{00000000-0004-0000-1000-00003B000000}"/>
    <hyperlink ref="K260" r:id="rId61" xr:uid="{00000000-0004-0000-1000-00003C000000}"/>
    <hyperlink ref="K261" r:id="rId62" xr:uid="{00000000-0004-0000-1000-00003D000000}"/>
    <hyperlink ref="K262" r:id="rId63" xr:uid="{00000000-0004-0000-1000-00003E000000}"/>
    <hyperlink ref="K263" r:id="rId64" xr:uid="{00000000-0004-0000-1000-00003F000000}"/>
    <hyperlink ref="K264" r:id="rId65" display="county record" xr:uid="{00000000-0004-0000-1000-000040000000}"/>
    <hyperlink ref="K265" r:id="rId66" xr:uid="{00000000-0004-0000-1000-000041000000}"/>
    <hyperlink ref="K266" r:id="rId67" xr:uid="{00000000-0004-0000-1000-000042000000}"/>
    <hyperlink ref="K267" r:id="rId68" display="county record" xr:uid="{00000000-0004-0000-1000-000043000000}"/>
    <hyperlink ref="K268" r:id="rId69" display="county record" xr:uid="{00000000-0004-0000-1000-000044000000}"/>
    <hyperlink ref="K269" r:id="rId70" display="county record" xr:uid="{00000000-0004-0000-1000-000045000000}"/>
    <hyperlink ref="K270" r:id="rId71" xr:uid="{00000000-0004-0000-1000-000046000000}"/>
    <hyperlink ref="K271" r:id="rId72" display="county record" xr:uid="{00000000-0004-0000-1000-000047000000}"/>
    <hyperlink ref="K272" r:id="rId73" display="county record" xr:uid="{00000000-0004-0000-1000-000048000000}"/>
    <hyperlink ref="K273" r:id="rId74" display="https://okcountyrecords.com/detail/roger+mills/2026-003315/35464678" xr:uid="{00000000-0004-0000-1000-000049000000}"/>
    <hyperlink ref="K274" r:id="rId75" display="https://okcountyrecords.com/detail/roger+mills/2026-003315/35464678" xr:uid="{00000000-0004-0000-1000-00004A000000}"/>
    <hyperlink ref="K275" r:id="rId76" display="https://okcountyrecords.com/detail/roger+mills/2026-003315/35464678" xr:uid="{00000000-0004-0000-1000-00004B000000}"/>
    <hyperlink ref="K276" r:id="rId77" display="https://okcountyrecords.com/detail/roger+mills/2026-003315/35464678" xr:uid="{00000000-0004-0000-1000-00004C000000}"/>
    <hyperlink ref="K277" r:id="rId78" display="https://okcountyrecords.com/detail/roger+mills/2026-003315/35464678" xr:uid="{00000000-0004-0000-1000-00004D000000}"/>
    <hyperlink ref="K278" r:id="rId79" display="https://okcountyrecords.com/detail/roger+mills/2026-003315/35464678" xr:uid="{00000000-0004-0000-1000-00004E000000}"/>
    <hyperlink ref="K279" r:id="rId80" display="https://okcountyrecords.com/detail/roger+mills/2026-003315/35464678" xr:uid="{00000000-0004-0000-1000-00004F000000}"/>
    <hyperlink ref="K280" r:id="rId81" display="https://okcountyrecords.com/detail/roger+mills/2026-003315/35464678" xr:uid="{00000000-0004-0000-1000-000050000000}"/>
    <hyperlink ref="K281" r:id="rId82" display="https://okcountyrecords.com/detail/roger+mills/2026-003315/35464678" xr:uid="{00000000-0004-0000-1000-000051000000}"/>
    <hyperlink ref="K282" r:id="rId83" display="https://okcountyrecords.com/detail/roger+mills/2026-003315/35464678" xr:uid="{00000000-0004-0000-1000-000052000000}"/>
    <hyperlink ref="K283" r:id="rId84" display="https://okcountyrecords.com/detail/roger+mills/2026-003315/35464678" xr:uid="{00000000-0004-0000-1000-000053000000}"/>
    <hyperlink ref="K284" r:id="rId85" display="https://okcountyrecords.com/detail/roger+mills/2026-003315/35464678" xr:uid="{00000000-0004-0000-1000-000054000000}"/>
    <hyperlink ref="K285" r:id="rId86" display="https://okcountyrecords.com/detail/roger+mills/2026-003315/35464678" xr:uid="{00000000-0004-0000-1000-000055000000}"/>
    <hyperlink ref="K286" r:id="rId87" display="https://okcountyrecords.com/detail/roger+mills/2026-003315/35464678" xr:uid="{00000000-0004-0000-1000-000056000000}"/>
    <hyperlink ref="K287" r:id="rId88" display="https://okcountyrecords.com/detail/roger+mills/2026-003315/35464678" xr:uid="{00000000-0004-0000-1000-000057000000}"/>
    <hyperlink ref="K288" r:id="rId89" display="https://okcountyrecords.com/detail/roger+mills/2026-003315/35464678" xr:uid="{00000000-0004-0000-1000-000058000000}"/>
    <hyperlink ref="K289" r:id="rId90" display="https://okcountyrecords.com/detail/roger+mills/2026-003315/35464678" xr:uid="{00000000-0004-0000-1000-000059000000}"/>
    <hyperlink ref="K290" r:id="rId91" display="https://okcountyrecords.com/detail/roger+mills/2026-003315/35464678" xr:uid="{00000000-0004-0000-1000-00005A000000}"/>
    <hyperlink ref="K291" r:id="rId92" display="https://okcountyrecords.com/detail/roger+mills/2026-003315/35464678" xr:uid="{00000000-0004-0000-1000-00005B000000}"/>
    <hyperlink ref="K292" r:id="rId93" display="https://okcountyrecords.com/detail/roger+mills/2026-003315/35464678" xr:uid="{00000000-0004-0000-1000-00005C000000}"/>
    <hyperlink ref="K293" r:id="rId94" display="https://okcountyrecords.com/detail/roger+mills/2026-003315/35464678" xr:uid="{00000000-0004-0000-1000-00005D000000}"/>
    <hyperlink ref="K294" r:id="rId95" display="https://okcountyrecords.com/detail/roger+mills/2026-003315/35464678" xr:uid="{00000000-0004-0000-1000-00005E000000}"/>
    <hyperlink ref="K295" r:id="rId96" display="https://okcountyrecords.com/detail/roger+mills/2026-003315/35464678" xr:uid="{00000000-0004-0000-1000-00005F000000}"/>
    <hyperlink ref="K296" r:id="rId97" display="https://okcountyrecords.com/detail/roger+mills/2026-003315/35464678" xr:uid="{00000000-0004-0000-1000-000060000000}"/>
    <hyperlink ref="K297" r:id="rId98" display="https://okcountyrecords.com/detail/roger+mills/2026-003315/35464678" xr:uid="{00000000-0004-0000-1000-000061000000}"/>
    <hyperlink ref="K298" r:id="rId99" display="https://okcountyrecords.com/detail/roger+mills/2026-003315/35464678" xr:uid="{00000000-0004-0000-1000-000062000000}"/>
    <hyperlink ref="K299" r:id="rId100" display="https://okcountyrecords.com/detail/roger+mills/2026-003315/35464678" xr:uid="{00000000-0004-0000-1000-000063000000}"/>
    <hyperlink ref="K300" r:id="rId101" display="https://okcountyrecords.com/detail/roger+mills/2026-003315/35464678" xr:uid="{00000000-0004-0000-1000-000064000000}"/>
    <hyperlink ref="K301" r:id="rId102" display="https://okcountyrecords.com/detail/roger+mills/2026-003315/35464678" xr:uid="{00000000-0004-0000-1000-000065000000}"/>
    <hyperlink ref="K302" r:id="rId103" display="https://okcountyrecords.com/detail/roger+mills/2026-003315/35464678" xr:uid="{00000000-0004-0000-1000-000066000000}"/>
    <hyperlink ref="K303" r:id="rId104" display="https://okcountyrecords.com/detail/roger+mills/2026-003315/35464678" xr:uid="{00000000-0004-0000-1000-000067000000}"/>
    <hyperlink ref="K304" r:id="rId105" display="https://okcountyrecords.com/detail/roger+mills/2026-003315/35464678" xr:uid="{00000000-0004-0000-1000-000068000000}"/>
    <hyperlink ref="K305" r:id="rId106" display="https://okcountyrecords.com/detail/roger+mills/2026-003315/35464678" xr:uid="{00000000-0004-0000-1000-000069000000}"/>
    <hyperlink ref="K306" r:id="rId107" display="https://okcountyrecords.com/detail/roger+mills/2026-003315/35464678" xr:uid="{00000000-0004-0000-1000-00006A000000}"/>
    <hyperlink ref="K307" r:id="rId108" display="https://okcountyrecords.com/detail/roger+mills/2026-003315/35464678" xr:uid="{00000000-0004-0000-1000-00006B000000}"/>
    <hyperlink ref="K308" r:id="rId109" display="https://okcountyrecords.com/detail/roger+mills/2026-003315/35464678" xr:uid="{00000000-0004-0000-1000-00006C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03"/>
  <sheetViews>
    <sheetView workbookViewId="0">
      <selection activeCell="F22" sqref="F22"/>
    </sheetView>
  </sheetViews>
  <sheetFormatPr defaultColWidth="36" defaultRowHeight="15" x14ac:dyDescent="0.25"/>
  <cols>
    <col min="1" max="1" width="18" bestFit="1" customWidth="1"/>
    <col min="2" max="2" width="11.7109375" bestFit="1" customWidth="1"/>
    <col min="3" max="3" width="13.5703125" bestFit="1" customWidth="1"/>
    <col min="4" max="4" width="14.140625" bestFit="1" customWidth="1"/>
    <col min="5" max="5" width="35.5703125" bestFit="1" customWidth="1"/>
    <col min="6" max="6" width="34.140625" bestFit="1" customWidth="1"/>
    <col min="7" max="7" width="35.85546875" bestFit="1" customWidth="1"/>
    <col min="8" max="8" width="27.7109375" bestFit="1" customWidth="1"/>
  </cols>
  <sheetData>
    <row r="1" spans="1:8" x14ac:dyDescent="0.25">
      <c r="A1" s="253" t="s">
        <v>958</v>
      </c>
      <c r="B1" s="253" t="s">
        <v>8183</v>
      </c>
      <c r="C1" s="253" t="s">
        <v>960</v>
      </c>
      <c r="D1" s="253" t="s">
        <v>961</v>
      </c>
      <c r="E1" s="253" t="s">
        <v>8184</v>
      </c>
      <c r="F1" s="253" t="s">
        <v>8185</v>
      </c>
      <c r="G1" s="253" t="s">
        <v>8186</v>
      </c>
      <c r="H1" s="253" t="s">
        <v>148</v>
      </c>
    </row>
    <row r="2" spans="1:8" x14ac:dyDescent="0.25">
      <c r="A2" s="254" t="s">
        <v>114</v>
      </c>
      <c r="B2" s="254" t="s">
        <v>5808</v>
      </c>
      <c r="C2" s="254"/>
      <c r="D2" s="255">
        <v>2893</v>
      </c>
      <c r="E2" s="254" t="s">
        <v>999</v>
      </c>
      <c r="F2" s="254" t="s">
        <v>8187</v>
      </c>
      <c r="G2" s="254" t="s">
        <v>313</v>
      </c>
      <c r="H2" s="254"/>
    </row>
    <row r="3" spans="1:8" x14ac:dyDescent="0.25">
      <c r="A3" s="254" t="s">
        <v>114</v>
      </c>
      <c r="B3" s="254" t="s">
        <v>5819</v>
      </c>
      <c r="C3" s="254"/>
      <c r="D3" s="255">
        <v>3313</v>
      </c>
      <c r="E3" s="254" t="s">
        <v>999</v>
      </c>
      <c r="F3" s="254" t="s">
        <v>1017</v>
      </c>
      <c r="G3" s="254" t="s">
        <v>308</v>
      </c>
      <c r="H3" s="254"/>
    </row>
    <row r="4" spans="1:8" ht="25.5" customHeight="1" x14ac:dyDescent="0.25">
      <c r="A4" s="254" t="s">
        <v>114</v>
      </c>
      <c r="B4" s="254" t="s">
        <v>5824</v>
      </c>
      <c r="C4" s="254"/>
      <c r="D4" s="255">
        <v>3737</v>
      </c>
      <c r="E4" s="254" t="s">
        <v>1022</v>
      </c>
      <c r="F4" s="254" t="s">
        <v>1023</v>
      </c>
      <c r="G4" s="254" t="s">
        <v>308</v>
      </c>
      <c r="H4" s="254"/>
    </row>
    <row r="5" spans="1:8" x14ac:dyDescent="0.25">
      <c r="A5" s="254" t="s">
        <v>114</v>
      </c>
      <c r="B5" s="254" t="s">
        <v>5827</v>
      </c>
      <c r="C5" s="254"/>
      <c r="D5" s="255">
        <v>4163</v>
      </c>
      <c r="E5" s="254" t="s">
        <v>1026</v>
      </c>
      <c r="F5" s="254" t="s">
        <v>1027</v>
      </c>
      <c r="G5" s="254" t="s">
        <v>308</v>
      </c>
      <c r="H5" s="254"/>
    </row>
    <row r="6" spans="1:8" x14ac:dyDescent="0.25">
      <c r="A6" s="254" t="s">
        <v>114</v>
      </c>
      <c r="B6" s="254" t="s">
        <v>5833</v>
      </c>
      <c r="C6" s="254"/>
      <c r="D6" s="255">
        <v>4820</v>
      </c>
      <c r="E6" s="254" t="s">
        <v>1022</v>
      </c>
      <c r="F6" s="254" t="s">
        <v>1033</v>
      </c>
      <c r="G6" s="254" t="s">
        <v>313</v>
      </c>
      <c r="H6" s="254"/>
    </row>
    <row r="7" spans="1:8" x14ac:dyDescent="0.25">
      <c r="A7" s="254" t="s">
        <v>114</v>
      </c>
      <c r="B7" s="254" t="s">
        <v>5836</v>
      </c>
      <c r="C7" s="254"/>
      <c r="D7" s="255">
        <v>4839</v>
      </c>
      <c r="E7" s="254" t="s">
        <v>1036</v>
      </c>
      <c r="F7" s="254" t="s">
        <v>306</v>
      </c>
      <c r="G7" s="254" t="s">
        <v>308</v>
      </c>
      <c r="H7" s="254"/>
    </row>
    <row r="8" spans="1:8" x14ac:dyDescent="0.25">
      <c r="A8" s="254" t="s">
        <v>114</v>
      </c>
      <c r="B8" s="254" t="s">
        <v>5839</v>
      </c>
      <c r="C8" s="254"/>
      <c r="D8" s="255">
        <v>4852</v>
      </c>
      <c r="E8" s="254" t="s">
        <v>1022</v>
      </c>
      <c r="F8" s="254" t="s">
        <v>1039</v>
      </c>
      <c r="G8" s="254" t="s">
        <v>313</v>
      </c>
      <c r="H8" s="254"/>
    </row>
    <row r="9" spans="1:8" x14ac:dyDescent="0.25">
      <c r="A9" s="254" t="s">
        <v>114</v>
      </c>
      <c r="B9" s="254" t="s">
        <v>5851</v>
      </c>
      <c r="C9" s="254"/>
      <c r="D9" s="255">
        <v>5439</v>
      </c>
      <c r="E9" s="254" t="s">
        <v>1052</v>
      </c>
      <c r="F9" s="254" t="s">
        <v>1053</v>
      </c>
      <c r="G9" s="254" t="s">
        <v>313</v>
      </c>
      <c r="H9" s="254"/>
    </row>
    <row r="10" spans="1:8" ht="25.5" customHeight="1" x14ac:dyDescent="0.25">
      <c r="A10" s="254" t="s">
        <v>114</v>
      </c>
      <c r="B10" s="254" t="s">
        <v>5898</v>
      </c>
      <c r="C10" s="254"/>
      <c r="D10" s="255">
        <v>7291</v>
      </c>
      <c r="E10" s="254" t="s">
        <v>1023</v>
      </c>
      <c r="F10" s="254" t="s">
        <v>1102</v>
      </c>
      <c r="G10" s="254" t="s">
        <v>308</v>
      </c>
      <c r="H10" s="254"/>
    </row>
    <row r="11" spans="1:8" x14ac:dyDescent="0.25">
      <c r="A11" s="254" t="s">
        <v>114</v>
      </c>
      <c r="B11" s="254" t="s">
        <v>5906</v>
      </c>
      <c r="C11" s="254"/>
      <c r="D11" s="255">
        <v>7317</v>
      </c>
      <c r="E11" s="254" t="s">
        <v>1116</v>
      </c>
      <c r="F11" s="254" t="s">
        <v>1117</v>
      </c>
      <c r="G11" s="254" t="s">
        <v>313</v>
      </c>
      <c r="H11" s="254"/>
    </row>
    <row r="12" spans="1:8" x14ac:dyDescent="0.25">
      <c r="A12" s="254" t="s">
        <v>114</v>
      </c>
      <c r="B12" s="254" t="s">
        <v>5940</v>
      </c>
      <c r="C12" s="254"/>
      <c r="D12" s="255">
        <v>8508</v>
      </c>
      <c r="E12" s="254" t="s">
        <v>1086</v>
      </c>
      <c r="F12" s="254" t="s">
        <v>331</v>
      </c>
      <c r="G12" s="254" t="s">
        <v>313</v>
      </c>
      <c r="H12" s="254"/>
    </row>
    <row r="13" spans="1:8" x14ac:dyDescent="0.25">
      <c r="A13" s="254" t="s">
        <v>114</v>
      </c>
      <c r="B13" s="254" t="s">
        <v>6004</v>
      </c>
      <c r="C13" s="254"/>
      <c r="D13" s="255">
        <v>11304</v>
      </c>
      <c r="E13" s="254" t="s">
        <v>1094</v>
      </c>
      <c r="F13" s="254" t="s">
        <v>1208</v>
      </c>
      <c r="G13" s="254" t="s">
        <v>313</v>
      </c>
      <c r="H13" s="254"/>
    </row>
    <row r="14" spans="1:8" x14ac:dyDescent="0.25">
      <c r="A14" s="254" t="s">
        <v>114</v>
      </c>
      <c r="B14" s="254" t="s">
        <v>6030</v>
      </c>
      <c r="C14" s="254"/>
      <c r="D14" s="255">
        <v>12271</v>
      </c>
      <c r="E14" s="254" t="s">
        <v>1208</v>
      </c>
      <c r="F14" s="254" t="s">
        <v>1234</v>
      </c>
      <c r="G14" s="254" t="s">
        <v>313</v>
      </c>
      <c r="H14" s="254"/>
    </row>
    <row r="15" spans="1:8" x14ac:dyDescent="0.25">
      <c r="A15" s="254" t="s">
        <v>114</v>
      </c>
      <c r="B15" s="254" t="s">
        <v>6064</v>
      </c>
      <c r="C15" s="254"/>
      <c r="D15" s="255">
        <v>14522</v>
      </c>
      <c r="E15" s="254" t="s">
        <v>405</v>
      </c>
      <c r="F15" s="254" t="s">
        <v>1267</v>
      </c>
      <c r="G15" s="254" t="s">
        <v>313</v>
      </c>
      <c r="H15" s="254"/>
    </row>
    <row r="16" spans="1:8" x14ac:dyDescent="0.25">
      <c r="A16" s="254" t="s">
        <v>114</v>
      </c>
      <c r="B16" s="254" t="s">
        <v>6067</v>
      </c>
      <c r="C16" s="254"/>
      <c r="D16" s="255">
        <v>14522</v>
      </c>
      <c r="E16" s="254" t="s">
        <v>405</v>
      </c>
      <c r="F16" s="254" t="s">
        <v>1267</v>
      </c>
      <c r="G16" s="254" t="s">
        <v>313</v>
      </c>
      <c r="H16" s="254"/>
    </row>
    <row r="17" spans="1:8" ht="38.25" customHeight="1" x14ac:dyDescent="0.25">
      <c r="A17" s="254" t="s">
        <v>114</v>
      </c>
      <c r="B17" s="254" t="s">
        <v>6106</v>
      </c>
      <c r="C17" s="254"/>
      <c r="D17" s="255">
        <v>17554</v>
      </c>
      <c r="E17" s="254" t="s">
        <v>337</v>
      </c>
      <c r="F17" s="254" t="s">
        <v>1309</v>
      </c>
      <c r="G17" s="254" t="s">
        <v>313</v>
      </c>
      <c r="H17" s="254"/>
    </row>
    <row r="18" spans="1:8" ht="25.5" customHeight="1" x14ac:dyDescent="0.25">
      <c r="A18" s="254" t="s">
        <v>114</v>
      </c>
      <c r="B18" s="254" t="s">
        <v>6112</v>
      </c>
      <c r="C18" s="254"/>
      <c r="D18" s="255">
        <v>17580</v>
      </c>
      <c r="E18" s="254" t="s">
        <v>1314</v>
      </c>
      <c r="F18" s="254" t="s">
        <v>1315</v>
      </c>
      <c r="G18" s="254" t="s">
        <v>313</v>
      </c>
      <c r="H18" s="254"/>
    </row>
    <row r="19" spans="1:8" ht="25.5" customHeight="1" x14ac:dyDescent="0.25">
      <c r="A19" s="254" t="s">
        <v>114</v>
      </c>
      <c r="B19" s="254" t="s">
        <v>6138</v>
      </c>
      <c r="C19" s="254"/>
      <c r="D19" s="255">
        <v>18155</v>
      </c>
      <c r="E19" s="254" t="s">
        <v>1341</v>
      </c>
      <c r="F19" s="254" t="s">
        <v>1342</v>
      </c>
      <c r="G19" s="254" t="s">
        <v>313</v>
      </c>
      <c r="H19" s="254"/>
    </row>
    <row r="20" spans="1:8" ht="25.5" customHeight="1" x14ac:dyDescent="0.25">
      <c r="A20" s="254" t="s">
        <v>114</v>
      </c>
      <c r="B20" s="254" t="s">
        <v>6141</v>
      </c>
      <c r="C20" s="254"/>
      <c r="D20" s="255">
        <v>18155</v>
      </c>
      <c r="E20" s="254" t="s">
        <v>1341</v>
      </c>
      <c r="F20" s="254" t="s">
        <v>1342</v>
      </c>
      <c r="G20" s="254" t="s">
        <v>313</v>
      </c>
      <c r="H20" s="254"/>
    </row>
    <row r="21" spans="1:8" ht="25.5" customHeight="1" x14ac:dyDescent="0.25">
      <c r="A21" s="254" t="s">
        <v>114</v>
      </c>
      <c r="B21" s="254" t="s">
        <v>6143</v>
      </c>
      <c r="C21" s="254"/>
      <c r="D21" s="255">
        <v>18160</v>
      </c>
      <c r="E21" s="254" t="s">
        <v>329</v>
      </c>
      <c r="F21" s="254" t="s">
        <v>1347</v>
      </c>
      <c r="G21" s="254" t="s">
        <v>313</v>
      </c>
      <c r="H21" s="254"/>
    </row>
    <row r="22" spans="1:8" ht="25.5" customHeight="1" x14ac:dyDescent="0.25">
      <c r="A22" s="254" t="s">
        <v>114</v>
      </c>
      <c r="B22" s="254" t="s">
        <v>6146</v>
      </c>
      <c r="C22" s="254"/>
      <c r="D22" s="255">
        <v>18160</v>
      </c>
      <c r="E22" s="254" t="s">
        <v>1350</v>
      </c>
      <c r="F22" s="254" t="s">
        <v>1342</v>
      </c>
      <c r="G22" s="254" t="s">
        <v>313</v>
      </c>
      <c r="H22" s="254"/>
    </row>
    <row r="23" spans="1:8" x14ac:dyDescent="0.25">
      <c r="A23" s="254" t="s">
        <v>114</v>
      </c>
      <c r="B23" s="254" t="s">
        <v>6238</v>
      </c>
      <c r="C23" s="254"/>
      <c r="D23" s="255">
        <v>22928</v>
      </c>
      <c r="E23" s="254" t="s">
        <v>362</v>
      </c>
      <c r="F23" s="254" t="s">
        <v>1448</v>
      </c>
      <c r="G23" s="254" t="s">
        <v>313</v>
      </c>
      <c r="H23" s="254"/>
    </row>
    <row r="24" spans="1:8" x14ac:dyDescent="0.25">
      <c r="A24" s="254" t="s">
        <v>114</v>
      </c>
      <c r="B24" s="254" t="s">
        <v>6246</v>
      </c>
      <c r="C24" s="254"/>
      <c r="D24" s="255">
        <v>23054</v>
      </c>
      <c r="E24" s="254" t="s">
        <v>346</v>
      </c>
      <c r="F24" s="254" t="s">
        <v>359</v>
      </c>
      <c r="G24" s="254" t="s">
        <v>308</v>
      </c>
      <c r="H24" s="254"/>
    </row>
    <row r="25" spans="1:8" x14ac:dyDescent="0.25">
      <c r="A25" s="254" t="s">
        <v>114</v>
      </c>
      <c r="B25" s="254" t="s">
        <v>6249</v>
      </c>
      <c r="C25" s="254"/>
      <c r="D25" s="255">
        <v>23054</v>
      </c>
      <c r="E25" s="254" t="s">
        <v>346</v>
      </c>
      <c r="F25" s="254" t="s">
        <v>359</v>
      </c>
      <c r="G25" s="254" t="s">
        <v>308</v>
      </c>
      <c r="H25" s="254"/>
    </row>
    <row r="26" spans="1:8" x14ac:dyDescent="0.25">
      <c r="A26" s="254" t="s">
        <v>114</v>
      </c>
      <c r="B26" s="254" t="s">
        <v>6251</v>
      </c>
      <c r="C26" s="254"/>
      <c r="D26" s="255">
        <v>23054</v>
      </c>
      <c r="E26" s="254" t="s">
        <v>346</v>
      </c>
      <c r="F26" s="254" t="s">
        <v>359</v>
      </c>
      <c r="G26" s="254" t="s">
        <v>308</v>
      </c>
      <c r="H26" s="254"/>
    </row>
    <row r="27" spans="1:8" x14ac:dyDescent="0.25">
      <c r="A27" s="254" t="s">
        <v>114</v>
      </c>
      <c r="B27" s="254" t="s">
        <v>6253</v>
      </c>
      <c r="C27" s="254"/>
      <c r="D27" s="255">
        <v>23054</v>
      </c>
      <c r="E27" s="254" t="s">
        <v>346</v>
      </c>
      <c r="F27" s="254" t="s">
        <v>359</v>
      </c>
      <c r="G27" s="254" t="s">
        <v>308</v>
      </c>
      <c r="H27" s="254"/>
    </row>
    <row r="28" spans="1:8" x14ac:dyDescent="0.25">
      <c r="A28" s="254" t="s">
        <v>114</v>
      </c>
      <c r="B28" s="254" t="s">
        <v>6271</v>
      </c>
      <c r="C28" s="254"/>
      <c r="D28" s="255">
        <v>25176</v>
      </c>
      <c r="E28" s="254" t="s">
        <v>365</v>
      </c>
      <c r="F28" s="254" t="s">
        <v>391</v>
      </c>
      <c r="G28" s="254" t="s">
        <v>308</v>
      </c>
      <c r="H28" s="254"/>
    </row>
    <row r="29" spans="1:8" x14ac:dyDescent="0.25">
      <c r="A29" s="254" t="s">
        <v>114</v>
      </c>
      <c r="B29" s="254" t="s">
        <v>8188</v>
      </c>
      <c r="C29" s="254"/>
      <c r="D29" s="255">
        <v>25885</v>
      </c>
      <c r="E29" s="254" t="s">
        <v>359</v>
      </c>
      <c r="F29" s="254" t="s">
        <v>1499</v>
      </c>
      <c r="G29" s="254" t="s">
        <v>308</v>
      </c>
      <c r="H29" s="254"/>
    </row>
    <row r="30" spans="1:8" x14ac:dyDescent="0.25">
      <c r="A30" s="254" t="s">
        <v>114</v>
      </c>
      <c r="B30" s="254" t="s">
        <v>8189</v>
      </c>
      <c r="C30" s="254"/>
      <c r="D30" s="255">
        <v>25885</v>
      </c>
      <c r="E30" s="254" t="s">
        <v>359</v>
      </c>
      <c r="F30" s="254" t="s">
        <v>1499</v>
      </c>
      <c r="G30" s="254" t="s">
        <v>308</v>
      </c>
      <c r="H30" s="254"/>
    </row>
    <row r="31" spans="1:8" x14ac:dyDescent="0.25">
      <c r="A31" s="254" t="s">
        <v>114</v>
      </c>
      <c r="B31" s="254" t="s">
        <v>8190</v>
      </c>
      <c r="C31" s="254"/>
      <c r="D31" s="255">
        <v>25885</v>
      </c>
      <c r="E31" s="254" t="s">
        <v>359</v>
      </c>
      <c r="F31" s="254" t="s">
        <v>1499</v>
      </c>
      <c r="G31" s="254" t="s">
        <v>308</v>
      </c>
      <c r="H31" s="254"/>
    </row>
    <row r="32" spans="1:8" x14ac:dyDescent="0.25">
      <c r="A32" s="254" t="s">
        <v>114</v>
      </c>
      <c r="B32" s="254" t="s">
        <v>8191</v>
      </c>
      <c r="C32" s="254"/>
      <c r="D32" s="255">
        <v>25885</v>
      </c>
      <c r="E32" s="254" t="s">
        <v>368</v>
      </c>
      <c r="F32" s="254" t="s">
        <v>1499</v>
      </c>
      <c r="G32" s="254" t="s">
        <v>308</v>
      </c>
      <c r="H32" s="254"/>
    </row>
    <row r="33" spans="1:8" x14ac:dyDescent="0.25">
      <c r="A33" s="254" t="s">
        <v>114</v>
      </c>
      <c r="B33" s="254" t="s">
        <v>8192</v>
      </c>
      <c r="C33" s="254"/>
      <c r="D33" s="255">
        <v>25885</v>
      </c>
      <c r="E33" s="254" t="s">
        <v>368</v>
      </c>
      <c r="F33" s="254" t="s">
        <v>1499</v>
      </c>
      <c r="G33" s="254" t="s">
        <v>308</v>
      </c>
      <c r="H33" s="254"/>
    </row>
    <row r="34" spans="1:8" x14ac:dyDescent="0.25">
      <c r="A34" s="254" t="s">
        <v>114</v>
      </c>
      <c r="B34" s="254" t="s">
        <v>8193</v>
      </c>
      <c r="C34" s="254"/>
      <c r="D34" s="255">
        <v>25885</v>
      </c>
      <c r="E34" s="254" t="s">
        <v>368</v>
      </c>
      <c r="F34" s="254" t="s">
        <v>1499</v>
      </c>
      <c r="G34" s="254" t="s">
        <v>308</v>
      </c>
      <c r="H34" s="254"/>
    </row>
    <row r="35" spans="1:8" x14ac:dyDescent="0.25">
      <c r="A35" s="254" t="s">
        <v>114</v>
      </c>
      <c r="B35" s="254" t="s">
        <v>8194</v>
      </c>
      <c r="C35" s="254"/>
      <c r="D35" s="255">
        <v>25905</v>
      </c>
      <c r="E35" s="254" t="s">
        <v>359</v>
      </c>
      <c r="F35" s="254" t="s">
        <v>368</v>
      </c>
      <c r="G35" s="254" t="s">
        <v>308</v>
      </c>
      <c r="H35" s="254"/>
    </row>
    <row r="36" spans="1:8" x14ac:dyDescent="0.25">
      <c r="A36" s="254" t="s">
        <v>114</v>
      </c>
      <c r="B36" s="254" t="s">
        <v>8195</v>
      </c>
      <c r="C36" s="254"/>
      <c r="D36" s="255">
        <v>25905</v>
      </c>
      <c r="E36" s="254" t="s">
        <v>368</v>
      </c>
      <c r="F36" s="254" t="s">
        <v>8196</v>
      </c>
      <c r="G36" s="254" t="s">
        <v>308</v>
      </c>
      <c r="H36" s="254"/>
    </row>
    <row r="37" spans="1:8" x14ac:dyDescent="0.25">
      <c r="A37" s="254" t="s">
        <v>114</v>
      </c>
      <c r="B37" s="254" t="s">
        <v>8197</v>
      </c>
      <c r="C37" s="254"/>
      <c r="D37" s="255">
        <v>25910</v>
      </c>
      <c r="E37" s="254" t="s">
        <v>368</v>
      </c>
      <c r="F37" s="254" t="s">
        <v>8196</v>
      </c>
      <c r="G37" s="254" t="s">
        <v>308</v>
      </c>
      <c r="H37" s="254"/>
    </row>
    <row r="38" spans="1:8" x14ac:dyDescent="0.25">
      <c r="A38" s="254" t="s">
        <v>114</v>
      </c>
      <c r="B38" s="254" t="s">
        <v>8198</v>
      </c>
      <c r="C38" s="254"/>
      <c r="D38" s="255">
        <v>26130</v>
      </c>
      <c r="E38" s="254" t="s">
        <v>359</v>
      </c>
      <c r="F38" s="254" t="s">
        <v>8196</v>
      </c>
      <c r="G38" s="254" t="s">
        <v>313</v>
      </c>
      <c r="H38" s="254"/>
    </row>
    <row r="39" spans="1:8" ht="51" customHeight="1" x14ac:dyDescent="0.25">
      <c r="A39" s="254" t="s">
        <v>114</v>
      </c>
      <c r="B39" s="254" t="s">
        <v>8199</v>
      </c>
      <c r="C39" s="254"/>
      <c r="D39" s="255">
        <v>26193</v>
      </c>
      <c r="E39" s="254" t="s">
        <v>374</v>
      </c>
      <c r="F39" s="254" t="s">
        <v>8200</v>
      </c>
      <c r="G39" s="254" t="s">
        <v>313</v>
      </c>
      <c r="H39" s="254"/>
    </row>
    <row r="40" spans="1:8" x14ac:dyDescent="0.25">
      <c r="A40" s="254" t="s">
        <v>114</v>
      </c>
      <c r="B40" s="254" t="s">
        <v>8201</v>
      </c>
      <c r="C40" s="254"/>
      <c r="D40" s="255">
        <v>26231</v>
      </c>
      <c r="E40" s="254" t="s">
        <v>8196</v>
      </c>
      <c r="F40" s="254" t="s">
        <v>8202</v>
      </c>
      <c r="G40" s="254" t="s">
        <v>308</v>
      </c>
      <c r="H40" s="254" t="s">
        <v>8203</v>
      </c>
    </row>
    <row r="41" spans="1:8" x14ac:dyDescent="0.25">
      <c r="A41" s="254" t="s">
        <v>114</v>
      </c>
      <c r="B41" s="254" t="s">
        <v>8204</v>
      </c>
      <c r="C41" s="254"/>
      <c r="D41" s="255">
        <v>26287</v>
      </c>
      <c r="E41" s="254" t="s">
        <v>8196</v>
      </c>
      <c r="F41" s="254" t="s">
        <v>8202</v>
      </c>
      <c r="G41" s="254" t="s">
        <v>308</v>
      </c>
      <c r="H41" s="254" t="s">
        <v>8203</v>
      </c>
    </row>
    <row r="42" spans="1:8" ht="38.25" customHeight="1" x14ac:dyDescent="0.25">
      <c r="A42" s="254" t="s">
        <v>114</v>
      </c>
      <c r="B42" s="254" t="s">
        <v>8205</v>
      </c>
      <c r="C42" s="254"/>
      <c r="D42" s="255">
        <v>26500</v>
      </c>
      <c r="E42" s="254" t="s">
        <v>1540</v>
      </c>
      <c r="F42" s="254" t="s">
        <v>375</v>
      </c>
      <c r="G42" s="254" t="s">
        <v>308</v>
      </c>
      <c r="H42" s="254"/>
    </row>
    <row r="43" spans="1:8" ht="38.25" customHeight="1" x14ac:dyDescent="0.25">
      <c r="A43" s="254" t="s">
        <v>114</v>
      </c>
      <c r="B43" s="254" t="s">
        <v>8206</v>
      </c>
      <c r="C43" s="254"/>
      <c r="D43" s="255">
        <v>26500</v>
      </c>
      <c r="E43" s="254" t="s">
        <v>1553</v>
      </c>
      <c r="F43" s="254" t="s">
        <v>375</v>
      </c>
      <c r="G43" s="254" t="s">
        <v>308</v>
      </c>
      <c r="H43" s="254"/>
    </row>
    <row r="44" spans="1:8" x14ac:dyDescent="0.25">
      <c r="A44" s="254" t="s">
        <v>114</v>
      </c>
      <c r="B44" s="254" t="s">
        <v>8207</v>
      </c>
      <c r="C44" s="255">
        <v>27962</v>
      </c>
      <c r="D44" s="255">
        <v>28167</v>
      </c>
      <c r="E44" s="254" t="s">
        <v>385</v>
      </c>
      <c r="F44" s="254" t="s">
        <v>8202</v>
      </c>
      <c r="G44" s="254" t="s">
        <v>8208</v>
      </c>
      <c r="H44" s="254" t="s">
        <v>8203</v>
      </c>
    </row>
    <row r="45" spans="1:8" x14ac:dyDescent="0.25">
      <c r="A45" s="254" t="s">
        <v>114</v>
      </c>
      <c r="B45" s="254" t="s">
        <v>8209</v>
      </c>
      <c r="C45" s="255">
        <v>27964</v>
      </c>
      <c r="D45" s="255">
        <v>28026</v>
      </c>
      <c r="E45" s="254" t="s">
        <v>385</v>
      </c>
      <c r="F45" s="254" t="s">
        <v>8210</v>
      </c>
      <c r="G45" s="254" t="s">
        <v>8208</v>
      </c>
      <c r="H45" s="254" t="s">
        <v>8203</v>
      </c>
    </row>
    <row r="46" spans="1:8" x14ac:dyDescent="0.25">
      <c r="A46" s="254" t="s">
        <v>114</v>
      </c>
      <c r="B46" s="254" t="s">
        <v>8211</v>
      </c>
      <c r="C46" s="255">
        <v>27964</v>
      </c>
      <c r="D46" s="255">
        <v>29388</v>
      </c>
      <c r="E46" s="254" t="s">
        <v>385</v>
      </c>
      <c r="F46" s="254" t="s">
        <v>8212</v>
      </c>
      <c r="G46" s="254" t="s">
        <v>8208</v>
      </c>
      <c r="H46" s="254" t="s">
        <v>8203</v>
      </c>
    </row>
    <row r="47" spans="1:8" x14ac:dyDescent="0.25">
      <c r="A47" s="254" t="s">
        <v>114</v>
      </c>
      <c r="B47" s="254" t="s">
        <v>8213</v>
      </c>
      <c r="C47" s="254"/>
      <c r="D47" s="255">
        <v>28412</v>
      </c>
      <c r="E47" s="254" t="s">
        <v>8202</v>
      </c>
      <c r="F47" s="254" t="s">
        <v>385</v>
      </c>
      <c r="G47" s="254" t="s">
        <v>308</v>
      </c>
      <c r="H47" s="254"/>
    </row>
    <row r="48" spans="1:8" x14ac:dyDescent="0.25">
      <c r="A48" s="254" t="s">
        <v>114</v>
      </c>
      <c r="B48" s="254" t="s">
        <v>8214</v>
      </c>
      <c r="C48" s="254"/>
      <c r="D48" s="255">
        <v>28596</v>
      </c>
      <c r="E48" s="254" t="s">
        <v>8215</v>
      </c>
      <c r="F48" s="254" t="s">
        <v>1629</v>
      </c>
      <c r="G48" s="254" t="s">
        <v>308</v>
      </c>
      <c r="H48" s="254" t="s">
        <v>8203</v>
      </c>
    </row>
    <row r="49" spans="1:8" x14ac:dyDescent="0.25">
      <c r="A49" s="254" t="s">
        <v>114</v>
      </c>
      <c r="B49" s="254" t="s">
        <v>8216</v>
      </c>
      <c r="C49" s="254"/>
      <c r="D49" s="255">
        <v>28648</v>
      </c>
      <c r="E49" s="254" t="s">
        <v>8215</v>
      </c>
      <c r="F49" s="254" t="s">
        <v>8210</v>
      </c>
      <c r="G49" s="254" t="s">
        <v>308</v>
      </c>
      <c r="H49" s="254" t="s">
        <v>8203</v>
      </c>
    </row>
    <row r="50" spans="1:8" x14ac:dyDescent="0.25">
      <c r="A50" s="254" t="s">
        <v>114</v>
      </c>
      <c r="B50" s="254" t="s">
        <v>8217</v>
      </c>
      <c r="C50" s="254"/>
      <c r="D50" s="255">
        <v>28683</v>
      </c>
      <c r="E50" s="254" t="s">
        <v>1094</v>
      </c>
      <c r="F50" s="254" t="s">
        <v>383</v>
      </c>
      <c r="G50" s="254" t="s">
        <v>313</v>
      </c>
      <c r="H50" s="254"/>
    </row>
    <row r="51" spans="1:8" x14ac:dyDescent="0.25">
      <c r="A51" s="254" t="s">
        <v>114</v>
      </c>
      <c r="B51" s="254" t="s">
        <v>8218</v>
      </c>
      <c r="C51" s="254"/>
      <c r="D51" s="255">
        <v>28683</v>
      </c>
      <c r="E51" s="254" t="s">
        <v>397</v>
      </c>
      <c r="F51" s="254" t="s">
        <v>383</v>
      </c>
      <c r="G51" s="254" t="s">
        <v>313</v>
      </c>
      <c r="H51" s="254"/>
    </row>
    <row r="52" spans="1:8" x14ac:dyDescent="0.25">
      <c r="A52" s="254" t="s">
        <v>114</v>
      </c>
      <c r="B52" s="254" t="s">
        <v>8219</v>
      </c>
      <c r="C52" s="254"/>
      <c r="D52" s="255">
        <v>28683</v>
      </c>
      <c r="E52" s="254" t="s">
        <v>396</v>
      </c>
      <c r="F52" s="254" t="s">
        <v>383</v>
      </c>
      <c r="G52" s="254" t="s">
        <v>313</v>
      </c>
      <c r="H52" s="254"/>
    </row>
    <row r="53" spans="1:8" x14ac:dyDescent="0.25">
      <c r="A53" s="254" t="s">
        <v>114</v>
      </c>
      <c r="B53" s="254" t="s">
        <v>8220</v>
      </c>
      <c r="C53" s="254"/>
      <c r="D53" s="255">
        <v>28683</v>
      </c>
      <c r="E53" s="254" t="s">
        <v>573</v>
      </c>
      <c r="F53" s="254" t="s">
        <v>383</v>
      </c>
      <c r="G53" s="254" t="s">
        <v>313</v>
      </c>
      <c r="H53" s="254"/>
    </row>
    <row r="54" spans="1:8" x14ac:dyDescent="0.25">
      <c r="A54" s="254" t="s">
        <v>114</v>
      </c>
      <c r="B54" s="254" t="s">
        <v>8221</v>
      </c>
      <c r="C54" s="254"/>
      <c r="D54" s="255">
        <v>28683</v>
      </c>
      <c r="E54" s="254" t="s">
        <v>401</v>
      </c>
      <c r="F54" s="254" t="s">
        <v>383</v>
      </c>
      <c r="G54" s="254" t="s">
        <v>313</v>
      </c>
      <c r="H54" s="254"/>
    </row>
    <row r="55" spans="1:8" x14ac:dyDescent="0.25">
      <c r="A55" s="254" t="s">
        <v>114</v>
      </c>
      <c r="B55" s="254" t="s">
        <v>8222</v>
      </c>
      <c r="C55" s="254"/>
      <c r="D55" s="255">
        <v>28683</v>
      </c>
      <c r="E55" s="254" t="s">
        <v>5641</v>
      </c>
      <c r="F55" s="254" t="s">
        <v>383</v>
      </c>
      <c r="G55" s="254" t="s">
        <v>313</v>
      </c>
      <c r="H55" s="254"/>
    </row>
    <row r="56" spans="1:8" x14ac:dyDescent="0.25">
      <c r="A56" s="254" t="s">
        <v>114</v>
      </c>
      <c r="B56" s="254" t="s">
        <v>8223</v>
      </c>
      <c r="C56" s="254"/>
      <c r="D56" s="255">
        <v>28683</v>
      </c>
      <c r="E56" s="254" t="s">
        <v>392</v>
      </c>
      <c r="F56" s="254" t="s">
        <v>383</v>
      </c>
      <c r="G56" s="254" t="s">
        <v>313</v>
      </c>
      <c r="H56" s="254"/>
    </row>
    <row r="57" spans="1:8" x14ac:dyDescent="0.25">
      <c r="A57" s="254" t="s">
        <v>114</v>
      </c>
      <c r="B57" s="254" t="s">
        <v>8224</v>
      </c>
      <c r="C57" s="254"/>
      <c r="D57" s="255">
        <v>28683</v>
      </c>
      <c r="E57" s="254" t="s">
        <v>394</v>
      </c>
      <c r="F57" s="254" t="s">
        <v>383</v>
      </c>
      <c r="G57" s="254" t="s">
        <v>313</v>
      </c>
      <c r="H57" s="254"/>
    </row>
    <row r="58" spans="1:8" x14ac:dyDescent="0.25">
      <c r="A58" s="254" t="s">
        <v>114</v>
      </c>
      <c r="B58" s="254" t="s">
        <v>8225</v>
      </c>
      <c r="C58" s="254"/>
      <c r="D58" s="255">
        <v>28683</v>
      </c>
      <c r="E58" s="254" t="s">
        <v>395</v>
      </c>
      <c r="F58" s="254" t="s">
        <v>383</v>
      </c>
      <c r="G58" s="254" t="s">
        <v>313</v>
      </c>
      <c r="H58" s="254"/>
    </row>
    <row r="59" spans="1:8" x14ac:dyDescent="0.25">
      <c r="A59" s="254" t="s">
        <v>114</v>
      </c>
      <c r="B59" s="254" t="s">
        <v>8226</v>
      </c>
      <c r="C59" s="254"/>
      <c r="D59" s="255">
        <v>28683</v>
      </c>
      <c r="E59" s="254" t="s">
        <v>1681</v>
      </c>
      <c r="F59" s="254" t="s">
        <v>383</v>
      </c>
      <c r="G59" s="254" t="s">
        <v>313</v>
      </c>
      <c r="H59" s="254"/>
    </row>
    <row r="60" spans="1:8" x14ac:dyDescent="0.25">
      <c r="A60" s="254" t="s">
        <v>114</v>
      </c>
      <c r="B60" s="254" t="s">
        <v>8227</v>
      </c>
      <c r="C60" s="254"/>
      <c r="D60" s="255">
        <v>28688</v>
      </c>
      <c r="E60" s="254" t="s">
        <v>5638</v>
      </c>
      <c r="F60" s="254" t="s">
        <v>383</v>
      </c>
      <c r="G60" s="254" t="s">
        <v>313</v>
      </c>
      <c r="H60" s="254"/>
    </row>
    <row r="61" spans="1:8" x14ac:dyDescent="0.25">
      <c r="A61" s="254" t="s">
        <v>114</v>
      </c>
      <c r="B61" s="254" t="s">
        <v>8228</v>
      </c>
      <c r="C61" s="255">
        <v>28691</v>
      </c>
      <c r="D61" s="255">
        <v>28711</v>
      </c>
      <c r="E61" s="254" t="s">
        <v>406</v>
      </c>
      <c r="F61" s="254" t="s">
        <v>387</v>
      </c>
      <c r="G61" s="254" t="s">
        <v>8229</v>
      </c>
      <c r="H61" s="254"/>
    </row>
    <row r="62" spans="1:8" x14ac:dyDescent="0.25">
      <c r="A62" s="254" t="s">
        <v>114</v>
      </c>
      <c r="B62" s="254" t="s">
        <v>8230</v>
      </c>
      <c r="C62" s="254"/>
      <c r="D62" s="255">
        <v>28814</v>
      </c>
      <c r="E62" s="254" t="s">
        <v>8202</v>
      </c>
      <c r="F62" s="254" t="s">
        <v>8215</v>
      </c>
      <c r="G62" s="254" t="s">
        <v>308</v>
      </c>
      <c r="H62" s="254"/>
    </row>
    <row r="63" spans="1:8" x14ac:dyDescent="0.25">
      <c r="A63" s="254" t="s">
        <v>114</v>
      </c>
      <c r="B63" s="254" t="s">
        <v>8231</v>
      </c>
      <c r="C63" s="254"/>
      <c r="D63" s="255">
        <v>28970</v>
      </c>
      <c r="E63" s="254" t="s">
        <v>8202</v>
      </c>
      <c r="F63" s="254" t="s">
        <v>8215</v>
      </c>
      <c r="G63" s="254" t="s">
        <v>313</v>
      </c>
      <c r="H63" s="254"/>
    </row>
    <row r="64" spans="1:8" x14ac:dyDescent="0.25">
      <c r="A64" s="254" t="s">
        <v>114</v>
      </c>
      <c r="B64" s="254" t="s">
        <v>8232</v>
      </c>
      <c r="C64" s="254"/>
      <c r="D64" s="255">
        <v>29052</v>
      </c>
      <c r="E64" s="254" t="s">
        <v>8215</v>
      </c>
      <c r="F64" s="254" t="s">
        <v>8233</v>
      </c>
      <c r="G64" s="254" t="s">
        <v>308</v>
      </c>
      <c r="H64" s="254" t="s">
        <v>8203</v>
      </c>
    </row>
    <row r="65" spans="1:8" x14ac:dyDescent="0.25">
      <c r="A65" s="254" t="s">
        <v>114</v>
      </c>
      <c r="B65" s="254" t="s">
        <v>8234</v>
      </c>
      <c r="C65" s="254"/>
      <c r="D65" s="255">
        <v>29189</v>
      </c>
      <c r="E65" s="254" t="s">
        <v>8215</v>
      </c>
      <c r="F65" s="254" t="s">
        <v>385</v>
      </c>
      <c r="G65" s="254" t="s">
        <v>308</v>
      </c>
      <c r="H65" s="254" t="s">
        <v>8203</v>
      </c>
    </row>
    <row r="66" spans="1:8" x14ac:dyDescent="0.25">
      <c r="A66" s="254" t="s">
        <v>114</v>
      </c>
      <c r="B66" s="254" t="s">
        <v>8235</v>
      </c>
      <c r="C66" s="254"/>
      <c r="D66" s="255">
        <v>29312</v>
      </c>
      <c r="E66" s="254" t="s">
        <v>408</v>
      </c>
      <c r="F66" s="254" t="s">
        <v>8236</v>
      </c>
      <c r="G66" s="254" t="s">
        <v>313</v>
      </c>
      <c r="H66" s="254"/>
    </row>
    <row r="67" spans="1:8" x14ac:dyDescent="0.25">
      <c r="A67" s="254" t="s">
        <v>114</v>
      </c>
      <c r="B67" s="254" t="s">
        <v>8237</v>
      </c>
      <c r="C67" s="254"/>
      <c r="D67" s="255">
        <v>29444</v>
      </c>
      <c r="E67" s="254" t="s">
        <v>8215</v>
      </c>
      <c r="F67" s="254" t="s">
        <v>385</v>
      </c>
      <c r="G67" s="254" t="s">
        <v>308</v>
      </c>
      <c r="H67" s="254" t="s">
        <v>8203</v>
      </c>
    </row>
    <row r="68" spans="1:8" x14ac:dyDescent="0.25">
      <c r="A68" s="254" t="s">
        <v>114</v>
      </c>
      <c r="B68" s="254" t="s">
        <v>8238</v>
      </c>
      <c r="C68" s="255">
        <v>29844</v>
      </c>
      <c r="D68" s="255">
        <v>29867</v>
      </c>
      <c r="E68" s="254" t="s">
        <v>8202</v>
      </c>
      <c r="F68" s="254" t="s">
        <v>8239</v>
      </c>
      <c r="G68" s="254" t="s">
        <v>308</v>
      </c>
      <c r="H68" s="254" t="s">
        <v>8203</v>
      </c>
    </row>
    <row r="69" spans="1:8" x14ac:dyDescent="0.25">
      <c r="A69" s="254" t="s">
        <v>114</v>
      </c>
      <c r="B69" s="254" t="s">
        <v>8240</v>
      </c>
      <c r="C69" s="254"/>
      <c r="D69" s="255">
        <v>29857</v>
      </c>
      <c r="E69" s="254" t="s">
        <v>410</v>
      </c>
      <c r="F69" s="254" t="s">
        <v>1772</v>
      </c>
      <c r="G69" s="254" t="s">
        <v>313</v>
      </c>
      <c r="H69" s="254"/>
    </row>
    <row r="70" spans="1:8" x14ac:dyDescent="0.25">
      <c r="A70" s="254" t="s">
        <v>114</v>
      </c>
      <c r="B70" s="254" t="s">
        <v>8241</v>
      </c>
      <c r="C70" s="254"/>
      <c r="D70" s="255">
        <v>29857</v>
      </c>
      <c r="E70" s="254" t="s">
        <v>410</v>
      </c>
      <c r="F70" s="254" t="s">
        <v>1775</v>
      </c>
      <c r="G70" s="254" t="s">
        <v>313</v>
      </c>
      <c r="H70" s="254"/>
    </row>
    <row r="71" spans="1:8" x14ac:dyDescent="0.25">
      <c r="A71" s="254" t="s">
        <v>114</v>
      </c>
      <c r="B71" s="254" t="s">
        <v>8242</v>
      </c>
      <c r="C71" s="254"/>
      <c r="D71" s="255">
        <v>29977</v>
      </c>
      <c r="E71" s="254" t="s">
        <v>1775</v>
      </c>
      <c r="F71" s="254" t="s">
        <v>410</v>
      </c>
      <c r="G71" s="254" t="s">
        <v>313</v>
      </c>
      <c r="H71" s="254"/>
    </row>
    <row r="72" spans="1:8" x14ac:dyDescent="0.25">
      <c r="A72" s="254" t="s">
        <v>114</v>
      </c>
      <c r="B72" s="254" t="s">
        <v>8243</v>
      </c>
      <c r="C72" s="254"/>
      <c r="D72" s="255">
        <v>30081</v>
      </c>
      <c r="E72" s="254" t="s">
        <v>410</v>
      </c>
      <c r="F72" s="254" t="s">
        <v>1772</v>
      </c>
      <c r="G72" s="254" t="s">
        <v>313</v>
      </c>
      <c r="H72" s="254"/>
    </row>
    <row r="73" spans="1:8" x14ac:dyDescent="0.25">
      <c r="A73" s="254" t="s">
        <v>114</v>
      </c>
      <c r="B73" s="254" t="s">
        <v>8244</v>
      </c>
      <c r="C73" s="254"/>
      <c r="D73" s="255">
        <v>30095</v>
      </c>
      <c r="E73" s="254" t="s">
        <v>8245</v>
      </c>
      <c r="F73" s="254" t="s">
        <v>5687</v>
      </c>
      <c r="G73" s="254" t="s">
        <v>313</v>
      </c>
      <c r="H73" s="254"/>
    </row>
    <row r="74" spans="1:8" x14ac:dyDescent="0.25">
      <c r="A74" s="254" t="s">
        <v>114</v>
      </c>
      <c r="B74" s="254" t="s">
        <v>8246</v>
      </c>
      <c r="C74" s="254"/>
      <c r="D74" s="255">
        <v>30095</v>
      </c>
      <c r="E74" s="254" t="s">
        <v>8245</v>
      </c>
      <c r="F74" s="254" t="s">
        <v>5687</v>
      </c>
      <c r="G74" s="254" t="s">
        <v>313</v>
      </c>
      <c r="H74" s="254"/>
    </row>
    <row r="75" spans="1:8" x14ac:dyDescent="0.25">
      <c r="A75" s="254" t="s">
        <v>114</v>
      </c>
      <c r="B75" s="254" t="s">
        <v>8247</v>
      </c>
      <c r="C75" s="254"/>
      <c r="D75" s="255">
        <v>30095</v>
      </c>
      <c r="E75" s="254" t="s">
        <v>8245</v>
      </c>
      <c r="F75" s="254" t="s">
        <v>5687</v>
      </c>
      <c r="G75" s="254" t="s">
        <v>313</v>
      </c>
      <c r="H75" s="254"/>
    </row>
    <row r="76" spans="1:8" x14ac:dyDescent="0.25">
      <c r="A76" s="254" t="s">
        <v>114</v>
      </c>
      <c r="B76" s="254" t="s">
        <v>8248</v>
      </c>
      <c r="C76" s="254"/>
      <c r="D76" s="255">
        <v>30130</v>
      </c>
      <c r="E76" s="254" t="s">
        <v>8245</v>
      </c>
      <c r="F76" s="254" t="s">
        <v>5687</v>
      </c>
      <c r="G76" s="254" t="s">
        <v>313</v>
      </c>
      <c r="H76" s="254"/>
    </row>
    <row r="77" spans="1:8" ht="25.5" customHeight="1" x14ac:dyDescent="0.25">
      <c r="A77" s="254" t="s">
        <v>114</v>
      </c>
      <c r="B77" s="254" t="s">
        <v>8249</v>
      </c>
      <c r="C77" s="254"/>
      <c r="D77" s="255">
        <v>30173</v>
      </c>
      <c r="E77" s="254" t="s">
        <v>8250</v>
      </c>
      <c r="F77" s="254" t="s">
        <v>8251</v>
      </c>
      <c r="G77" s="254" t="s">
        <v>308</v>
      </c>
      <c r="H77" s="254"/>
    </row>
    <row r="78" spans="1:8" x14ac:dyDescent="0.25">
      <c r="A78" s="254" t="s">
        <v>114</v>
      </c>
      <c r="B78" s="254" t="s">
        <v>8252</v>
      </c>
      <c r="C78" s="254"/>
      <c r="D78" s="255">
        <v>30230</v>
      </c>
      <c r="E78" s="254" t="s">
        <v>8253</v>
      </c>
      <c r="F78" s="254" t="s">
        <v>8254</v>
      </c>
      <c r="G78" s="254" t="s">
        <v>313</v>
      </c>
      <c r="H78" s="254"/>
    </row>
    <row r="79" spans="1:8" ht="25.5" customHeight="1" x14ac:dyDescent="0.25">
      <c r="A79" s="254" t="s">
        <v>114</v>
      </c>
      <c r="B79" s="254" t="s">
        <v>8255</v>
      </c>
      <c r="C79" s="254"/>
      <c r="D79" s="255">
        <v>30411</v>
      </c>
      <c r="E79" s="254" t="s">
        <v>8256</v>
      </c>
      <c r="F79" s="254" t="s">
        <v>8257</v>
      </c>
      <c r="G79" s="254" t="s">
        <v>308</v>
      </c>
      <c r="H79" s="254"/>
    </row>
    <row r="80" spans="1:8" x14ac:dyDescent="0.25">
      <c r="A80" s="254" t="s">
        <v>114</v>
      </c>
      <c r="B80" s="254" t="s">
        <v>8258</v>
      </c>
      <c r="C80" s="254"/>
      <c r="D80" s="255">
        <v>30433</v>
      </c>
      <c r="E80" s="254" t="s">
        <v>8259</v>
      </c>
      <c r="F80" s="254" t="s">
        <v>8260</v>
      </c>
      <c r="G80" s="254" t="s">
        <v>308</v>
      </c>
      <c r="H80" s="254" t="s">
        <v>8203</v>
      </c>
    </row>
    <row r="81" spans="1:8" ht="25.5" customHeight="1" x14ac:dyDescent="0.25">
      <c r="A81" s="254" t="s">
        <v>114</v>
      </c>
      <c r="B81" s="254" t="s">
        <v>8261</v>
      </c>
      <c r="C81" s="254"/>
      <c r="D81" s="255">
        <v>30490</v>
      </c>
      <c r="E81" s="254" t="s">
        <v>8262</v>
      </c>
      <c r="F81" s="254" t="s">
        <v>8263</v>
      </c>
      <c r="G81" s="254" t="s">
        <v>313</v>
      </c>
      <c r="H81" s="254"/>
    </row>
    <row r="82" spans="1:8" x14ac:dyDescent="0.25">
      <c r="A82" s="254" t="s">
        <v>114</v>
      </c>
      <c r="B82" s="254" t="s">
        <v>8264</v>
      </c>
      <c r="C82" s="254"/>
      <c r="D82" s="255">
        <v>30536</v>
      </c>
      <c r="E82" s="254" t="s">
        <v>8265</v>
      </c>
      <c r="F82" s="254" t="s">
        <v>8239</v>
      </c>
      <c r="G82" s="254" t="s">
        <v>313</v>
      </c>
      <c r="H82" s="254"/>
    </row>
    <row r="83" spans="1:8" x14ac:dyDescent="0.25">
      <c r="A83" s="254" t="s">
        <v>114</v>
      </c>
      <c r="B83" s="254" t="s">
        <v>8266</v>
      </c>
      <c r="C83" s="254"/>
      <c r="D83" s="255">
        <v>30536</v>
      </c>
      <c r="E83" s="254" t="s">
        <v>8265</v>
      </c>
      <c r="F83" s="254" t="s">
        <v>8239</v>
      </c>
      <c r="G83" s="254" t="s">
        <v>313</v>
      </c>
      <c r="H83" s="254"/>
    </row>
    <row r="84" spans="1:8" x14ac:dyDescent="0.25">
      <c r="A84" s="254" t="s">
        <v>114</v>
      </c>
      <c r="B84" s="254" t="s">
        <v>8267</v>
      </c>
      <c r="C84" s="254"/>
      <c r="D84" s="255">
        <v>30757</v>
      </c>
      <c r="E84" s="254" t="s">
        <v>8215</v>
      </c>
      <c r="F84" s="254" t="s">
        <v>8268</v>
      </c>
      <c r="G84" s="254" t="s">
        <v>308</v>
      </c>
      <c r="H84" s="254" t="s">
        <v>8203</v>
      </c>
    </row>
    <row r="85" spans="1:8" x14ac:dyDescent="0.25">
      <c r="A85" s="254" t="s">
        <v>114</v>
      </c>
      <c r="B85" s="254" t="s">
        <v>8269</v>
      </c>
      <c r="C85" s="254"/>
      <c r="D85" s="255">
        <v>30769</v>
      </c>
      <c r="E85" s="254" t="s">
        <v>1772</v>
      </c>
      <c r="F85" s="254" t="s">
        <v>5682</v>
      </c>
      <c r="G85" s="254" t="s">
        <v>308</v>
      </c>
      <c r="H85" s="254"/>
    </row>
    <row r="86" spans="1:8" x14ac:dyDescent="0.25">
      <c r="A86" s="254" t="s">
        <v>114</v>
      </c>
      <c r="B86" s="254" t="s">
        <v>8270</v>
      </c>
      <c r="C86" s="254"/>
      <c r="D86" s="255">
        <v>30937</v>
      </c>
      <c r="E86" s="254" t="s">
        <v>8210</v>
      </c>
      <c r="F86" s="254" t="s">
        <v>8271</v>
      </c>
      <c r="G86" s="254" t="s">
        <v>308</v>
      </c>
      <c r="H86" s="254" t="s">
        <v>8203</v>
      </c>
    </row>
    <row r="87" spans="1:8" x14ac:dyDescent="0.25">
      <c r="A87" s="254" t="s">
        <v>114</v>
      </c>
      <c r="B87" s="254" t="s">
        <v>8272</v>
      </c>
      <c r="C87" s="254"/>
      <c r="D87" s="255">
        <v>30979</v>
      </c>
      <c r="E87" s="254" t="s">
        <v>8212</v>
      </c>
      <c r="F87" s="254" t="s">
        <v>8273</v>
      </c>
      <c r="G87" s="254" t="s">
        <v>313</v>
      </c>
      <c r="H87" s="254"/>
    </row>
    <row r="88" spans="1:8" x14ac:dyDescent="0.25">
      <c r="A88" s="254" t="s">
        <v>114</v>
      </c>
      <c r="B88" s="254" t="s">
        <v>8274</v>
      </c>
      <c r="C88" s="254"/>
      <c r="D88" s="255">
        <v>31147</v>
      </c>
      <c r="E88" s="254" t="s">
        <v>440</v>
      </c>
      <c r="F88" s="254" t="s">
        <v>8275</v>
      </c>
      <c r="G88" s="254" t="s">
        <v>308</v>
      </c>
      <c r="H88" s="254"/>
    </row>
    <row r="89" spans="1:8" ht="25.5" customHeight="1" x14ac:dyDescent="0.25">
      <c r="A89" s="254" t="s">
        <v>114</v>
      </c>
      <c r="B89" s="254" t="s">
        <v>8276</v>
      </c>
      <c r="C89" s="254"/>
      <c r="D89" s="255">
        <v>31964</v>
      </c>
      <c r="E89" s="254" t="s">
        <v>5690</v>
      </c>
      <c r="F89" s="254" t="s">
        <v>8277</v>
      </c>
      <c r="G89" s="254" t="s">
        <v>308</v>
      </c>
      <c r="H89" s="254"/>
    </row>
    <row r="90" spans="1:8" x14ac:dyDescent="0.25">
      <c r="A90" s="254" t="s">
        <v>114</v>
      </c>
      <c r="B90" s="254" t="s">
        <v>8278</v>
      </c>
      <c r="C90" s="254"/>
      <c r="D90" s="255">
        <v>32009</v>
      </c>
      <c r="E90" s="254" t="s">
        <v>445</v>
      </c>
      <c r="F90" s="254" t="s">
        <v>8279</v>
      </c>
      <c r="G90" s="254" t="s">
        <v>313</v>
      </c>
      <c r="H90" s="254"/>
    </row>
    <row r="91" spans="1:8" x14ac:dyDescent="0.25">
      <c r="A91" s="254" t="s">
        <v>114</v>
      </c>
      <c r="B91" s="254" t="s">
        <v>8280</v>
      </c>
      <c r="C91" s="254"/>
      <c r="D91" s="255">
        <v>32009</v>
      </c>
      <c r="E91" s="254" t="s">
        <v>445</v>
      </c>
      <c r="F91" s="254" t="s">
        <v>8279</v>
      </c>
      <c r="G91" s="254" t="s">
        <v>313</v>
      </c>
      <c r="H91" s="254"/>
    </row>
    <row r="92" spans="1:8" x14ac:dyDescent="0.25">
      <c r="A92" s="254" t="s">
        <v>114</v>
      </c>
      <c r="B92" s="254" t="s">
        <v>8281</v>
      </c>
      <c r="C92" s="254"/>
      <c r="D92" s="255">
        <v>32106</v>
      </c>
      <c r="E92" s="254" t="s">
        <v>8279</v>
      </c>
      <c r="F92" s="254" t="s">
        <v>8282</v>
      </c>
      <c r="G92" s="254" t="s">
        <v>313</v>
      </c>
      <c r="H92" s="254"/>
    </row>
    <row r="93" spans="1:8" x14ac:dyDescent="0.25">
      <c r="A93" s="254" t="s">
        <v>114</v>
      </c>
      <c r="B93" s="254" t="s">
        <v>8283</v>
      </c>
      <c r="C93" s="254"/>
      <c r="D93" s="255">
        <v>32106</v>
      </c>
      <c r="E93" s="254" t="s">
        <v>8279</v>
      </c>
      <c r="F93" s="254" t="s">
        <v>8282</v>
      </c>
      <c r="G93" s="254" t="s">
        <v>313</v>
      </c>
      <c r="H93" s="254"/>
    </row>
    <row r="94" spans="1:8" x14ac:dyDescent="0.25">
      <c r="A94" s="254" t="s">
        <v>114</v>
      </c>
      <c r="B94" s="254" t="s">
        <v>8284</v>
      </c>
      <c r="C94" s="254"/>
      <c r="D94" s="255">
        <v>32106</v>
      </c>
      <c r="E94" s="254" t="s">
        <v>8282</v>
      </c>
      <c r="F94" s="254" t="s">
        <v>8285</v>
      </c>
      <c r="G94" s="254" t="s">
        <v>313</v>
      </c>
      <c r="H94" s="254"/>
    </row>
    <row r="95" spans="1:8" x14ac:dyDescent="0.25">
      <c r="A95" s="254" t="s">
        <v>114</v>
      </c>
      <c r="B95" s="254" t="s">
        <v>6927</v>
      </c>
      <c r="C95" s="254"/>
      <c r="D95" s="255">
        <v>32674</v>
      </c>
      <c r="E95" s="254" t="s">
        <v>5659</v>
      </c>
      <c r="F95" s="254" t="s">
        <v>2217</v>
      </c>
      <c r="G95" s="254" t="s">
        <v>308</v>
      </c>
      <c r="H95" s="254"/>
    </row>
    <row r="96" spans="1:8" x14ac:dyDescent="0.25">
      <c r="A96" s="254" t="s">
        <v>114</v>
      </c>
      <c r="B96" s="254" t="s">
        <v>6956</v>
      </c>
      <c r="C96" s="254"/>
      <c r="D96" s="255">
        <v>32713</v>
      </c>
      <c r="E96" s="254" t="s">
        <v>8286</v>
      </c>
      <c r="F96" s="254" t="s">
        <v>8287</v>
      </c>
      <c r="G96" s="254" t="s">
        <v>308</v>
      </c>
      <c r="H96" s="254" t="s">
        <v>8203</v>
      </c>
    </row>
    <row r="97" spans="1:8" ht="25.5" customHeight="1" x14ac:dyDescent="0.25">
      <c r="A97" s="254" t="s">
        <v>114</v>
      </c>
      <c r="B97" s="254" t="s">
        <v>6962</v>
      </c>
      <c r="C97" s="254"/>
      <c r="D97" s="255">
        <v>32787</v>
      </c>
      <c r="E97" s="254" t="s">
        <v>5690</v>
      </c>
      <c r="F97" s="254" t="s">
        <v>8288</v>
      </c>
      <c r="G97" s="254" t="s">
        <v>308</v>
      </c>
      <c r="H97" s="254" t="s">
        <v>8203</v>
      </c>
    </row>
    <row r="98" spans="1:8" ht="25.5" customHeight="1" x14ac:dyDescent="0.25">
      <c r="A98" s="254" t="s">
        <v>114</v>
      </c>
      <c r="B98" s="254" t="s">
        <v>6969</v>
      </c>
      <c r="C98" s="254"/>
      <c r="D98" s="255">
        <v>32800</v>
      </c>
      <c r="E98" s="254" t="s">
        <v>266</v>
      </c>
      <c r="F98" s="254" t="s">
        <v>8289</v>
      </c>
      <c r="G98" s="254" t="s">
        <v>313</v>
      </c>
      <c r="H98" s="254"/>
    </row>
    <row r="99" spans="1:8" x14ac:dyDescent="0.25">
      <c r="A99" s="254" t="s">
        <v>114</v>
      </c>
      <c r="B99" s="254" t="s">
        <v>6988</v>
      </c>
      <c r="C99" s="254"/>
      <c r="D99" s="255">
        <v>32903</v>
      </c>
      <c r="E99" s="254" t="s">
        <v>455</v>
      </c>
      <c r="F99" s="254" t="s">
        <v>2288</v>
      </c>
      <c r="G99" s="254" t="s">
        <v>308</v>
      </c>
      <c r="H99" s="254" t="s">
        <v>8203</v>
      </c>
    </row>
    <row r="100" spans="1:8" x14ac:dyDescent="0.25">
      <c r="A100" s="254" t="s">
        <v>114</v>
      </c>
      <c r="B100" s="254" t="s">
        <v>6997</v>
      </c>
      <c r="C100" s="254"/>
      <c r="D100" s="255">
        <v>32904</v>
      </c>
      <c r="E100" s="254" t="s">
        <v>450</v>
      </c>
      <c r="F100" s="254" t="s">
        <v>455</v>
      </c>
      <c r="G100" s="254" t="s">
        <v>308</v>
      </c>
      <c r="H100" s="254"/>
    </row>
    <row r="101" spans="1:8" x14ac:dyDescent="0.25">
      <c r="A101" s="254" t="s">
        <v>114</v>
      </c>
      <c r="B101" s="254" t="s">
        <v>7000</v>
      </c>
      <c r="C101" s="254"/>
      <c r="D101" s="255">
        <v>32904</v>
      </c>
      <c r="E101" s="254" t="s">
        <v>451</v>
      </c>
      <c r="F101" s="254" t="s">
        <v>455</v>
      </c>
      <c r="G101" s="254" t="s">
        <v>313</v>
      </c>
      <c r="H101" s="254"/>
    </row>
    <row r="102" spans="1:8" x14ac:dyDescent="0.25">
      <c r="A102" s="254" t="s">
        <v>114</v>
      </c>
      <c r="B102" s="254" t="s">
        <v>7005</v>
      </c>
      <c r="C102" s="254"/>
      <c r="D102" s="255">
        <v>32911</v>
      </c>
      <c r="E102" s="254" t="s">
        <v>8290</v>
      </c>
      <c r="F102" s="254" t="s">
        <v>2217</v>
      </c>
      <c r="G102" s="254" t="s">
        <v>313</v>
      </c>
      <c r="H102" s="254"/>
    </row>
    <row r="103" spans="1:8" x14ac:dyDescent="0.25">
      <c r="A103" s="254" t="s">
        <v>114</v>
      </c>
      <c r="B103" s="254" t="s">
        <v>7029</v>
      </c>
      <c r="C103" s="254"/>
      <c r="D103" s="255">
        <v>32930</v>
      </c>
      <c r="E103" s="254" t="s">
        <v>8291</v>
      </c>
      <c r="F103" s="254" t="s">
        <v>8292</v>
      </c>
      <c r="G103" s="254" t="s">
        <v>308</v>
      </c>
      <c r="H103" s="254" t="s">
        <v>8203</v>
      </c>
    </row>
    <row r="104" spans="1:8" ht="25.5" customHeight="1" x14ac:dyDescent="0.25">
      <c r="A104" s="254" t="s">
        <v>114</v>
      </c>
      <c r="B104" s="254" t="s">
        <v>7073</v>
      </c>
      <c r="C104" s="254"/>
      <c r="D104" s="255">
        <v>32997</v>
      </c>
      <c r="E104" s="254" t="s">
        <v>8293</v>
      </c>
      <c r="F104" s="254" t="s">
        <v>8294</v>
      </c>
      <c r="G104" s="254" t="s">
        <v>308</v>
      </c>
      <c r="H104" s="254"/>
    </row>
    <row r="105" spans="1:8" x14ac:dyDescent="0.25">
      <c r="A105" s="254" t="s">
        <v>114</v>
      </c>
      <c r="B105" s="254" t="s">
        <v>7082</v>
      </c>
      <c r="C105" s="254"/>
      <c r="D105" s="255">
        <v>33033</v>
      </c>
      <c r="E105" s="254" t="s">
        <v>455</v>
      </c>
      <c r="F105" s="254" t="s">
        <v>2288</v>
      </c>
      <c r="G105" s="254" t="s">
        <v>308</v>
      </c>
      <c r="H105" s="254"/>
    </row>
    <row r="106" spans="1:8" x14ac:dyDescent="0.25">
      <c r="A106" s="254" t="s">
        <v>114</v>
      </c>
      <c r="B106" s="254" t="s">
        <v>7108</v>
      </c>
      <c r="C106" s="254"/>
      <c r="D106" s="255">
        <v>33315</v>
      </c>
      <c r="E106" s="254" t="s">
        <v>466</v>
      </c>
      <c r="F106" s="254" t="s">
        <v>8295</v>
      </c>
      <c r="G106" s="254" t="s">
        <v>308</v>
      </c>
      <c r="H106" s="254"/>
    </row>
    <row r="107" spans="1:8" x14ac:dyDescent="0.25">
      <c r="A107" s="254" t="s">
        <v>114</v>
      </c>
      <c r="B107" s="254" t="s">
        <v>7111</v>
      </c>
      <c r="C107" s="254"/>
      <c r="D107" s="255">
        <v>33378</v>
      </c>
      <c r="E107" s="254" t="s">
        <v>455</v>
      </c>
      <c r="F107" s="254" t="s">
        <v>2288</v>
      </c>
      <c r="G107" s="254" t="s">
        <v>308</v>
      </c>
      <c r="H107" s="254"/>
    </row>
    <row r="108" spans="1:8" ht="25.5" customHeight="1" x14ac:dyDescent="0.25">
      <c r="A108" s="254" t="s">
        <v>114</v>
      </c>
      <c r="B108" s="254" t="s">
        <v>7117</v>
      </c>
      <c r="C108" s="254"/>
      <c r="D108" s="255">
        <v>33444</v>
      </c>
      <c r="E108" s="254" t="s">
        <v>2423</v>
      </c>
      <c r="F108" s="254" t="s">
        <v>8295</v>
      </c>
      <c r="G108" s="254" t="s">
        <v>308</v>
      </c>
      <c r="H108" s="254"/>
    </row>
    <row r="109" spans="1:8" ht="25.5" customHeight="1" x14ac:dyDescent="0.25">
      <c r="A109" s="254" t="s">
        <v>114</v>
      </c>
      <c r="B109" s="254" t="s">
        <v>7120</v>
      </c>
      <c r="C109" s="254"/>
      <c r="D109" s="255">
        <v>33451</v>
      </c>
      <c r="E109" s="254" t="s">
        <v>8296</v>
      </c>
      <c r="F109" s="254" t="s">
        <v>2428</v>
      </c>
      <c r="G109" s="254" t="s">
        <v>308</v>
      </c>
      <c r="H109" s="254" t="s">
        <v>8203</v>
      </c>
    </row>
    <row r="110" spans="1:8" x14ac:dyDescent="0.25">
      <c r="A110" s="254" t="s">
        <v>114</v>
      </c>
      <c r="B110" s="254" t="s">
        <v>7126</v>
      </c>
      <c r="C110" s="255">
        <v>33456</v>
      </c>
      <c r="D110" s="255">
        <v>33518</v>
      </c>
      <c r="E110" s="254" t="s">
        <v>2082</v>
      </c>
      <c r="F110" s="254" t="s">
        <v>2435</v>
      </c>
      <c r="G110" s="254" t="s">
        <v>308</v>
      </c>
      <c r="H110" s="254" t="s">
        <v>8203</v>
      </c>
    </row>
    <row r="111" spans="1:8" ht="25.5" customHeight="1" x14ac:dyDescent="0.25">
      <c r="A111" s="254" t="s">
        <v>114</v>
      </c>
      <c r="B111" s="254" t="s">
        <v>7166</v>
      </c>
      <c r="C111" s="254"/>
      <c r="D111" s="255">
        <v>33898</v>
      </c>
      <c r="E111" s="254" t="s">
        <v>8297</v>
      </c>
      <c r="F111" s="254" t="s">
        <v>8298</v>
      </c>
      <c r="G111" s="254" t="s">
        <v>308</v>
      </c>
      <c r="H111" s="254" t="s">
        <v>8203</v>
      </c>
    </row>
    <row r="112" spans="1:8" x14ac:dyDescent="0.25">
      <c r="A112" s="254" t="s">
        <v>114</v>
      </c>
      <c r="B112" s="254" t="s">
        <v>7169</v>
      </c>
      <c r="C112" s="254"/>
      <c r="D112" s="255">
        <v>33966</v>
      </c>
      <c r="E112" s="254" t="s">
        <v>2479</v>
      </c>
      <c r="F112" s="254" t="s">
        <v>2480</v>
      </c>
      <c r="G112" s="254" t="s">
        <v>308</v>
      </c>
      <c r="H112" s="254"/>
    </row>
    <row r="113" spans="1:8" ht="25.5" customHeight="1" x14ac:dyDescent="0.25">
      <c r="A113" s="254" t="s">
        <v>114</v>
      </c>
      <c r="B113" s="254" t="s">
        <v>7172</v>
      </c>
      <c r="C113" s="254"/>
      <c r="D113" s="255">
        <v>33977</v>
      </c>
      <c r="E113" s="254" t="s">
        <v>8297</v>
      </c>
      <c r="F113" s="254" t="s">
        <v>8298</v>
      </c>
      <c r="G113" s="254" t="s">
        <v>308</v>
      </c>
      <c r="H113" s="254" t="s">
        <v>8203</v>
      </c>
    </row>
    <row r="114" spans="1:8" ht="38.25" customHeight="1" x14ac:dyDescent="0.25">
      <c r="A114" s="254" t="s">
        <v>114</v>
      </c>
      <c r="B114" s="254" t="s">
        <v>7184</v>
      </c>
      <c r="C114" s="254"/>
      <c r="D114" s="255">
        <v>34088</v>
      </c>
      <c r="E114" s="254" t="s">
        <v>8299</v>
      </c>
      <c r="F114" s="254" t="s">
        <v>8300</v>
      </c>
      <c r="G114" s="254" t="s">
        <v>308</v>
      </c>
      <c r="H114" s="254" t="s">
        <v>8203</v>
      </c>
    </row>
    <row r="115" spans="1:8" x14ac:dyDescent="0.25">
      <c r="A115" s="254" t="s">
        <v>114</v>
      </c>
      <c r="B115" s="254" t="s">
        <v>7187</v>
      </c>
      <c r="C115" s="254"/>
      <c r="D115" s="255">
        <v>34116</v>
      </c>
      <c r="E115" s="254" t="s">
        <v>8301</v>
      </c>
      <c r="F115" s="254" t="s">
        <v>8302</v>
      </c>
      <c r="G115" s="254" t="s">
        <v>308</v>
      </c>
      <c r="H115" s="254" t="s">
        <v>8203</v>
      </c>
    </row>
    <row r="116" spans="1:8" x14ac:dyDescent="0.25">
      <c r="A116" s="254" t="s">
        <v>114</v>
      </c>
      <c r="B116" s="254" t="s">
        <v>7204</v>
      </c>
      <c r="C116" s="254"/>
      <c r="D116" s="255">
        <v>34757</v>
      </c>
      <c r="E116" s="254" t="s">
        <v>8298</v>
      </c>
      <c r="F116" s="254" t="s">
        <v>2522</v>
      </c>
      <c r="G116" s="254" t="s">
        <v>308</v>
      </c>
      <c r="H116" s="254" t="s">
        <v>8203</v>
      </c>
    </row>
    <row r="117" spans="1:8" x14ac:dyDescent="0.25">
      <c r="A117" s="254" t="s">
        <v>114</v>
      </c>
      <c r="B117" s="254" t="s">
        <v>7221</v>
      </c>
      <c r="C117" s="254"/>
      <c r="D117" s="255">
        <v>35159</v>
      </c>
      <c r="E117" s="254" t="s">
        <v>2480</v>
      </c>
      <c r="F117" s="254" t="s">
        <v>8303</v>
      </c>
      <c r="G117" s="254" t="s">
        <v>308</v>
      </c>
      <c r="H117" s="254"/>
    </row>
    <row r="118" spans="1:8" ht="25.5" customHeight="1" x14ac:dyDescent="0.25">
      <c r="A118" s="254" t="s">
        <v>114</v>
      </c>
      <c r="B118" s="254" t="s">
        <v>7237</v>
      </c>
      <c r="C118" s="254"/>
      <c r="D118" s="255">
        <v>35443</v>
      </c>
      <c r="E118" s="254" t="s">
        <v>8304</v>
      </c>
      <c r="F118" s="254" t="s">
        <v>8305</v>
      </c>
      <c r="G118" s="254" t="s">
        <v>308</v>
      </c>
      <c r="H118" s="254" t="s">
        <v>8203</v>
      </c>
    </row>
    <row r="119" spans="1:8" x14ac:dyDescent="0.25">
      <c r="A119" s="254" t="s">
        <v>114</v>
      </c>
      <c r="B119" s="254" t="s">
        <v>7246</v>
      </c>
      <c r="C119" s="254"/>
      <c r="D119" s="255">
        <v>35922</v>
      </c>
      <c r="E119" s="254" t="s">
        <v>8306</v>
      </c>
      <c r="F119" s="254" t="s">
        <v>8307</v>
      </c>
      <c r="G119" s="254" t="s">
        <v>308</v>
      </c>
      <c r="H119" s="254" t="s">
        <v>8203</v>
      </c>
    </row>
    <row r="120" spans="1:8" ht="25.5" customHeight="1" x14ac:dyDescent="0.25">
      <c r="A120" s="254" t="s">
        <v>114</v>
      </c>
      <c r="B120" s="254" t="s">
        <v>7249</v>
      </c>
      <c r="C120" s="254"/>
      <c r="D120" s="255">
        <v>36008</v>
      </c>
      <c r="E120" s="254" t="s">
        <v>2376</v>
      </c>
      <c r="F120" s="254" t="s">
        <v>8308</v>
      </c>
      <c r="G120" s="254" t="s">
        <v>8309</v>
      </c>
      <c r="H120" s="254"/>
    </row>
    <row r="121" spans="1:8" x14ac:dyDescent="0.25">
      <c r="A121" s="254" t="s">
        <v>114</v>
      </c>
      <c r="B121" s="254" t="s">
        <v>4443</v>
      </c>
      <c r="C121" s="254"/>
      <c r="D121" s="255">
        <v>36600</v>
      </c>
      <c r="E121" s="254" t="s">
        <v>266</v>
      </c>
      <c r="F121" s="254" t="s">
        <v>5790</v>
      </c>
      <c r="G121" s="254" t="s">
        <v>313</v>
      </c>
      <c r="H121" s="254"/>
    </row>
    <row r="122" spans="1:8" ht="25.5" customHeight="1" x14ac:dyDescent="0.25">
      <c r="A122" s="254" t="s">
        <v>114</v>
      </c>
      <c r="B122" s="254" t="s">
        <v>7341</v>
      </c>
      <c r="C122" s="254"/>
      <c r="D122" s="255">
        <v>36643</v>
      </c>
      <c r="E122" s="254" t="s">
        <v>2717</v>
      </c>
      <c r="F122" s="254" t="s">
        <v>5790</v>
      </c>
      <c r="G122" s="254" t="s">
        <v>8310</v>
      </c>
      <c r="H122" s="254"/>
    </row>
    <row r="123" spans="1:8" ht="25.5" customHeight="1" x14ac:dyDescent="0.25">
      <c r="A123" s="254" t="s">
        <v>114</v>
      </c>
      <c r="B123" s="254" t="s">
        <v>7352</v>
      </c>
      <c r="C123" s="255">
        <v>36717</v>
      </c>
      <c r="D123" s="255">
        <v>36717</v>
      </c>
      <c r="E123" s="254" t="s">
        <v>8311</v>
      </c>
      <c r="F123" s="254" t="s">
        <v>8303</v>
      </c>
      <c r="G123" s="254" t="s">
        <v>308</v>
      </c>
      <c r="H123" s="254"/>
    </row>
    <row r="124" spans="1:8" ht="25.5" customHeight="1" x14ac:dyDescent="0.25">
      <c r="A124" s="254" t="s">
        <v>114</v>
      </c>
      <c r="B124" s="254" t="s">
        <v>7396</v>
      </c>
      <c r="C124" s="255">
        <v>36924</v>
      </c>
      <c r="D124" s="255">
        <v>37005</v>
      </c>
      <c r="E124" s="254" t="s">
        <v>266</v>
      </c>
      <c r="F124" s="254" t="s">
        <v>586</v>
      </c>
      <c r="G124" s="254" t="s">
        <v>497</v>
      </c>
      <c r="H124" s="254"/>
    </row>
    <row r="125" spans="1:8" ht="25.5" customHeight="1" x14ac:dyDescent="0.25">
      <c r="A125" s="254" t="s">
        <v>114</v>
      </c>
      <c r="B125" s="254" t="s">
        <v>7399</v>
      </c>
      <c r="C125" s="255">
        <v>36941</v>
      </c>
      <c r="D125" s="255">
        <v>37005</v>
      </c>
      <c r="E125" s="254" t="s">
        <v>266</v>
      </c>
      <c r="F125" s="254" t="s">
        <v>586</v>
      </c>
      <c r="G125" s="254" t="s">
        <v>497</v>
      </c>
      <c r="H125" s="254"/>
    </row>
    <row r="126" spans="1:8" ht="25.5" customHeight="1" x14ac:dyDescent="0.25">
      <c r="A126" s="254" t="s">
        <v>114</v>
      </c>
      <c r="B126" s="254" t="s">
        <v>7401</v>
      </c>
      <c r="C126" s="255">
        <v>36945</v>
      </c>
      <c r="D126" s="255">
        <v>37005</v>
      </c>
      <c r="E126" s="254" t="s">
        <v>266</v>
      </c>
      <c r="F126" s="254" t="s">
        <v>586</v>
      </c>
      <c r="G126" s="254" t="s">
        <v>497</v>
      </c>
      <c r="H126" s="254"/>
    </row>
    <row r="127" spans="1:8" ht="25.5" customHeight="1" x14ac:dyDescent="0.25">
      <c r="A127" s="254" t="s">
        <v>114</v>
      </c>
      <c r="B127" s="254" t="s">
        <v>7404</v>
      </c>
      <c r="C127" s="255">
        <v>36948</v>
      </c>
      <c r="D127" s="255">
        <v>37005</v>
      </c>
      <c r="E127" s="254" t="s">
        <v>266</v>
      </c>
      <c r="F127" s="254" t="s">
        <v>586</v>
      </c>
      <c r="G127" s="254" t="s">
        <v>502</v>
      </c>
      <c r="H127" s="254"/>
    </row>
    <row r="128" spans="1:8" ht="25.5" customHeight="1" x14ac:dyDescent="0.25">
      <c r="A128" s="254" t="s">
        <v>114</v>
      </c>
      <c r="B128" s="254" t="s">
        <v>7416</v>
      </c>
      <c r="C128" s="255">
        <v>36990</v>
      </c>
      <c r="D128" s="255">
        <v>37034</v>
      </c>
      <c r="E128" s="254" t="s">
        <v>266</v>
      </c>
      <c r="F128" s="254" t="s">
        <v>586</v>
      </c>
      <c r="G128" s="254" t="s">
        <v>497</v>
      </c>
      <c r="H128" s="254"/>
    </row>
    <row r="129" spans="1:8" ht="25.5" customHeight="1" x14ac:dyDescent="0.25">
      <c r="A129" s="254" t="s">
        <v>114</v>
      </c>
      <c r="B129" s="254" t="s">
        <v>7414</v>
      </c>
      <c r="C129" s="255">
        <v>37031</v>
      </c>
      <c r="D129" s="255">
        <v>37034</v>
      </c>
      <c r="E129" s="254" t="s">
        <v>266</v>
      </c>
      <c r="F129" s="254" t="s">
        <v>586</v>
      </c>
      <c r="G129" s="254" t="s">
        <v>497</v>
      </c>
      <c r="H129" s="254"/>
    </row>
    <row r="130" spans="1:8" x14ac:dyDescent="0.25">
      <c r="A130" s="254" t="s">
        <v>114</v>
      </c>
      <c r="B130" s="254" t="s">
        <v>7420</v>
      </c>
      <c r="C130" s="255">
        <v>37348</v>
      </c>
      <c r="D130" s="255">
        <v>37368</v>
      </c>
      <c r="E130" s="254" t="s">
        <v>496</v>
      </c>
      <c r="F130" s="254" t="s">
        <v>7422</v>
      </c>
      <c r="G130" s="254" t="s">
        <v>8312</v>
      </c>
      <c r="H130" s="254"/>
    </row>
    <row r="131" spans="1:8" ht="25.5" customHeight="1" x14ac:dyDescent="0.25">
      <c r="A131" s="254" t="s">
        <v>114</v>
      </c>
      <c r="B131" s="254" t="s">
        <v>7431</v>
      </c>
      <c r="C131" s="255">
        <v>37385</v>
      </c>
      <c r="D131" s="255">
        <v>37389</v>
      </c>
      <c r="E131" s="254" t="s">
        <v>611</v>
      </c>
      <c r="F131" s="254" t="s">
        <v>8313</v>
      </c>
      <c r="G131" s="254" t="s">
        <v>502</v>
      </c>
      <c r="H131" s="254"/>
    </row>
    <row r="132" spans="1:8" ht="25.5" customHeight="1" x14ac:dyDescent="0.25">
      <c r="A132" s="254" t="s">
        <v>114</v>
      </c>
      <c r="B132" s="254" t="s">
        <v>7471</v>
      </c>
      <c r="C132" s="255">
        <v>37710</v>
      </c>
      <c r="D132" s="255">
        <v>37715</v>
      </c>
      <c r="E132" s="254" t="s">
        <v>8314</v>
      </c>
      <c r="F132" s="254" t="s">
        <v>8315</v>
      </c>
      <c r="G132" s="254" t="s">
        <v>8309</v>
      </c>
      <c r="H132" s="254"/>
    </row>
    <row r="133" spans="1:8" ht="25.5" customHeight="1" x14ac:dyDescent="0.25">
      <c r="A133" s="254" t="s">
        <v>114</v>
      </c>
      <c r="B133" s="254" t="s">
        <v>7474</v>
      </c>
      <c r="C133" s="255">
        <v>37711</v>
      </c>
      <c r="D133" s="255">
        <v>37715</v>
      </c>
      <c r="E133" s="254" t="s">
        <v>8315</v>
      </c>
      <c r="F133" s="254" t="s">
        <v>2911</v>
      </c>
      <c r="G133" s="254" t="s">
        <v>8309</v>
      </c>
      <c r="H133" s="254"/>
    </row>
    <row r="134" spans="1:8" ht="38.25" customHeight="1" x14ac:dyDescent="0.25">
      <c r="A134" s="254" t="s">
        <v>114</v>
      </c>
      <c r="B134" s="254" t="s">
        <v>7526</v>
      </c>
      <c r="C134" s="255">
        <v>38022</v>
      </c>
      <c r="D134" s="255">
        <v>38068</v>
      </c>
      <c r="E134" s="254" t="s">
        <v>266</v>
      </c>
      <c r="F134" s="254" t="s">
        <v>2988</v>
      </c>
      <c r="G134" s="254" t="s">
        <v>8316</v>
      </c>
      <c r="H134" s="254"/>
    </row>
    <row r="135" spans="1:8" ht="38.25" customHeight="1" x14ac:dyDescent="0.25">
      <c r="A135" s="254" t="s">
        <v>114</v>
      </c>
      <c r="B135" s="254" t="s">
        <v>7536</v>
      </c>
      <c r="C135" s="255">
        <v>38029</v>
      </c>
      <c r="D135" s="255">
        <v>38117</v>
      </c>
      <c r="E135" s="254" t="s">
        <v>266</v>
      </c>
      <c r="F135" s="254" t="s">
        <v>8317</v>
      </c>
      <c r="G135" s="254" t="s">
        <v>7538</v>
      </c>
      <c r="H135" s="254"/>
    </row>
    <row r="136" spans="1:8" ht="25.5" customHeight="1" x14ac:dyDescent="0.25">
      <c r="A136" s="254" t="s">
        <v>114</v>
      </c>
      <c r="B136" s="254" t="s">
        <v>7530</v>
      </c>
      <c r="C136" s="255">
        <v>38041</v>
      </c>
      <c r="D136" s="255">
        <v>38071</v>
      </c>
      <c r="E136" s="254" t="s">
        <v>266</v>
      </c>
      <c r="F136" s="254" t="s">
        <v>2992</v>
      </c>
      <c r="G136" s="254" t="s">
        <v>502</v>
      </c>
      <c r="H136" s="254"/>
    </row>
    <row r="137" spans="1:8" x14ac:dyDescent="0.25">
      <c r="A137" s="254" t="s">
        <v>114</v>
      </c>
      <c r="B137" s="254" t="s">
        <v>7548</v>
      </c>
      <c r="C137" s="255">
        <v>38041</v>
      </c>
      <c r="D137" s="255">
        <v>38168</v>
      </c>
      <c r="E137" s="254" t="s">
        <v>266</v>
      </c>
      <c r="F137" s="254" t="s">
        <v>3010</v>
      </c>
      <c r="G137" s="254" t="s">
        <v>8318</v>
      </c>
      <c r="H137" s="254"/>
    </row>
    <row r="138" spans="1:8" ht="25.5" customHeight="1" x14ac:dyDescent="0.25">
      <c r="A138" s="254" t="s">
        <v>114</v>
      </c>
      <c r="B138" s="254" t="s">
        <v>7543</v>
      </c>
      <c r="C138" s="255">
        <v>38127</v>
      </c>
      <c r="D138" s="255">
        <v>38145</v>
      </c>
      <c r="E138" s="254" t="s">
        <v>8317</v>
      </c>
      <c r="F138" s="254" t="s">
        <v>266</v>
      </c>
      <c r="G138" s="254" t="s">
        <v>8319</v>
      </c>
      <c r="H138" s="254"/>
    </row>
    <row r="139" spans="1:8" ht="25.5" customHeight="1" x14ac:dyDescent="0.25">
      <c r="A139" s="254" t="s">
        <v>114</v>
      </c>
      <c r="B139" s="254" t="s">
        <v>7546</v>
      </c>
      <c r="C139" s="255">
        <v>38139</v>
      </c>
      <c r="D139" s="255">
        <v>38145</v>
      </c>
      <c r="E139" s="254" t="s">
        <v>266</v>
      </c>
      <c r="F139" s="254" t="s">
        <v>8320</v>
      </c>
      <c r="G139" s="254" t="s">
        <v>8319</v>
      </c>
      <c r="H139" s="254"/>
    </row>
    <row r="140" spans="1:8" ht="25.5" customHeight="1" x14ac:dyDescent="0.25">
      <c r="A140" s="254" t="s">
        <v>114</v>
      </c>
      <c r="B140" s="254" t="s">
        <v>7556</v>
      </c>
      <c r="C140" s="255">
        <v>38266</v>
      </c>
      <c r="D140" s="255">
        <v>38272</v>
      </c>
      <c r="E140" s="254" t="s">
        <v>266</v>
      </c>
      <c r="F140" s="254" t="s">
        <v>407</v>
      </c>
      <c r="G140" s="254" t="s">
        <v>488</v>
      </c>
      <c r="H140" s="254"/>
    </row>
    <row r="141" spans="1:8" ht="38.25" customHeight="1" x14ac:dyDescent="0.25">
      <c r="A141" s="254" t="s">
        <v>3082</v>
      </c>
      <c r="B141" s="254" t="s">
        <v>7598</v>
      </c>
      <c r="C141" s="255">
        <v>38497</v>
      </c>
      <c r="D141" s="255">
        <v>38499</v>
      </c>
      <c r="E141" s="254" t="s">
        <v>659</v>
      </c>
      <c r="F141" s="254" t="s">
        <v>8321</v>
      </c>
      <c r="G141" s="254" t="s">
        <v>8322</v>
      </c>
      <c r="H141" s="254"/>
    </row>
    <row r="142" spans="1:8" ht="38.25" customHeight="1" x14ac:dyDescent="0.25">
      <c r="A142" s="254" t="s">
        <v>3082</v>
      </c>
      <c r="B142" s="254" t="s">
        <v>7631</v>
      </c>
      <c r="C142" s="255">
        <v>38523</v>
      </c>
      <c r="D142" s="255">
        <v>38579</v>
      </c>
      <c r="E142" s="254" t="s">
        <v>659</v>
      </c>
      <c r="F142" s="254" t="s">
        <v>3131</v>
      </c>
      <c r="G142" s="254" t="s">
        <v>8322</v>
      </c>
      <c r="H142" s="254"/>
    </row>
    <row r="143" spans="1:8" ht="38.25" customHeight="1" x14ac:dyDescent="0.25">
      <c r="A143" s="254" t="s">
        <v>114</v>
      </c>
      <c r="B143" s="254" t="s">
        <v>7634</v>
      </c>
      <c r="C143" s="255">
        <v>38629</v>
      </c>
      <c r="D143" s="255">
        <v>38632</v>
      </c>
      <c r="E143" s="254" t="s">
        <v>8323</v>
      </c>
      <c r="F143" s="254" t="s">
        <v>3135</v>
      </c>
      <c r="G143" s="254" t="s">
        <v>8309</v>
      </c>
      <c r="H143" s="254"/>
    </row>
    <row r="144" spans="1:8" x14ac:dyDescent="0.25">
      <c r="A144" s="254" t="s">
        <v>114</v>
      </c>
      <c r="B144" s="254" t="s">
        <v>7683</v>
      </c>
      <c r="C144" s="255">
        <v>38651</v>
      </c>
      <c r="D144" s="255">
        <v>38749</v>
      </c>
      <c r="E144" s="254" t="s">
        <v>290</v>
      </c>
      <c r="F144" s="254" t="s">
        <v>8320</v>
      </c>
      <c r="G144" s="254" t="s">
        <v>8324</v>
      </c>
      <c r="H144" s="254"/>
    </row>
    <row r="145" spans="1:8" ht="25.5" customHeight="1" x14ac:dyDescent="0.25">
      <c r="A145" s="254" t="s">
        <v>114</v>
      </c>
      <c r="B145" s="254" t="s">
        <v>7648</v>
      </c>
      <c r="C145" s="255">
        <v>38657</v>
      </c>
      <c r="D145" s="255">
        <v>38692</v>
      </c>
      <c r="E145" s="254" t="s">
        <v>3158</v>
      </c>
      <c r="F145" s="254" t="s">
        <v>8325</v>
      </c>
      <c r="G145" s="254" t="s">
        <v>8309</v>
      </c>
      <c r="H145" s="254" t="s">
        <v>8203</v>
      </c>
    </row>
    <row r="146" spans="1:8" ht="25.5" customHeight="1" x14ac:dyDescent="0.25">
      <c r="A146" s="254" t="s">
        <v>114</v>
      </c>
      <c r="B146" s="254" t="s">
        <v>7688</v>
      </c>
      <c r="C146" s="255">
        <v>38666</v>
      </c>
      <c r="D146" s="255">
        <v>38749</v>
      </c>
      <c r="E146" s="254" t="s">
        <v>290</v>
      </c>
      <c r="F146" s="254" t="s">
        <v>8326</v>
      </c>
      <c r="G146" s="254" t="s">
        <v>497</v>
      </c>
      <c r="H146" s="254"/>
    </row>
    <row r="147" spans="1:8" ht="25.5" customHeight="1" x14ac:dyDescent="0.25">
      <c r="A147" s="254" t="s">
        <v>114</v>
      </c>
      <c r="B147" s="254" t="s">
        <v>7690</v>
      </c>
      <c r="C147" s="255">
        <v>38666</v>
      </c>
      <c r="D147" s="255">
        <v>38749</v>
      </c>
      <c r="E147" s="254" t="s">
        <v>290</v>
      </c>
      <c r="F147" s="254" t="s">
        <v>8320</v>
      </c>
      <c r="G147" s="254" t="s">
        <v>497</v>
      </c>
      <c r="H147" s="254"/>
    </row>
    <row r="148" spans="1:8" x14ac:dyDescent="0.25">
      <c r="A148" s="254" t="s">
        <v>114</v>
      </c>
      <c r="B148" s="254" t="s">
        <v>7681</v>
      </c>
      <c r="C148" s="255">
        <v>38677</v>
      </c>
      <c r="D148" s="255">
        <v>38749</v>
      </c>
      <c r="E148" s="254" t="s">
        <v>290</v>
      </c>
      <c r="F148" s="254" t="s">
        <v>8320</v>
      </c>
      <c r="G148" s="254" t="s">
        <v>505</v>
      </c>
      <c r="H148" s="254"/>
    </row>
    <row r="149" spans="1:8" ht="25.5" customHeight="1" x14ac:dyDescent="0.25">
      <c r="A149" s="254" t="s">
        <v>114</v>
      </c>
      <c r="B149" s="254" t="s">
        <v>7685</v>
      </c>
      <c r="C149" s="255">
        <v>38686</v>
      </c>
      <c r="D149" s="255">
        <v>38749</v>
      </c>
      <c r="E149" s="254" t="s">
        <v>290</v>
      </c>
      <c r="F149" s="254" t="s">
        <v>8320</v>
      </c>
      <c r="G149" s="254" t="s">
        <v>8327</v>
      </c>
      <c r="H149" s="254"/>
    </row>
    <row r="150" spans="1:8" ht="25.5" customHeight="1" x14ac:dyDescent="0.25">
      <c r="A150" s="254" t="s">
        <v>114</v>
      </c>
      <c r="B150" s="254" t="s">
        <v>7716</v>
      </c>
      <c r="C150" s="255">
        <v>38687</v>
      </c>
      <c r="D150" s="255">
        <v>38806</v>
      </c>
      <c r="E150" s="254" t="s">
        <v>3239</v>
      </c>
      <c r="F150" s="254" t="s">
        <v>8328</v>
      </c>
      <c r="G150" s="254" t="s">
        <v>3247</v>
      </c>
      <c r="H150" s="254"/>
    </row>
    <row r="151" spans="1:8" ht="25.5" customHeight="1" x14ac:dyDescent="0.25">
      <c r="A151" s="254" t="s">
        <v>114</v>
      </c>
      <c r="B151" s="254" t="s">
        <v>7719</v>
      </c>
      <c r="C151" s="255">
        <v>38687</v>
      </c>
      <c r="D151" s="255">
        <v>38806</v>
      </c>
      <c r="E151" s="254" t="s">
        <v>3239</v>
      </c>
      <c r="F151" s="254" t="s">
        <v>8328</v>
      </c>
      <c r="G151" s="254" t="s">
        <v>3247</v>
      </c>
      <c r="H151" s="254"/>
    </row>
    <row r="152" spans="1:8" ht="25.5" customHeight="1" x14ac:dyDescent="0.25">
      <c r="A152" s="254" t="s">
        <v>114</v>
      </c>
      <c r="B152" s="254" t="s">
        <v>7814</v>
      </c>
      <c r="C152" s="255">
        <v>38701</v>
      </c>
      <c r="D152" s="255">
        <v>39833</v>
      </c>
      <c r="E152" s="254" t="s">
        <v>3369</v>
      </c>
      <c r="F152" s="254" t="s">
        <v>8329</v>
      </c>
      <c r="G152" s="254" t="s">
        <v>497</v>
      </c>
      <c r="H152" s="254"/>
    </row>
    <row r="153" spans="1:8" x14ac:dyDescent="0.25">
      <c r="A153" s="254" t="s">
        <v>114</v>
      </c>
      <c r="B153" s="254" t="s">
        <v>7721</v>
      </c>
      <c r="C153" s="255">
        <v>38702</v>
      </c>
      <c r="D153" s="255">
        <v>38806</v>
      </c>
      <c r="E153" s="254" t="s">
        <v>3239</v>
      </c>
      <c r="F153" s="254" t="s">
        <v>8328</v>
      </c>
      <c r="G153" s="254" t="s">
        <v>717</v>
      </c>
      <c r="H153" s="254"/>
    </row>
    <row r="154" spans="1:8" x14ac:dyDescent="0.25">
      <c r="A154" s="254" t="s">
        <v>114</v>
      </c>
      <c r="B154" s="254" t="s">
        <v>7678</v>
      </c>
      <c r="C154" s="255">
        <v>38723</v>
      </c>
      <c r="D154" s="255">
        <v>38749</v>
      </c>
      <c r="E154" s="254" t="s">
        <v>650</v>
      </c>
      <c r="F154" s="254" t="s">
        <v>8320</v>
      </c>
      <c r="G154" s="254" t="s">
        <v>313</v>
      </c>
      <c r="H154" s="254"/>
    </row>
    <row r="155" spans="1:8" x14ac:dyDescent="0.25">
      <c r="A155" s="254" t="s">
        <v>114</v>
      </c>
      <c r="B155" s="254" t="s">
        <v>7708</v>
      </c>
      <c r="C155" s="255">
        <v>38737</v>
      </c>
      <c r="D155" s="255">
        <v>38789</v>
      </c>
      <c r="E155" s="254" t="s">
        <v>8330</v>
      </c>
      <c r="F155" s="254" t="s">
        <v>8320</v>
      </c>
      <c r="G155" s="254" t="s">
        <v>717</v>
      </c>
      <c r="H155" s="254"/>
    </row>
    <row r="156" spans="1:8" ht="38.25" customHeight="1" x14ac:dyDescent="0.25">
      <c r="A156" s="254" t="s">
        <v>114</v>
      </c>
      <c r="B156" s="254" t="s">
        <v>7703</v>
      </c>
      <c r="C156" s="255">
        <v>38748</v>
      </c>
      <c r="D156" s="255">
        <v>38765</v>
      </c>
      <c r="E156" s="254" t="s">
        <v>281</v>
      </c>
      <c r="F156" s="254" t="s">
        <v>3232</v>
      </c>
      <c r="G156" s="254" t="s">
        <v>3233</v>
      </c>
      <c r="H156" s="254"/>
    </row>
    <row r="157" spans="1:8" ht="25.5" customHeight="1" x14ac:dyDescent="0.25">
      <c r="A157" s="254" t="s">
        <v>114</v>
      </c>
      <c r="B157" s="254" t="s">
        <v>7713</v>
      </c>
      <c r="C157" s="255">
        <v>38757</v>
      </c>
      <c r="D157" s="255">
        <v>38804</v>
      </c>
      <c r="E157" s="254" t="s">
        <v>2988</v>
      </c>
      <c r="F157" s="254" t="s">
        <v>250</v>
      </c>
      <c r="G157" s="254" t="s">
        <v>488</v>
      </c>
      <c r="H157" s="254"/>
    </row>
    <row r="158" spans="1:8" x14ac:dyDescent="0.25">
      <c r="A158" s="254" t="s">
        <v>114</v>
      </c>
      <c r="B158" s="254" t="s">
        <v>7817</v>
      </c>
      <c r="C158" s="255">
        <v>38760</v>
      </c>
      <c r="D158" s="255">
        <v>39833</v>
      </c>
      <c r="E158" s="254" t="s">
        <v>3369</v>
      </c>
      <c r="F158" s="254" t="s">
        <v>8329</v>
      </c>
      <c r="G158" s="254" t="s">
        <v>561</v>
      </c>
      <c r="H158" s="254"/>
    </row>
    <row r="159" spans="1:8" ht="25.5" customHeight="1" x14ac:dyDescent="0.25">
      <c r="A159" s="254" t="s">
        <v>114</v>
      </c>
      <c r="B159" s="254" t="s">
        <v>7735</v>
      </c>
      <c r="C159" s="255">
        <v>38769</v>
      </c>
      <c r="D159" s="255">
        <v>38863</v>
      </c>
      <c r="E159" s="254" t="s">
        <v>8330</v>
      </c>
      <c r="F159" s="254" t="s">
        <v>728</v>
      </c>
      <c r="G159" s="254" t="s">
        <v>502</v>
      </c>
      <c r="H159" s="254"/>
    </row>
    <row r="160" spans="1:8" ht="25.5" customHeight="1" x14ac:dyDescent="0.25">
      <c r="A160" s="254" t="s">
        <v>3082</v>
      </c>
      <c r="B160" s="254" t="s">
        <v>7728</v>
      </c>
      <c r="C160" s="255">
        <v>38798</v>
      </c>
      <c r="D160" s="255">
        <v>38813</v>
      </c>
      <c r="E160" s="254" t="s">
        <v>250</v>
      </c>
      <c r="F160" s="254" t="s">
        <v>3259</v>
      </c>
      <c r="G160" s="254" t="s">
        <v>488</v>
      </c>
      <c r="H160" s="254"/>
    </row>
    <row r="161" spans="1:8" ht="38.25" customHeight="1" x14ac:dyDescent="0.25">
      <c r="A161" s="254" t="s">
        <v>114</v>
      </c>
      <c r="B161" s="254" t="s">
        <v>7770</v>
      </c>
      <c r="C161" s="255">
        <v>38861</v>
      </c>
      <c r="D161" s="255">
        <v>39162</v>
      </c>
      <c r="E161" s="254" t="s">
        <v>3714</v>
      </c>
      <c r="F161" s="254" t="s">
        <v>3311</v>
      </c>
      <c r="G161" s="254" t="s">
        <v>3312</v>
      </c>
      <c r="H161" s="254"/>
    </row>
    <row r="162" spans="1:8" ht="38.25" customHeight="1" x14ac:dyDescent="0.25">
      <c r="A162" s="254" t="s">
        <v>3082</v>
      </c>
      <c r="B162" s="254" t="s">
        <v>7738</v>
      </c>
      <c r="C162" s="255">
        <v>38862</v>
      </c>
      <c r="D162" s="255">
        <v>38867</v>
      </c>
      <c r="E162" s="254" t="s">
        <v>3269</v>
      </c>
      <c r="F162" s="254" t="s">
        <v>8331</v>
      </c>
      <c r="G162" s="254" t="s">
        <v>488</v>
      </c>
      <c r="H162" s="254"/>
    </row>
    <row r="163" spans="1:8" ht="38.25" customHeight="1" x14ac:dyDescent="0.25">
      <c r="A163" s="254" t="s">
        <v>3082</v>
      </c>
      <c r="B163" s="254" t="s">
        <v>7741</v>
      </c>
      <c r="C163" s="255">
        <v>38890</v>
      </c>
      <c r="D163" s="255">
        <v>38897</v>
      </c>
      <c r="E163" s="254" t="s">
        <v>3273</v>
      </c>
      <c r="F163" s="254" t="s">
        <v>8332</v>
      </c>
      <c r="G163" s="254" t="s">
        <v>488</v>
      </c>
      <c r="H163" s="254"/>
    </row>
    <row r="164" spans="1:8" ht="25.5" customHeight="1" x14ac:dyDescent="0.25">
      <c r="A164" s="254" t="s">
        <v>114</v>
      </c>
      <c r="B164" s="254" t="s">
        <v>7744</v>
      </c>
      <c r="C164" s="255">
        <v>38905</v>
      </c>
      <c r="D164" s="255">
        <v>38911</v>
      </c>
      <c r="E164" s="254" t="s">
        <v>8333</v>
      </c>
      <c r="F164" s="254" t="s">
        <v>3278</v>
      </c>
      <c r="G164" s="254" t="s">
        <v>488</v>
      </c>
      <c r="H164" s="254"/>
    </row>
    <row r="165" spans="1:8" ht="25.5" customHeight="1" x14ac:dyDescent="0.25">
      <c r="A165" s="254" t="s">
        <v>114</v>
      </c>
      <c r="B165" s="254" t="s">
        <v>7747</v>
      </c>
      <c r="C165" s="255">
        <v>38909</v>
      </c>
      <c r="D165" s="255">
        <v>38912</v>
      </c>
      <c r="E165" s="254" t="s">
        <v>3281</v>
      </c>
      <c r="F165" s="254" t="s">
        <v>8334</v>
      </c>
      <c r="G165" s="254" t="s">
        <v>488</v>
      </c>
      <c r="H165" s="254"/>
    </row>
    <row r="166" spans="1:8" ht="25.5" customHeight="1" x14ac:dyDescent="0.25">
      <c r="A166" s="254" t="s">
        <v>3082</v>
      </c>
      <c r="B166" s="254" t="s">
        <v>7759</v>
      </c>
      <c r="C166" s="255">
        <v>39009</v>
      </c>
      <c r="D166" s="255">
        <v>39029</v>
      </c>
      <c r="E166" s="254" t="s">
        <v>3298</v>
      </c>
      <c r="F166" s="254" t="s">
        <v>8335</v>
      </c>
      <c r="G166" s="254" t="s">
        <v>488</v>
      </c>
      <c r="H166" s="254"/>
    </row>
    <row r="167" spans="1:8" ht="25.5" customHeight="1" x14ac:dyDescent="0.25">
      <c r="A167" s="254" t="s">
        <v>114</v>
      </c>
      <c r="B167" s="254" t="s">
        <v>7762</v>
      </c>
      <c r="C167" s="255">
        <v>39052</v>
      </c>
      <c r="D167" s="255">
        <v>39104</v>
      </c>
      <c r="E167" s="254" t="s">
        <v>3302</v>
      </c>
      <c r="F167" s="254" t="s">
        <v>3303</v>
      </c>
      <c r="G167" s="254" t="s">
        <v>488</v>
      </c>
      <c r="H167" s="254"/>
    </row>
    <row r="168" spans="1:8" ht="25.5" customHeight="1" x14ac:dyDescent="0.25">
      <c r="A168" s="254" t="s">
        <v>114</v>
      </c>
      <c r="B168" s="254" t="s">
        <v>4444</v>
      </c>
      <c r="C168" s="254"/>
      <c r="D168" s="255">
        <v>39336</v>
      </c>
      <c r="E168" s="254" t="s">
        <v>5733</v>
      </c>
      <c r="F168" s="254" t="s">
        <v>5734</v>
      </c>
      <c r="G168" s="254" t="s">
        <v>8336</v>
      </c>
      <c r="H168" s="254" t="s">
        <v>8203</v>
      </c>
    </row>
    <row r="169" spans="1:8" ht="25.5" customHeight="1" x14ac:dyDescent="0.25">
      <c r="A169" s="254" t="s">
        <v>114</v>
      </c>
      <c r="B169" s="254" t="s">
        <v>7811</v>
      </c>
      <c r="C169" s="255">
        <v>39815</v>
      </c>
      <c r="D169" s="255">
        <v>39828</v>
      </c>
      <c r="E169" s="254" t="s">
        <v>3365</v>
      </c>
      <c r="F169" s="254" t="s">
        <v>3366</v>
      </c>
      <c r="G169" s="254" t="s">
        <v>8309</v>
      </c>
      <c r="H169" s="254" t="s">
        <v>8203</v>
      </c>
    </row>
    <row r="170" spans="1:8" x14ac:dyDescent="0.25">
      <c r="A170" s="254" t="s">
        <v>114</v>
      </c>
      <c r="B170" s="254" t="s">
        <v>7853</v>
      </c>
      <c r="C170" s="255">
        <v>40338</v>
      </c>
      <c r="D170" s="255">
        <v>40345</v>
      </c>
      <c r="E170" s="254" t="s">
        <v>2522</v>
      </c>
      <c r="F170" s="254" t="s">
        <v>3427</v>
      </c>
      <c r="G170" s="254" t="s">
        <v>4721</v>
      </c>
      <c r="H170" s="254" t="s">
        <v>8203</v>
      </c>
    </row>
    <row r="171" spans="1:8" ht="25.5" customHeight="1" x14ac:dyDescent="0.25">
      <c r="A171" s="254" t="s">
        <v>114</v>
      </c>
      <c r="B171" s="254" t="s">
        <v>7856</v>
      </c>
      <c r="C171" s="255">
        <v>40338</v>
      </c>
      <c r="D171" s="255">
        <v>40345</v>
      </c>
      <c r="E171" s="254" t="s">
        <v>3430</v>
      </c>
      <c r="F171" s="254" t="s">
        <v>3431</v>
      </c>
      <c r="G171" s="254" t="s">
        <v>4721</v>
      </c>
      <c r="H171" s="254" t="s">
        <v>8203</v>
      </c>
    </row>
    <row r="172" spans="1:8" ht="25.5" customHeight="1" x14ac:dyDescent="0.25">
      <c r="A172" s="254" t="s">
        <v>114</v>
      </c>
      <c r="B172" s="254" t="s">
        <v>7863</v>
      </c>
      <c r="C172" s="255">
        <v>40396</v>
      </c>
      <c r="D172" s="255">
        <v>40403</v>
      </c>
      <c r="E172" s="254" t="s">
        <v>3330</v>
      </c>
      <c r="F172" s="254" t="s">
        <v>3439</v>
      </c>
      <c r="G172" s="254" t="s">
        <v>8337</v>
      </c>
      <c r="H172" s="254" t="s">
        <v>8203</v>
      </c>
    </row>
    <row r="173" spans="1:8" x14ac:dyDescent="0.25">
      <c r="A173" s="254" t="s">
        <v>114</v>
      </c>
      <c r="B173" s="254" t="s">
        <v>7914</v>
      </c>
      <c r="C173" s="255">
        <v>41000</v>
      </c>
      <c r="D173" s="255">
        <v>41002</v>
      </c>
      <c r="E173" s="254" t="s">
        <v>3510</v>
      </c>
      <c r="F173" s="254" t="s">
        <v>3517</v>
      </c>
      <c r="G173" s="254" t="s">
        <v>308</v>
      </c>
      <c r="H173" s="254" t="s">
        <v>8203</v>
      </c>
    </row>
    <row r="174" spans="1:8" ht="25.5" customHeight="1" x14ac:dyDescent="0.25">
      <c r="A174" s="254" t="s">
        <v>114</v>
      </c>
      <c r="B174" s="254" t="s">
        <v>7930</v>
      </c>
      <c r="C174" s="255">
        <v>41074</v>
      </c>
      <c r="D174" s="255">
        <v>41173</v>
      </c>
      <c r="E174" s="254" t="s">
        <v>8338</v>
      </c>
      <c r="F174" s="254" t="s">
        <v>3545</v>
      </c>
      <c r="G174" s="254" t="s">
        <v>561</v>
      </c>
      <c r="H174" s="254"/>
    </row>
    <row r="175" spans="1:8" x14ac:dyDescent="0.25">
      <c r="A175" s="254" t="s">
        <v>114</v>
      </c>
      <c r="B175" s="254" t="s">
        <v>7933</v>
      </c>
      <c r="C175" s="255">
        <v>41215</v>
      </c>
      <c r="D175" s="255">
        <v>41227</v>
      </c>
      <c r="E175" s="254" t="s">
        <v>440</v>
      </c>
      <c r="F175" s="254" t="s">
        <v>8339</v>
      </c>
      <c r="G175" s="254" t="s">
        <v>313</v>
      </c>
      <c r="H175" s="254"/>
    </row>
    <row r="176" spans="1:8" ht="25.5" customHeight="1" x14ac:dyDescent="0.25">
      <c r="A176" s="254" t="s">
        <v>114</v>
      </c>
      <c r="B176" s="254" t="s">
        <v>7947</v>
      </c>
      <c r="C176" s="255">
        <v>41474</v>
      </c>
      <c r="D176" s="255">
        <v>41488</v>
      </c>
      <c r="E176" s="254" t="s">
        <v>3311</v>
      </c>
      <c r="F176" s="254" t="s">
        <v>8340</v>
      </c>
      <c r="G176" s="254" t="s">
        <v>308</v>
      </c>
      <c r="H176" s="254"/>
    </row>
    <row r="177" spans="1:8" x14ac:dyDescent="0.25">
      <c r="A177" s="254" t="s">
        <v>114</v>
      </c>
      <c r="B177" s="254" t="s">
        <v>7957</v>
      </c>
      <c r="C177" s="255">
        <v>41543</v>
      </c>
      <c r="D177" s="255">
        <v>41599</v>
      </c>
      <c r="E177" s="254" t="s">
        <v>250</v>
      </c>
      <c r="F177" s="254" t="s">
        <v>3582</v>
      </c>
      <c r="G177" s="254" t="s">
        <v>308</v>
      </c>
      <c r="H177" s="254" t="s">
        <v>8203</v>
      </c>
    </row>
    <row r="178" spans="1:8" ht="25.5" customHeight="1" x14ac:dyDescent="0.25">
      <c r="A178" s="254" t="s">
        <v>114</v>
      </c>
      <c r="B178" s="254" t="s">
        <v>7991</v>
      </c>
      <c r="C178" s="255">
        <v>41821</v>
      </c>
      <c r="D178" s="255">
        <v>41907</v>
      </c>
      <c r="E178" s="254" t="s">
        <v>8341</v>
      </c>
      <c r="F178" s="254" t="s">
        <v>3634</v>
      </c>
      <c r="G178" s="254" t="s">
        <v>308</v>
      </c>
      <c r="H178" s="254" t="s">
        <v>8203</v>
      </c>
    </row>
    <row r="179" spans="1:8" x14ac:dyDescent="0.25">
      <c r="A179" s="254" t="s">
        <v>114</v>
      </c>
      <c r="B179" s="254" t="s">
        <v>8024</v>
      </c>
      <c r="C179" s="255">
        <v>41821</v>
      </c>
      <c r="D179" s="255">
        <v>42250</v>
      </c>
      <c r="E179" s="254" t="s">
        <v>3671</v>
      </c>
      <c r="F179" s="254" t="s">
        <v>3672</v>
      </c>
      <c r="G179" s="254" t="s">
        <v>308</v>
      </c>
      <c r="H179" s="254" t="s">
        <v>8203</v>
      </c>
    </row>
    <row r="180" spans="1:8" x14ac:dyDescent="0.25">
      <c r="A180" s="254" t="s">
        <v>114</v>
      </c>
      <c r="B180" s="254" t="s">
        <v>8027</v>
      </c>
      <c r="C180" s="255">
        <v>41944</v>
      </c>
      <c r="D180" s="255">
        <v>42250</v>
      </c>
      <c r="E180" s="254" t="s">
        <v>8342</v>
      </c>
      <c r="F180" s="254" t="s">
        <v>3672</v>
      </c>
      <c r="G180" s="254" t="s">
        <v>308</v>
      </c>
      <c r="H180" s="254" t="s">
        <v>8203</v>
      </c>
    </row>
    <row r="181" spans="1:8" ht="25.5" customHeight="1" x14ac:dyDescent="0.25">
      <c r="A181" s="254" t="s">
        <v>114</v>
      </c>
      <c r="B181" s="254" t="s">
        <v>8000</v>
      </c>
      <c r="C181" s="255">
        <v>41988</v>
      </c>
      <c r="D181" s="255">
        <v>42011</v>
      </c>
      <c r="E181" s="254" t="s">
        <v>8343</v>
      </c>
      <c r="F181" s="254" t="s">
        <v>3647</v>
      </c>
      <c r="G181" s="254" t="s">
        <v>308</v>
      </c>
      <c r="H181" s="254" t="s">
        <v>8203</v>
      </c>
    </row>
    <row r="182" spans="1:8" x14ac:dyDescent="0.25">
      <c r="A182" s="254" t="s">
        <v>114</v>
      </c>
      <c r="B182" s="254" t="s">
        <v>8009</v>
      </c>
      <c r="C182" s="255">
        <v>42129</v>
      </c>
      <c r="D182" s="255">
        <v>42139</v>
      </c>
      <c r="E182" s="254" t="s">
        <v>3656</v>
      </c>
      <c r="F182" s="254" t="s">
        <v>8344</v>
      </c>
      <c r="G182" s="254" t="s">
        <v>308</v>
      </c>
      <c r="H182" s="254"/>
    </row>
    <row r="183" spans="1:8" x14ac:dyDescent="0.25">
      <c r="A183" s="254" t="s">
        <v>114</v>
      </c>
      <c r="B183" s="254" t="s">
        <v>8012</v>
      </c>
      <c r="C183" s="255">
        <v>42142</v>
      </c>
      <c r="D183" s="255">
        <v>42170</v>
      </c>
      <c r="E183" s="254" t="s">
        <v>3376</v>
      </c>
      <c r="F183" s="254" t="s">
        <v>8345</v>
      </c>
      <c r="G183" s="254" t="s">
        <v>308</v>
      </c>
      <c r="H183" s="254" t="s">
        <v>8203</v>
      </c>
    </row>
    <row r="184" spans="1:8" x14ac:dyDescent="0.25">
      <c r="A184" s="254" t="s">
        <v>114</v>
      </c>
      <c r="B184" s="254" t="s">
        <v>4445</v>
      </c>
      <c r="C184" s="255">
        <v>42370</v>
      </c>
      <c r="D184" s="255">
        <v>42593</v>
      </c>
      <c r="E184" s="254" t="s">
        <v>299</v>
      </c>
      <c r="F184" s="254" t="s">
        <v>3706</v>
      </c>
      <c r="G184" s="254" t="s">
        <v>308</v>
      </c>
      <c r="H184" s="254" t="s">
        <v>8203</v>
      </c>
    </row>
    <row r="185" spans="1:8" x14ac:dyDescent="0.25">
      <c r="A185" s="254" t="s">
        <v>114</v>
      </c>
      <c r="B185" s="254" t="s">
        <v>4446</v>
      </c>
      <c r="C185" s="255">
        <v>42673</v>
      </c>
      <c r="D185" s="255">
        <v>42719</v>
      </c>
      <c r="E185" s="254" t="s">
        <v>5742</v>
      </c>
      <c r="F185" s="254" t="s">
        <v>3454</v>
      </c>
      <c r="G185" s="254" t="s">
        <v>308</v>
      </c>
      <c r="H185" s="254"/>
    </row>
    <row r="186" spans="1:8" ht="38.25" customHeight="1" x14ac:dyDescent="0.25">
      <c r="A186" s="254" t="s">
        <v>114</v>
      </c>
      <c r="B186" s="254" t="s">
        <v>120</v>
      </c>
      <c r="C186" s="255">
        <v>42682</v>
      </c>
      <c r="D186" s="255">
        <v>42752</v>
      </c>
      <c r="E186" s="254" t="s">
        <v>5746</v>
      </c>
      <c r="F186" s="254" t="s">
        <v>3721</v>
      </c>
      <c r="G186" s="254" t="s">
        <v>308</v>
      </c>
      <c r="H186" s="254" t="s">
        <v>8203</v>
      </c>
    </row>
    <row r="187" spans="1:8" x14ac:dyDescent="0.25">
      <c r="A187" s="254" t="s">
        <v>114</v>
      </c>
      <c r="B187" s="254" t="s">
        <v>113</v>
      </c>
      <c r="C187" s="255">
        <v>43083</v>
      </c>
      <c r="D187" s="255">
        <v>43119</v>
      </c>
      <c r="E187" s="254" t="s">
        <v>3479</v>
      </c>
      <c r="F187" s="254" t="s">
        <v>3634</v>
      </c>
      <c r="G187" s="254" t="s">
        <v>313</v>
      </c>
      <c r="H187" s="254"/>
    </row>
    <row r="188" spans="1:8" ht="25.5" customHeight="1" x14ac:dyDescent="0.25">
      <c r="A188" s="254" t="s">
        <v>114</v>
      </c>
      <c r="B188" s="254" t="s">
        <v>8066</v>
      </c>
      <c r="C188" s="255">
        <v>43291</v>
      </c>
      <c r="D188" s="255">
        <v>43350</v>
      </c>
      <c r="E188" s="254" t="s">
        <v>8346</v>
      </c>
      <c r="F188" s="254" t="s">
        <v>8347</v>
      </c>
      <c r="G188" s="254" t="s">
        <v>8337</v>
      </c>
      <c r="H188" s="254" t="s">
        <v>8203</v>
      </c>
    </row>
    <row r="189" spans="1:8" x14ac:dyDescent="0.25">
      <c r="A189" s="254" t="s">
        <v>114</v>
      </c>
      <c r="B189" s="254" t="s">
        <v>4447</v>
      </c>
      <c r="C189" s="255">
        <v>43564</v>
      </c>
      <c r="D189" s="255">
        <v>43698</v>
      </c>
      <c r="E189" s="254" t="s">
        <v>3763</v>
      </c>
      <c r="F189" s="254" t="s">
        <v>3769</v>
      </c>
      <c r="G189" s="254" t="s">
        <v>308</v>
      </c>
      <c r="H189" s="254" t="s">
        <v>8203</v>
      </c>
    </row>
    <row r="190" spans="1:8" ht="76.5" customHeight="1" x14ac:dyDescent="0.25">
      <c r="A190" s="254" t="s">
        <v>114</v>
      </c>
      <c r="B190" s="254" t="s">
        <v>4448</v>
      </c>
      <c r="C190" s="255">
        <v>43831</v>
      </c>
      <c r="D190" s="255">
        <v>44060</v>
      </c>
      <c r="E190" s="254" t="s">
        <v>8348</v>
      </c>
      <c r="F190" s="254" t="s">
        <v>8349</v>
      </c>
      <c r="G190" s="254" t="s">
        <v>308</v>
      </c>
      <c r="H190" s="254" t="s">
        <v>8203</v>
      </c>
    </row>
    <row r="191" spans="1:8" ht="38.25" customHeight="1" x14ac:dyDescent="0.25">
      <c r="A191" s="254" t="s">
        <v>114</v>
      </c>
      <c r="B191" s="254" t="s">
        <v>4449</v>
      </c>
      <c r="C191" s="255">
        <v>44105</v>
      </c>
      <c r="D191" s="255">
        <v>44118</v>
      </c>
      <c r="E191" s="254" t="s">
        <v>8087</v>
      </c>
      <c r="F191" s="254" t="s">
        <v>3794</v>
      </c>
      <c r="G191" s="254" t="s">
        <v>308</v>
      </c>
      <c r="H191" s="254" t="s">
        <v>8203</v>
      </c>
    </row>
    <row r="192" spans="1:8" x14ac:dyDescent="0.25">
      <c r="A192" s="254" t="s">
        <v>114</v>
      </c>
      <c r="B192" s="254" t="s">
        <v>117</v>
      </c>
      <c r="C192" s="255">
        <v>44136</v>
      </c>
      <c r="D192" s="255">
        <v>44175</v>
      </c>
      <c r="E192" s="254" t="s">
        <v>4462</v>
      </c>
      <c r="F192" s="254" t="s">
        <v>4463</v>
      </c>
      <c r="G192" s="254" t="s">
        <v>313</v>
      </c>
      <c r="H192" s="254"/>
    </row>
    <row r="193" spans="1:8" ht="38.25" customHeight="1" x14ac:dyDescent="0.25">
      <c r="A193" s="254" t="s">
        <v>114</v>
      </c>
      <c r="B193" s="254" t="s">
        <v>4450</v>
      </c>
      <c r="C193" s="255">
        <v>44348</v>
      </c>
      <c r="D193" s="255">
        <v>44463</v>
      </c>
      <c r="E193" s="254" t="s">
        <v>3921</v>
      </c>
      <c r="F193" s="254" t="s">
        <v>3794</v>
      </c>
      <c r="G193" s="254" t="s">
        <v>8350</v>
      </c>
      <c r="H193" s="254" t="s">
        <v>8203</v>
      </c>
    </row>
    <row r="194" spans="1:8" x14ac:dyDescent="0.25">
      <c r="A194" s="254" t="s">
        <v>114</v>
      </c>
      <c r="B194" s="254" t="s">
        <v>4451</v>
      </c>
      <c r="C194" s="255">
        <v>44440</v>
      </c>
      <c r="D194" s="255">
        <v>44476</v>
      </c>
      <c r="E194" s="254" t="s">
        <v>3846</v>
      </c>
      <c r="F194" s="254" t="s">
        <v>8351</v>
      </c>
      <c r="G194" s="254" t="s">
        <v>308</v>
      </c>
      <c r="H194" s="254" t="s">
        <v>8203</v>
      </c>
    </row>
    <row r="195" spans="1:8" x14ac:dyDescent="0.25">
      <c r="A195" s="254" t="s">
        <v>114</v>
      </c>
      <c r="B195" s="254" t="s">
        <v>8114</v>
      </c>
      <c r="C195" s="255">
        <v>44530</v>
      </c>
      <c r="D195" s="255">
        <v>44543</v>
      </c>
      <c r="E195" s="254" t="s">
        <v>3846</v>
      </c>
      <c r="F195" s="254" t="s">
        <v>3857</v>
      </c>
      <c r="G195" s="254" t="s">
        <v>308</v>
      </c>
      <c r="H195" s="254" t="s">
        <v>8203</v>
      </c>
    </row>
    <row r="196" spans="1:8" x14ac:dyDescent="0.25">
      <c r="A196" s="254" t="s">
        <v>114</v>
      </c>
      <c r="B196" s="254" t="s">
        <v>8120</v>
      </c>
      <c r="C196" s="255">
        <v>44562</v>
      </c>
      <c r="D196" s="255">
        <v>44615</v>
      </c>
      <c r="E196" s="254" t="s">
        <v>8352</v>
      </c>
      <c r="F196" s="254" t="s">
        <v>3864</v>
      </c>
      <c r="G196" s="254" t="s">
        <v>308</v>
      </c>
      <c r="H196" s="254" t="s">
        <v>8203</v>
      </c>
    </row>
    <row r="197" spans="1:8" x14ac:dyDescent="0.25">
      <c r="A197" s="254" t="s">
        <v>3082</v>
      </c>
      <c r="B197" s="254" t="s">
        <v>4455</v>
      </c>
      <c r="C197" s="255">
        <v>45148</v>
      </c>
      <c r="D197" s="255">
        <v>45509</v>
      </c>
      <c r="E197" s="254" t="s">
        <v>3864</v>
      </c>
      <c r="F197" s="254" t="s">
        <v>3898</v>
      </c>
      <c r="G197" s="254" t="s">
        <v>308</v>
      </c>
      <c r="H197" s="254" t="s">
        <v>8203</v>
      </c>
    </row>
    <row r="198" spans="1:8" x14ac:dyDescent="0.25">
      <c r="A198" s="254" t="s">
        <v>3873</v>
      </c>
      <c r="B198" s="254" t="s">
        <v>4452</v>
      </c>
      <c r="C198" s="255">
        <v>45200</v>
      </c>
      <c r="D198" s="255">
        <v>45247</v>
      </c>
      <c r="E198" s="254" t="s">
        <v>3814</v>
      </c>
      <c r="F198" s="254" t="s">
        <v>4464</v>
      </c>
      <c r="G198" s="254" t="s">
        <v>308</v>
      </c>
      <c r="H198" s="254" t="s">
        <v>8203</v>
      </c>
    </row>
    <row r="199" spans="1:8" x14ac:dyDescent="0.25">
      <c r="A199" s="254" t="s">
        <v>114</v>
      </c>
      <c r="B199" s="254" t="s">
        <v>4453</v>
      </c>
      <c r="C199" s="255">
        <v>45391</v>
      </c>
      <c r="D199" s="255">
        <v>45401</v>
      </c>
      <c r="E199" s="254" t="s">
        <v>440</v>
      </c>
      <c r="F199" s="254" t="s">
        <v>8353</v>
      </c>
      <c r="G199" s="254" t="s">
        <v>308</v>
      </c>
      <c r="H199" s="254" t="s">
        <v>8203</v>
      </c>
    </row>
    <row r="200" spans="1:8" ht="25.5" customHeight="1" x14ac:dyDescent="0.25">
      <c r="A200" s="254" t="s">
        <v>114</v>
      </c>
      <c r="B200" s="254" t="s">
        <v>4454</v>
      </c>
      <c r="C200" s="255">
        <v>45399</v>
      </c>
      <c r="D200" s="255">
        <v>45432</v>
      </c>
      <c r="E200" s="254" t="s">
        <v>440</v>
      </c>
      <c r="F200" s="254" t="s">
        <v>8354</v>
      </c>
      <c r="G200" s="254" t="s">
        <v>308</v>
      </c>
      <c r="H200" s="254" t="s">
        <v>8203</v>
      </c>
    </row>
    <row r="201" spans="1:8" ht="38.25" customHeight="1" x14ac:dyDescent="0.25">
      <c r="A201" s="254" t="s">
        <v>114</v>
      </c>
      <c r="B201" s="254" t="s">
        <v>4456</v>
      </c>
      <c r="C201" s="255">
        <v>45474</v>
      </c>
      <c r="D201" s="255">
        <v>45642</v>
      </c>
      <c r="E201" s="254" t="s">
        <v>4678</v>
      </c>
      <c r="F201" s="254" t="s">
        <v>3915</v>
      </c>
      <c r="G201" s="254" t="s">
        <v>308</v>
      </c>
      <c r="H201" s="254" t="s">
        <v>8203</v>
      </c>
    </row>
    <row r="202" spans="1:8" x14ac:dyDescent="0.25">
      <c r="A202" s="254" t="s">
        <v>3873</v>
      </c>
      <c r="B202" s="254" t="s">
        <v>4457</v>
      </c>
      <c r="C202" s="255">
        <v>45931</v>
      </c>
      <c r="D202" s="255">
        <v>45975</v>
      </c>
      <c r="E202" s="254" t="s">
        <v>3959</v>
      </c>
      <c r="F202" s="254" t="s">
        <v>4636</v>
      </c>
      <c r="G202" s="254" t="s">
        <v>308</v>
      </c>
      <c r="H202" s="254" t="s">
        <v>8203</v>
      </c>
    </row>
    <row r="203" spans="1:8" x14ac:dyDescent="0.25">
      <c r="A203" s="254" t="s">
        <v>3873</v>
      </c>
      <c r="B203" s="254" t="s">
        <v>4634</v>
      </c>
      <c r="C203" s="255">
        <v>46023</v>
      </c>
      <c r="D203" s="255">
        <v>46146</v>
      </c>
      <c r="E203" s="254" t="s">
        <v>4636</v>
      </c>
      <c r="F203" s="254" t="s">
        <v>4637</v>
      </c>
      <c r="G203" s="254" t="s">
        <v>8355</v>
      </c>
      <c r="H203" s="254" t="s">
        <v>8203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22"/>
  <sheetViews>
    <sheetView view="pageBreakPreview" topLeftCell="A46" zoomScaleNormal="100" zoomScaleSheetLayoutView="100" workbookViewId="0">
      <selection activeCell="C50" sqref="C50:G50"/>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8356</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6">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8357</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113" t="s">
        <v>8358</v>
      </c>
      <c r="C24" s="98" t="s">
        <v>11</v>
      </c>
      <c r="D24" s="99" t="s">
        <v>41</v>
      </c>
      <c r="E24" s="157" t="s">
        <v>42</v>
      </c>
      <c r="F24" s="161" t="s">
        <v>43</v>
      </c>
      <c r="G24" s="99" t="s">
        <v>44</v>
      </c>
    </row>
    <row r="25" spans="1:7" ht="24" customHeight="1" x14ac:dyDescent="0.25">
      <c r="A25" s="4"/>
      <c r="B25" s="113" t="s">
        <v>8359</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1">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8357</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13</v>
      </c>
      <c r="F38" s="158" t="s">
        <v>14</v>
      </c>
      <c r="G38" s="155" t="s">
        <v>15</v>
      </c>
    </row>
    <row r="39" spans="1:7" ht="36" customHeight="1" x14ac:dyDescent="0.25">
      <c r="A39" s="4"/>
      <c r="B39" s="113" t="s">
        <v>16</v>
      </c>
      <c r="C39" s="98" t="s">
        <v>11</v>
      </c>
      <c r="D39" s="99" t="s">
        <v>17</v>
      </c>
      <c r="E39" s="157" t="s">
        <v>13</v>
      </c>
      <c r="F39" s="158" t="s">
        <v>14</v>
      </c>
      <c r="G39" s="99" t="s">
        <v>18</v>
      </c>
    </row>
    <row r="40" spans="1:7" ht="36" customHeight="1" x14ac:dyDescent="0.25">
      <c r="A40" s="4"/>
      <c r="B40" s="113" t="s">
        <v>19</v>
      </c>
      <c r="C40" s="98" t="s">
        <v>11</v>
      </c>
      <c r="D40" s="99" t="s">
        <v>20</v>
      </c>
      <c r="E40" s="159" t="s">
        <v>13</v>
      </c>
      <c r="F40" s="160" t="s">
        <v>21</v>
      </c>
      <c r="G40" s="155" t="s">
        <v>22</v>
      </c>
    </row>
    <row r="41" spans="1:7" ht="36" customHeight="1" x14ac:dyDescent="0.25">
      <c r="A41" s="4"/>
      <c r="B41" s="113" t="s">
        <v>23</v>
      </c>
      <c r="C41" s="98" t="s">
        <v>11</v>
      </c>
      <c r="D41" s="99" t="s">
        <v>24</v>
      </c>
      <c r="E41" s="157" t="s">
        <v>13</v>
      </c>
      <c r="F41" s="158" t="s">
        <v>21</v>
      </c>
      <c r="G41" s="155" t="s">
        <v>25</v>
      </c>
    </row>
    <row r="42" spans="1:7" ht="36" customHeight="1" x14ac:dyDescent="0.25">
      <c r="A42" s="4"/>
      <c r="B42" s="113" t="s">
        <v>26</v>
      </c>
      <c r="C42" s="98" t="s">
        <v>11</v>
      </c>
      <c r="D42" s="99" t="s">
        <v>27</v>
      </c>
      <c r="E42" s="157" t="s">
        <v>13</v>
      </c>
      <c r="F42" s="158" t="s">
        <v>14</v>
      </c>
      <c r="G42" s="155" t="s">
        <v>28</v>
      </c>
    </row>
    <row r="43" spans="1:7" ht="36" customHeight="1" x14ac:dyDescent="0.25">
      <c r="A43" s="4"/>
      <c r="B43" s="113" t="s">
        <v>29</v>
      </c>
      <c r="C43" s="98" t="s">
        <v>11</v>
      </c>
      <c r="D43" s="99" t="s">
        <v>30</v>
      </c>
      <c r="E43" s="157" t="s">
        <v>13</v>
      </c>
      <c r="F43" s="161" t="s">
        <v>14</v>
      </c>
      <c r="G43" s="99" t="s">
        <v>28</v>
      </c>
    </row>
    <row r="44" spans="1:7" ht="48" customHeight="1" x14ac:dyDescent="0.25">
      <c r="A44" s="4"/>
      <c r="B44" s="113" t="s">
        <v>8356</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6">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8357</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13</v>
      </c>
      <c r="F54" s="158" t="s">
        <v>21</v>
      </c>
      <c r="G54" s="155" t="s">
        <v>25</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21.6" customHeight="1" x14ac:dyDescent="0.25">
      <c r="B59" s="113" t="s">
        <v>8360</v>
      </c>
      <c r="C59" s="106" t="s">
        <v>11</v>
      </c>
      <c r="D59" s="99" t="s">
        <v>24</v>
      </c>
      <c r="E59" s="157" t="s">
        <v>13</v>
      </c>
      <c r="F59" s="161" t="s">
        <v>8361</v>
      </c>
      <c r="G59" s="32" t="s">
        <v>8362</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6">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8357</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6">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8363</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98" t="s">
        <v>11</v>
      </c>
      <c r="D79" s="99" t="s">
        <v>24</v>
      </c>
      <c r="E79" s="157" t="s">
        <v>13</v>
      </c>
      <c r="F79" s="158" t="s">
        <v>21</v>
      </c>
      <c r="G79" s="155" t="s">
        <v>25</v>
      </c>
    </row>
    <row r="80" spans="1:7" x14ac:dyDescent="0.25">
      <c r="B80" s="113"/>
      <c r="C80" s="106"/>
      <c r="D80" s="99"/>
      <c r="E80" s="157"/>
      <c r="F80" s="158"/>
      <c r="G80" s="32"/>
    </row>
    <row r="81" spans="1:7" ht="15" customHeight="1" x14ac:dyDescent="0.25">
      <c r="B81" s="109" t="s">
        <v>35</v>
      </c>
      <c r="C81" s="31">
        <f>SUM(C80:C80)</f>
        <v>0</v>
      </c>
      <c r="D81" s="35"/>
    </row>
    <row r="82" spans="1:7" ht="15" customHeight="1" x14ac:dyDescent="0.25">
      <c r="B82" s="110" t="s">
        <v>36</v>
      </c>
      <c r="C82" s="6">
        <f>SUM(C80:C80)</f>
        <v>0</v>
      </c>
    </row>
    <row r="83" spans="1:7" ht="15" customHeight="1" x14ac:dyDescent="0.25">
      <c r="B83" s="1"/>
      <c r="C83" s="29"/>
      <c r="D83" s="29"/>
      <c r="E83" s="29"/>
      <c r="F83" s="29"/>
      <c r="G83" s="29"/>
    </row>
    <row r="84" spans="1:7" ht="15" customHeight="1" x14ac:dyDescent="0.25">
      <c r="B84" s="1" t="s">
        <v>8364</v>
      </c>
      <c r="C84" s="500" t="s">
        <v>99</v>
      </c>
      <c r="D84" s="499"/>
      <c r="E84" s="499"/>
      <c r="F84" s="499"/>
      <c r="G84" s="499"/>
    </row>
    <row r="85" spans="1:7" ht="15" customHeight="1" x14ac:dyDescent="0.25">
      <c r="B85" s="1" t="s">
        <v>2</v>
      </c>
      <c r="C85" s="498" t="s">
        <v>8357</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13</v>
      </c>
      <c r="F89" s="160" t="s">
        <v>21</v>
      </c>
      <c r="G89" s="155" t="s">
        <v>22</v>
      </c>
    </row>
    <row r="90" spans="1:7" ht="36" customHeight="1" x14ac:dyDescent="0.25">
      <c r="A90" s="4"/>
      <c r="B90" s="113" t="s">
        <v>26</v>
      </c>
      <c r="C90" s="98" t="s">
        <v>11</v>
      </c>
      <c r="D90" s="99" t="s">
        <v>27</v>
      </c>
      <c r="E90" s="157" t="s">
        <v>13</v>
      </c>
      <c r="F90" s="158" t="s">
        <v>14</v>
      </c>
      <c r="G90" s="155" t="s">
        <v>28</v>
      </c>
    </row>
    <row r="91" spans="1:7" ht="36" customHeight="1" x14ac:dyDescent="0.25">
      <c r="A91" s="4"/>
      <c r="B91" s="113" t="s">
        <v>29</v>
      </c>
      <c r="C91" s="98" t="s">
        <v>11</v>
      </c>
      <c r="D91" s="99" t="s">
        <v>30</v>
      </c>
      <c r="E91" s="157" t="s">
        <v>13</v>
      </c>
      <c r="F91" s="161" t="s">
        <v>14</v>
      </c>
      <c r="G91" s="99" t="s">
        <v>28</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6">
        <f>SUM(C89:C92)</f>
        <v>0</v>
      </c>
    </row>
    <row r="95" spans="1:7" ht="15" customHeight="1" x14ac:dyDescent="0.25">
      <c r="B95" s="1"/>
      <c r="C95" s="29"/>
      <c r="D95" s="29"/>
      <c r="E95" s="29"/>
      <c r="F95" s="29"/>
      <c r="G95" s="29"/>
    </row>
    <row r="96" spans="1:7" ht="15" customHeight="1" x14ac:dyDescent="0.25">
      <c r="B96" s="34" t="s">
        <v>104</v>
      </c>
      <c r="C96" s="29" t="s">
        <v>105</v>
      </c>
      <c r="D96" s="29"/>
      <c r="E96" s="29"/>
      <c r="F96" s="29"/>
      <c r="G96" s="29"/>
    </row>
    <row r="97" spans="2:7" ht="15" customHeight="1" x14ac:dyDescent="0.25">
      <c r="B97" s="1"/>
      <c r="C97" s="29"/>
      <c r="D97" s="29"/>
      <c r="E97" s="29"/>
      <c r="F97" s="29"/>
      <c r="G97" s="29"/>
    </row>
    <row r="98" spans="2:7" ht="15" customHeight="1" x14ac:dyDescent="0.25">
      <c r="B98" s="108" t="s">
        <v>106</v>
      </c>
      <c r="C98" s="30" t="s">
        <v>5</v>
      </c>
      <c r="D98" s="30" t="s">
        <v>107</v>
      </c>
      <c r="E98" s="5" t="s">
        <v>7</v>
      </c>
      <c r="F98" s="30" t="s">
        <v>8</v>
      </c>
      <c r="G98" s="30" t="s">
        <v>9</v>
      </c>
    </row>
    <row r="99" spans="2:7" ht="36" customHeight="1" x14ac:dyDescent="0.25">
      <c r="B99" s="116" t="s">
        <v>108</v>
      </c>
      <c r="C99" s="163" t="s">
        <v>11</v>
      </c>
      <c r="D99" s="164" t="s">
        <v>109</v>
      </c>
      <c r="E99" s="159" t="s">
        <v>42</v>
      </c>
      <c r="F99" s="161" t="s">
        <v>110</v>
      </c>
      <c r="G99" s="166" t="s">
        <v>8365</v>
      </c>
    </row>
    <row r="100" spans="2:7" ht="24" customHeight="1" x14ac:dyDescent="0.25">
      <c r="B100" s="116" t="s">
        <v>112</v>
      </c>
      <c r="C100" s="163" t="s">
        <v>11</v>
      </c>
      <c r="D100" s="155" t="s">
        <v>113</v>
      </c>
      <c r="E100" s="159" t="s">
        <v>42</v>
      </c>
      <c r="F100" s="161" t="s">
        <v>114</v>
      </c>
      <c r="G100" s="166" t="s">
        <v>115</v>
      </c>
    </row>
    <row r="101" spans="2:7" ht="24" customHeight="1" x14ac:dyDescent="0.25">
      <c r="B101" s="114" t="s">
        <v>116</v>
      </c>
      <c r="C101" s="167" t="s">
        <v>11</v>
      </c>
      <c r="D101" s="164" t="s">
        <v>117</v>
      </c>
      <c r="E101" s="162" t="s">
        <v>42</v>
      </c>
      <c r="F101" s="161" t="s">
        <v>114</v>
      </c>
      <c r="G101" s="166" t="s">
        <v>118</v>
      </c>
    </row>
    <row r="102" spans="2:7" ht="24" customHeight="1" x14ac:dyDescent="0.25">
      <c r="B102" s="114" t="s">
        <v>119</v>
      </c>
      <c r="C102" s="167" t="s">
        <v>11</v>
      </c>
      <c r="D102" s="168" t="s">
        <v>120</v>
      </c>
      <c r="E102" s="162" t="s">
        <v>42</v>
      </c>
      <c r="F102" s="161" t="s">
        <v>121</v>
      </c>
      <c r="G102" s="166" t="s">
        <v>122</v>
      </c>
    </row>
    <row r="103" spans="2:7" ht="36" customHeight="1" x14ac:dyDescent="0.25">
      <c r="B103" s="105" t="s">
        <v>8366</v>
      </c>
      <c r="C103" s="163" t="s">
        <v>11</v>
      </c>
      <c r="D103" s="155" t="s">
        <v>124</v>
      </c>
      <c r="E103" s="157" t="s">
        <v>42</v>
      </c>
      <c r="F103" s="161" t="s">
        <v>125</v>
      </c>
      <c r="G103" s="165" t="s">
        <v>126</v>
      </c>
    </row>
    <row r="104" spans="2:7" ht="36" customHeight="1" x14ac:dyDescent="0.25">
      <c r="B104" s="116" t="s">
        <v>127</v>
      </c>
      <c r="C104" s="163" t="s">
        <v>11</v>
      </c>
      <c r="D104" s="168" t="s">
        <v>128</v>
      </c>
      <c r="E104" s="162" t="s">
        <v>42</v>
      </c>
      <c r="F104" s="161" t="s">
        <v>129</v>
      </c>
      <c r="G104" s="169" t="s">
        <v>130</v>
      </c>
    </row>
    <row r="105" spans="2:7" x14ac:dyDescent="0.25">
      <c r="B105" s="105"/>
      <c r="C105" s="163"/>
      <c r="D105" s="99"/>
      <c r="E105" s="157"/>
      <c r="F105" s="161"/>
      <c r="G105" s="169"/>
    </row>
    <row r="106" spans="2:7" ht="15" customHeight="1" x14ac:dyDescent="0.25">
      <c r="B106" s="109" t="s">
        <v>35</v>
      </c>
      <c r="C106" s="115">
        <f>SUM(C99:C105)</f>
        <v>0</v>
      </c>
      <c r="D106" s="2"/>
      <c r="E106" s="2"/>
      <c r="F106" s="2"/>
      <c r="G106" s="2"/>
    </row>
    <row r="107" spans="2:7" ht="15" customHeight="1" x14ac:dyDescent="0.25">
      <c r="B107" s="110" t="s">
        <v>36</v>
      </c>
      <c r="C107" s="115">
        <f>SUM(C99:C105)</f>
        <v>0</v>
      </c>
      <c r="D107" s="2"/>
      <c r="E107" s="2"/>
      <c r="F107" s="2"/>
      <c r="G107" s="2"/>
    </row>
    <row r="108" spans="2:7" ht="15" customHeight="1" x14ac:dyDescent="0.25">
      <c r="B108" s="1"/>
      <c r="C108" s="29"/>
      <c r="D108" s="29"/>
      <c r="E108" s="29"/>
      <c r="F108" s="29"/>
      <c r="G108" s="29"/>
    </row>
    <row r="109" spans="2:7" ht="15" customHeight="1" x14ac:dyDescent="0.25">
      <c r="B109" s="1"/>
      <c r="C109" s="29"/>
      <c r="D109" s="29"/>
      <c r="E109" s="29"/>
      <c r="F109" s="29"/>
      <c r="G109" s="29"/>
    </row>
    <row r="110" spans="2:7" ht="15" customHeight="1" x14ac:dyDescent="0.25">
      <c r="B110" s="34" t="s">
        <v>104</v>
      </c>
      <c r="C110" s="29"/>
      <c r="D110" s="29"/>
      <c r="E110" s="29"/>
      <c r="F110" s="29"/>
      <c r="G110" s="29"/>
    </row>
    <row r="111" spans="2:7" ht="15" customHeight="1" x14ac:dyDescent="0.25">
      <c r="B111" s="1"/>
      <c r="C111" s="29"/>
      <c r="D111" s="29"/>
      <c r="E111" s="29"/>
      <c r="F111" s="29"/>
      <c r="G111" s="29"/>
    </row>
    <row r="112" spans="2:7" ht="15" customHeight="1" x14ac:dyDescent="0.25">
      <c r="B112" s="108" t="s">
        <v>106</v>
      </c>
      <c r="C112" s="30" t="s">
        <v>5</v>
      </c>
      <c r="D112" s="30" t="s">
        <v>107</v>
      </c>
      <c r="E112" s="5" t="s">
        <v>7</v>
      </c>
      <c r="F112" s="30" t="s">
        <v>8</v>
      </c>
      <c r="G112" s="30" t="s">
        <v>9</v>
      </c>
    </row>
    <row r="113" spans="1:7" ht="36" customHeight="1" x14ac:dyDescent="0.25">
      <c r="B113" s="116" t="s">
        <v>131</v>
      </c>
      <c r="C113" s="163" t="s">
        <v>11</v>
      </c>
      <c r="D113" s="164" t="s">
        <v>132</v>
      </c>
      <c r="E113" s="159" t="s">
        <v>133</v>
      </c>
      <c r="F113" s="161" t="s">
        <v>134</v>
      </c>
      <c r="G113" s="166" t="s">
        <v>135</v>
      </c>
    </row>
    <row r="114" spans="1:7" ht="60" customHeight="1" x14ac:dyDescent="0.25">
      <c r="B114" s="116" t="s">
        <v>733</v>
      </c>
      <c r="C114" s="163" t="s">
        <v>11</v>
      </c>
      <c r="D114" s="155" t="s">
        <v>137</v>
      </c>
      <c r="E114" s="159" t="s">
        <v>13</v>
      </c>
      <c r="F114" s="161" t="s">
        <v>8367</v>
      </c>
      <c r="G114" s="166" t="s">
        <v>8368</v>
      </c>
    </row>
    <row r="115" spans="1:7" ht="36" customHeight="1" x14ac:dyDescent="0.25">
      <c r="B115" s="114" t="s">
        <v>140</v>
      </c>
      <c r="C115" s="167" t="s">
        <v>11</v>
      </c>
      <c r="D115" s="164" t="s">
        <v>141</v>
      </c>
      <c r="E115" s="162" t="s">
        <v>42</v>
      </c>
      <c r="F115" s="161" t="s">
        <v>142</v>
      </c>
      <c r="G115" s="166" t="s">
        <v>8369</v>
      </c>
    </row>
    <row r="116" spans="1:7" ht="24" customHeight="1" x14ac:dyDescent="0.25">
      <c r="B116" s="114" t="s">
        <v>144</v>
      </c>
      <c r="C116" s="167" t="s">
        <v>11</v>
      </c>
      <c r="D116" s="168" t="s">
        <v>145</v>
      </c>
      <c r="E116" s="162" t="s">
        <v>42</v>
      </c>
      <c r="F116" s="161" t="s">
        <v>146</v>
      </c>
      <c r="G116" s="166" t="s">
        <v>147</v>
      </c>
    </row>
    <row r="117" spans="1:7" x14ac:dyDescent="0.25">
      <c r="B117" s="105"/>
      <c r="C117" s="163"/>
      <c r="D117" s="155"/>
      <c r="E117" s="157"/>
      <c r="F117" s="161"/>
      <c r="G117" s="165"/>
    </row>
    <row r="118" spans="1:7" ht="15" customHeight="1" x14ac:dyDescent="0.25">
      <c r="B118" s="109" t="s">
        <v>35</v>
      </c>
      <c r="C118" s="115">
        <f>SUM(C113:C117)</f>
        <v>0</v>
      </c>
      <c r="D118" s="2"/>
      <c r="E118" s="2"/>
      <c r="F118" s="2"/>
      <c r="G118" s="2"/>
    </row>
    <row r="119" spans="1:7" ht="15" customHeight="1" x14ac:dyDescent="0.25">
      <c r="B119" s="110" t="s">
        <v>36</v>
      </c>
      <c r="C119" s="115">
        <f>SUM(C113:C117)</f>
        <v>0</v>
      </c>
      <c r="D119" s="2"/>
      <c r="E119" s="2"/>
      <c r="F119" s="2"/>
      <c r="G119" s="2"/>
    </row>
    <row r="120" spans="1:7" ht="15" customHeight="1" x14ac:dyDescent="0.25">
      <c r="B120" s="1"/>
      <c r="C120" s="29"/>
      <c r="D120" s="29"/>
      <c r="E120" s="29"/>
      <c r="F120" s="29"/>
      <c r="G120" s="29"/>
    </row>
    <row r="121" spans="1:7" ht="15" customHeight="1" x14ac:dyDescent="0.25">
      <c r="B121" s="122" t="s">
        <v>148</v>
      </c>
      <c r="C121" s="29"/>
      <c r="D121" s="29"/>
      <c r="E121" s="29"/>
      <c r="F121" s="29"/>
      <c r="G121" s="29"/>
    </row>
    <row r="122" spans="1:7" ht="60" customHeight="1" x14ac:dyDescent="0.25">
      <c r="A122" s="182" t="s">
        <v>8370</v>
      </c>
      <c r="B122" s="501"/>
      <c r="C122" s="499"/>
      <c r="D122" s="499"/>
      <c r="E122" s="499"/>
      <c r="F122" s="499"/>
      <c r="G122" s="499"/>
    </row>
  </sheetData>
  <mergeCells count="16">
    <mergeCell ref="C65:G65"/>
    <mergeCell ref="C85:G85"/>
    <mergeCell ref="B122:G122"/>
    <mergeCell ref="C50:G50"/>
    <mergeCell ref="C51:G51"/>
    <mergeCell ref="C74:G74"/>
    <mergeCell ref="C75:G75"/>
    <mergeCell ref="C84:G84"/>
    <mergeCell ref="C64:G64"/>
    <mergeCell ref="B2:G2"/>
    <mergeCell ref="C35:G35"/>
    <mergeCell ref="C21:G21"/>
    <mergeCell ref="C4:G4"/>
    <mergeCell ref="C34:G34"/>
    <mergeCell ref="C20:G20"/>
    <mergeCell ref="C5:G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08" max="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1771"/>
  <sheetViews>
    <sheetView view="pageBreakPreview" topLeftCell="B1" zoomScaleNormal="95" zoomScaleSheetLayoutView="100" workbookViewId="0">
      <pane ySplit="1" topLeftCell="A1744" activePane="bottomLeft" state="frozen"/>
      <selection pane="bottomLeft" activeCell="H1747" sqref="H1747"/>
    </sheetView>
  </sheetViews>
  <sheetFormatPr defaultColWidth="22.7109375" defaultRowHeight="15" x14ac:dyDescent="0.25"/>
  <cols>
    <col min="1" max="3" width="22.7109375" style="187" customWidth="1"/>
    <col min="4" max="5" width="22.7109375" style="188" customWidth="1"/>
    <col min="6" max="6" width="22.7109375" style="260" customWidth="1"/>
    <col min="7" max="9" width="22.7109375" style="189" customWidth="1"/>
    <col min="10" max="11" width="22.7109375" style="185" customWidth="1"/>
    <col min="12" max="20" width="22.7109375" customWidth="1"/>
    <col min="21" max="21" width="22.7109375" style="185" customWidth="1"/>
    <col min="22" max="16384" width="22.7109375" style="185"/>
  </cols>
  <sheetData>
    <row r="1" spans="1:11" s="183" customFormat="1" ht="24" customHeight="1" x14ac:dyDescent="0.2">
      <c r="A1" s="262" t="s">
        <v>956</v>
      </c>
      <c r="B1" s="263" t="s">
        <v>957</v>
      </c>
      <c r="C1" s="263" t="s">
        <v>958</v>
      </c>
      <c r="D1" s="263" t="s">
        <v>959</v>
      </c>
      <c r="E1" s="263" t="s">
        <v>960</v>
      </c>
      <c r="F1" s="263" t="s">
        <v>961</v>
      </c>
      <c r="G1" s="263" t="s">
        <v>225</v>
      </c>
      <c r="H1" s="263" t="s">
        <v>226</v>
      </c>
      <c r="I1" s="263" t="s">
        <v>227</v>
      </c>
      <c r="J1" s="263" t="s">
        <v>148</v>
      </c>
      <c r="K1" s="263" t="s">
        <v>962</v>
      </c>
    </row>
    <row r="2" spans="1:11" ht="32.1" customHeight="1" x14ac:dyDescent="0.25">
      <c r="A2" s="276"/>
      <c r="B2" s="272">
        <v>1</v>
      </c>
      <c r="C2" s="272" t="s">
        <v>309</v>
      </c>
      <c r="D2" s="281" t="s">
        <v>2639</v>
      </c>
      <c r="E2" s="289">
        <v>36564</v>
      </c>
      <c r="F2" s="293">
        <v>36564</v>
      </c>
      <c r="G2" s="285" t="s">
        <v>2586</v>
      </c>
      <c r="H2" s="272" t="s">
        <v>496</v>
      </c>
      <c r="I2" s="273" t="s">
        <v>5481</v>
      </c>
      <c r="J2" s="297" t="s">
        <v>5482</v>
      </c>
      <c r="K2" s="259" t="str">
        <f>HYPERLINK("https://okcountyrecords.com/detail/roger+mills/2000-006657","63e8b9a8d056433a9994fe46ca85076b.pdf | OKCountyRecords: 2000-006657")</f>
        <v>63e8b9a8d056433a9994fe46ca85076b.pdf | OKCountyRecords: 2000-006657</v>
      </c>
    </row>
    <row r="3" spans="1:11" s="186" customFormat="1" ht="32.1" customHeight="1" x14ac:dyDescent="0.25">
      <c r="A3" s="277"/>
      <c r="B3" s="264">
        <v>2</v>
      </c>
      <c r="C3" s="264" t="s">
        <v>309</v>
      </c>
      <c r="D3" s="282" t="s">
        <v>2642</v>
      </c>
      <c r="E3" s="290">
        <v>36564</v>
      </c>
      <c r="F3" s="294">
        <v>36564</v>
      </c>
      <c r="G3" s="286" t="s">
        <v>2643</v>
      </c>
      <c r="H3" s="264" t="s">
        <v>496</v>
      </c>
      <c r="I3" s="265" t="s">
        <v>5484</v>
      </c>
      <c r="J3" s="298" t="s">
        <v>5485</v>
      </c>
      <c r="K3" s="259" t="str">
        <f>HYPERLINK("https://okcountyrecords.com/detail/roger+mills/2000-006661","63e8b9a8d056433a9994fe46ca85076b.pdf | OKCountyRecords: 2000-006661")</f>
        <v>63e8b9a8d056433a9994fe46ca85076b.pdf | OKCountyRecords: 2000-006661</v>
      </c>
    </row>
    <row r="4" spans="1:11" s="186" customFormat="1" ht="32.1" customHeight="1" x14ac:dyDescent="0.25">
      <c r="A4" s="277"/>
      <c r="B4" s="264">
        <v>3</v>
      </c>
      <c r="C4" s="264" t="s">
        <v>309</v>
      </c>
      <c r="D4" s="282" t="s">
        <v>2645</v>
      </c>
      <c r="E4" s="290">
        <v>36564</v>
      </c>
      <c r="F4" s="294">
        <v>36564</v>
      </c>
      <c r="G4" s="286" t="s">
        <v>513</v>
      </c>
      <c r="H4" s="264" t="s">
        <v>496</v>
      </c>
      <c r="I4" s="265" t="s">
        <v>5481</v>
      </c>
      <c r="J4" s="298" t="s">
        <v>5486</v>
      </c>
      <c r="K4" s="259" t="str">
        <f>HYPERLINK("https://okcountyrecords.com/detail/roger+mills/2000-006662","63e8b9a8d056433a9994fe46ca85076b.pdf | OKCountyRecords: 2000-006662")</f>
        <v>63e8b9a8d056433a9994fe46ca85076b.pdf | OKCountyRecords: 2000-006662</v>
      </c>
    </row>
    <row r="5" spans="1:11" s="186" customFormat="1" ht="32.1" customHeight="1" x14ac:dyDescent="0.25">
      <c r="A5" s="277"/>
      <c r="B5" s="264">
        <v>4</v>
      </c>
      <c r="C5" s="264" t="s">
        <v>309</v>
      </c>
      <c r="D5" s="282" t="s">
        <v>2647</v>
      </c>
      <c r="E5" s="290">
        <v>36565</v>
      </c>
      <c r="F5" s="294">
        <v>36565</v>
      </c>
      <c r="G5" s="286" t="s">
        <v>515</v>
      </c>
      <c r="H5" s="264" t="s">
        <v>266</v>
      </c>
      <c r="I5" s="265" t="s">
        <v>5487</v>
      </c>
      <c r="J5" s="298" t="s">
        <v>5488</v>
      </c>
      <c r="K5" s="259" t="str">
        <f>HYPERLINK("https://okcountyrecords.com/detail/roger+mills/2000-006668","63e8b9a8d056433a9994fe46ca85076b.pdf | OKCountyRecords: 2000-006668")</f>
        <v>63e8b9a8d056433a9994fe46ca85076b.pdf | OKCountyRecords: 2000-006668</v>
      </c>
    </row>
    <row r="6" spans="1:11" s="186" customFormat="1" ht="32.1" customHeight="1" x14ac:dyDescent="0.25">
      <c r="A6" s="277"/>
      <c r="B6" s="264">
        <v>5</v>
      </c>
      <c r="C6" s="264" t="s">
        <v>309</v>
      </c>
      <c r="D6" s="282" t="s">
        <v>2649</v>
      </c>
      <c r="E6" s="290">
        <v>36565</v>
      </c>
      <c r="F6" s="294">
        <v>36565</v>
      </c>
      <c r="G6" s="286" t="s">
        <v>292</v>
      </c>
      <c r="H6" s="264" t="s">
        <v>266</v>
      </c>
      <c r="I6" s="265" t="s">
        <v>5487</v>
      </c>
      <c r="J6" s="298" t="s">
        <v>5489</v>
      </c>
      <c r="K6" s="259" t="str">
        <f>HYPERLINK("https://okcountyrecords.com/detail/roger+mills/2000-006689","63e8b9a8d056433a9994fe46ca85076b.pdf | OKCountyRecords: 2000-006689")</f>
        <v>63e8b9a8d056433a9994fe46ca85076b.pdf | OKCountyRecords: 2000-006689</v>
      </c>
    </row>
    <row r="7" spans="1:11" s="186" customFormat="1" ht="32.1" customHeight="1" x14ac:dyDescent="0.25">
      <c r="A7" s="277"/>
      <c r="B7" s="264">
        <v>6</v>
      </c>
      <c r="C7" s="264" t="s">
        <v>309</v>
      </c>
      <c r="D7" s="282" t="s">
        <v>2651</v>
      </c>
      <c r="E7" s="290">
        <v>36565</v>
      </c>
      <c r="F7" s="294">
        <v>36565</v>
      </c>
      <c r="G7" s="286" t="s">
        <v>520</v>
      </c>
      <c r="H7" s="264" t="s">
        <v>266</v>
      </c>
      <c r="I7" s="265" t="s">
        <v>5490</v>
      </c>
      <c r="J7" s="298" t="s">
        <v>5491</v>
      </c>
      <c r="K7" s="259" t="str">
        <f>HYPERLINK("https://okcountyrecords.com/detail/roger+mills/2000-006692","63e8b9a8d056433a9994fe46ca85076b.pdf | OKCountyRecords: 2000-006692")</f>
        <v>63e8b9a8d056433a9994fe46ca85076b.pdf | OKCountyRecords: 2000-006692</v>
      </c>
    </row>
    <row r="8" spans="1:11" s="186" customFormat="1" ht="32.1" customHeight="1" x14ac:dyDescent="0.25">
      <c r="A8" s="277"/>
      <c r="B8" s="264">
        <v>7</v>
      </c>
      <c r="C8" s="264" t="s">
        <v>309</v>
      </c>
      <c r="D8" s="282" t="s">
        <v>2653</v>
      </c>
      <c r="E8" s="290">
        <v>36565</v>
      </c>
      <c r="F8" s="294">
        <v>36565</v>
      </c>
      <c r="G8" s="286" t="s">
        <v>523</v>
      </c>
      <c r="H8" s="264" t="s">
        <v>266</v>
      </c>
      <c r="I8" s="265" t="s">
        <v>5487</v>
      </c>
      <c r="J8" s="298" t="s">
        <v>5492</v>
      </c>
      <c r="K8" s="259" t="str">
        <f>HYPERLINK("https://okcountyrecords.com/detail/roger+mills/2000-006696","63e8b9a8d056433a9994fe46ca85076b.pdf | OKCountyRecords: 2000-006696")</f>
        <v>63e8b9a8d056433a9994fe46ca85076b.pdf | OKCountyRecords: 2000-006696</v>
      </c>
    </row>
    <row r="9" spans="1:11" s="186" customFormat="1" ht="32.1" customHeight="1" x14ac:dyDescent="0.25">
      <c r="A9" s="277"/>
      <c r="B9" s="264">
        <v>8</v>
      </c>
      <c r="C9" s="264" t="s">
        <v>309</v>
      </c>
      <c r="D9" s="282" t="s">
        <v>2655</v>
      </c>
      <c r="E9" s="290">
        <v>36565</v>
      </c>
      <c r="F9" s="294">
        <v>36565</v>
      </c>
      <c r="G9" s="286" t="s">
        <v>2656</v>
      </c>
      <c r="H9" s="264" t="s">
        <v>496</v>
      </c>
      <c r="I9" s="265" t="s">
        <v>5484</v>
      </c>
      <c r="J9" s="298" t="s">
        <v>5493</v>
      </c>
      <c r="K9" s="259" t="str">
        <f>HYPERLINK("https://okcountyrecords.com/detail/roger+mills/2000-006710","63e8b9a8d056433a9994fe46ca85076b.pdf | OKCountyRecords: 2000-006710")</f>
        <v>63e8b9a8d056433a9994fe46ca85076b.pdf | OKCountyRecords: 2000-006710</v>
      </c>
    </row>
    <row r="10" spans="1:11" s="186" customFormat="1" ht="32.1" customHeight="1" x14ac:dyDescent="0.25">
      <c r="A10" s="277"/>
      <c r="B10" s="264">
        <v>9</v>
      </c>
      <c r="C10" s="264" t="s">
        <v>309</v>
      </c>
      <c r="D10" s="282" t="s">
        <v>2658</v>
      </c>
      <c r="E10" s="290">
        <v>36565</v>
      </c>
      <c r="F10" s="294">
        <v>36565</v>
      </c>
      <c r="G10" s="286" t="s">
        <v>527</v>
      </c>
      <c r="H10" s="264" t="s">
        <v>496</v>
      </c>
      <c r="I10" s="265" t="s">
        <v>5484</v>
      </c>
      <c r="J10" s="298" t="s">
        <v>5494</v>
      </c>
      <c r="K10" s="259" t="str">
        <f>HYPERLINK("https://okcountyrecords.com/detail/roger+mills/2000-006711","63e8b9a8d056433a9994fe46ca85076b.pdf | OKCountyRecords: 2000-006711")</f>
        <v>63e8b9a8d056433a9994fe46ca85076b.pdf | OKCountyRecords: 2000-006711</v>
      </c>
    </row>
    <row r="11" spans="1:11" s="186" customFormat="1" ht="32.1" customHeight="1" x14ac:dyDescent="0.25">
      <c r="A11" s="277"/>
      <c r="B11" s="264">
        <v>10</v>
      </c>
      <c r="C11" s="264" t="s">
        <v>309</v>
      </c>
      <c r="D11" s="282" t="s">
        <v>2660</v>
      </c>
      <c r="E11" s="290">
        <v>36565</v>
      </c>
      <c r="F11" s="294">
        <v>36565</v>
      </c>
      <c r="G11" s="286" t="s">
        <v>2661</v>
      </c>
      <c r="H11" s="264" t="s">
        <v>496</v>
      </c>
      <c r="I11" s="265" t="s">
        <v>5484</v>
      </c>
      <c r="J11" s="298" t="s">
        <v>5495</v>
      </c>
      <c r="K11" s="259" t="str">
        <f>HYPERLINK("https://okcountyrecords.com/detail/roger+mills/2000-006712","63e8b9a8d056433a9994fe46ca85076b.pdf | OKCountyRecords: 2000-006712")</f>
        <v>63e8b9a8d056433a9994fe46ca85076b.pdf | OKCountyRecords: 2000-006712</v>
      </c>
    </row>
    <row r="12" spans="1:11" s="186" customFormat="1" ht="32.1" customHeight="1" x14ac:dyDescent="0.25">
      <c r="A12" s="277"/>
      <c r="B12" s="264"/>
      <c r="C12" s="264" t="s">
        <v>309</v>
      </c>
      <c r="D12" s="282" t="s">
        <v>2665</v>
      </c>
      <c r="E12" s="290">
        <v>36566</v>
      </c>
      <c r="F12" s="294">
        <v>36566</v>
      </c>
      <c r="G12" s="286" t="s">
        <v>531</v>
      </c>
      <c r="H12" s="264" t="s">
        <v>487</v>
      </c>
      <c r="I12" s="265" t="s">
        <v>313</v>
      </c>
      <c r="J12" s="298"/>
      <c r="K12" s="259" t="str">
        <f>HYPERLINK("https://okcountyrecords.com/detail/roger+mills/2000-006716","63e8b9a8d056433a9994fe46ca85076b.pdf | OKCountyRecords: 2000-006716")</f>
        <v>63e8b9a8d056433a9994fe46ca85076b.pdf | OKCountyRecords: 2000-006716</v>
      </c>
    </row>
    <row r="13" spans="1:11" s="186" customFormat="1" ht="32.1" customHeight="1" x14ac:dyDescent="0.25">
      <c r="A13" s="277"/>
      <c r="B13" s="264">
        <v>12</v>
      </c>
      <c r="C13" s="264" t="s">
        <v>309</v>
      </c>
      <c r="D13" s="282" t="s">
        <v>2669</v>
      </c>
      <c r="E13" s="290">
        <v>36572</v>
      </c>
      <c r="F13" s="294">
        <v>36572</v>
      </c>
      <c r="G13" s="286" t="s">
        <v>533</v>
      </c>
      <c r="H13" s="264" t="s">
        <v>496</v>
      </c>
      <c r="I13" s="265" t="s">
        <v>5497</v>
      </c>
      <c r="J13" s="298" t="s">
        <v>5498</v>
      </c>
      <c r="K13" s="259" t="str">
        <f>HYPERLINK("https://okcountyrecords.com/detail/roger+mills/2000-006763","63e8b9a8d056433a9994fe46ca85076b.pdf | OKCountyRecords: 2000-006763")</f>
        <v>63e8b9a8d056433a9994fe46ca85076b.pdf | OKCountyRecords: 2000-006763</v>
      </c>
    </row>
    <row r="14" spans="1:11" s="186" customFormat="1" ht="32.1" customHeight="1" x14ac:dyDescent="0.25">
      <c r="A14" s="277"/>
      <c r="B14" s="264"/>
      <c r="C14" s="264" t="s">
        <v>114</v>
      </c>
      <c r="D14" s="282" t="s">
        <v>2686</v>
      </c>
      <c r="E14" s="290">
        <v>36600</v>
      </c>
      <c r="F14" s="294">
        <v>36600</v>
      </c>
      <c r="G14" s="286" t="s">
        <v>266</v>
      </c>
      <c r="H14" s="264" t="s">
        <v>2687</v>
      </c>
      <c r="I14" s="265" t="s">
        <v>313</v>
      </c>
      <c r="J14" s="298" t="s">
        <v>5499</v>
      </c>
      <c r="K14" s="259" t="str">
        <f>HYPERLINK("https://okcountyrecords.com/detail/roger+mills/2000-007065","63e8b9a8d056433a9994fe46ca85076b.pdf | OKCountyRecords: 2000-007065")</f>
        <v>63e8b9a8d056433a9994fe46ca85076b.pdf | OKCountyRecords: 2000-007065</v>
      </c>
    </row>
    <row r="15" spans="1:11" s="186" customFormat="1" ht="32.1" customHeight="1" x14ac:dyDescent="0.25">
      <c r="A15" s="277"/>
      <c r="B15" s="264">
        <v>70</v>
      </c>
      <c r="C15" s="264" t="s">
        <v>309</v>
      </c>
      <c r="D15" s="282" t="s">
        <v>2693</v>
      </c>
      <c r="E15" s="290">
        <v>36612</v>
      </c>
      <c r="F15" s="294">
        <v>36612</v>
      </c>
      <c r="G15" s="286" t="s">
        <v>547</v>
      </c>
      <c r="H15" s="264" t="s">
        <v>266</v>
      </c>
      <c r="I15" s="265" t="s">
        <v>5500</v>
      </c>
      <c r="J15" s="298" t="s">
        <v>2694</v>
      </c>
      <c r="K15" s="259" t="str">
        <f>HYPERLINK("https://okcountyrecords.com/detail/roger+mills/2000-007204","63e8b9a8d056433a9994fe46ca85076b.pdf | OKCountyRecords: 2000-007204")</f>
        <v>63e8b9a8d056433a9994fe46ca85076b.pdf | OKCountyRecords: 2000-007204</v>
      </c>
    </row>
    <row r="16" spans="1:11" s="186" customFormat="1" ht="32.1" customHeight="1" x14ac:dyDescent="0.25">
      <c r="A16" s="277"/>
      <c r="B16" s="264"/>
      <c r="C16" s="264" t="s">
        <v>309</v>
      </c>
      <c r="D16" s="282" t="s">
        <v>2699</v>
      </c>
      <c r="E16" s="290">
        <v>36613</v>
      </c>
      <c r="F16" s="294">
        <v>36613</v>
      </c>
      <c r="G16" s="286" t="s">
        <v>550</v>
      </c>
      <c r="H16" s="264" t="s">
        <v>487</v>
      </c>
      <c r="I16" s="265" t="s">
        <v>5502</v>
      </c>
      <c r="J16" s="298"/>
      <c r="K16" s="259" t="str">
        <f>HYPERLINK("https://okcountyrecords.com/detail/roger+mills/2000-007244","63e8b9a8d056433a9994fe46ca85076b.pdf | OKCountyRecords: 2000-007244")</f>
        <v>63e8b9a8d056433a9994fe46ca85076b.pdf | OKCountyRecords: 2000-007244</v>
      </c>
    </row>
    <row r="17" spans="1:11" s="186" customFormat="1" ht="32.1" customHeight="1" x14ac:dyDescent="0.25">
      <c r="A17" s="277"/>
      <c r="B17" s="264"/>
      <c r="C17" s="264" t="s">
        <v>309</v>
      </c>
      <c r="D17" s="282" t="s">
        <v>2703</v>
      </c>
      <c r="E17" s="290">
        <v>36613</v>
      </c>
      <c r="F17" s="294">
        <v>36613</v>
      </c>
      <c r="G17" s="286" t="s">
        <v>480</v>
      </c>
      <c r="H17" s="264" t="s">
        <v>487</v>
      </c>
      <c r="I17" s="265" t="s">
        <v>5502</v>
      </c>
      <c r="J17" s="298"/>
      <c r="K17" s="259" t="str">
        <f>HYPERLINK("https://okcountyrecords.com/detail/roger+mills/2000-007245","63e8b9a8d056433a9994fe46ca85076b.pdf | OKCountyRecords: 2000-007245")</f>
        <v>63e8b9a8d056433a9994fe46ca85076b.pdf | OKCountyRecords: 2000-007245</v>
      </c>
    </row>
    <row r="18" spans="1:11" s="186" customFormat="1" ht="32.1" customHeight="1" x14ac:dyDescent="0.25">
      <c r="A18" s="277"/>
      <c r="B18" s="264"/>
      <c r="C18" s="264" t="s">
        <v>309</v>
      </c>
      <c r="D18" s="282" t="s">
        <v>239</v>
      </c>
      <c r="E18" s="290">
        <v>37348</v>
      </c>
      <c r="F18" s="294">
        <v>37372</v>
      </c>
      <c r="G18" s="286" t="s">
        <v>240</v>
      </c>
      <c r="H18" s="264" t="s">
        <v>8371</v>
      </c>
      <c r="I18" s="265" t="s">
        <v>242</v>
      </c>
      <c r="J18" s="298"/>
      <c r="K18" s="259" t="str">
        <f>HYPERLINK("https://okcountyrecords.com/detail/roger+mills/2002-001764","OKCountyRecords: 2002-001764")</f>
        <v>OKCountyRecords: 2002-001764</v>
      </c>
    </row>
    <row r="19" spans="1:11" s="186" customFormat="1" ht="32.1" customHeight="1" x14ac:dyDescent="0.25">
      <c r="A19" s="277"/>
      <c r="B19" s="264"/>
      <c r="C19" s="264" t="s">
        <v>309</v>
      </c>
      <c r="D19" s="282" t="s">
        <v>244</v>
      </c>
      <c r="E19" s="290">
        <v>37354</v>
      </c>
      <c r="F19" s="294">
        <v>37372</v>
      </c>
      <c r="G19" s="286" t="s">
        <v>8372</v>
      </c>
      <c r="H19" s="264" t="s">
        <v>8371</v>
      </c>
      <c r="I19" s="265" t="s">
        <v>242</v>
      </c>
      <c r="J19" s="298"/>
      <c r="K19" s="259" t="str">
        <f>HYPERLINK("https://okcountyrecords.com/detail/roger+mills/2002-001765","OKCountyRecords: 2002-001765")</f>
        <v>OKCountyRecords: 2002-001765</v>
      </c>
    </row>
    <row r="20" spans="1:11" s="186" customFormat="1" ht="32.1" customHeight="1" x14ac:dyDescent="0.25">
      <c r="A20" s="277"/>
      <c r="B20" s="264"/>
      <c r="C20" s="264" t="s">
        <v>309</v>
      </c>
      <c r="D20" s="282" t="s">
        <v>246</v>
      </c>
      <c r="E20" s="290">
        <v>37354</v>
      </c>
      <c r="F20" s="294">
        <v>37503</v>
      </c>
      <c r="G20" s="286" t="s">
        <v>247</v>
      </c>
      <c r="H20" s="264" t="s">
        <v>8371</v>
      </c>
      <c r="I20" s="265" t="s">
        <v>242</v>
      </c>
      <c r="J20" s="298"/>
      <c r="K20" s="259" t="str">
        <f>HYPERLINK("https://okcountyrecords.com/detail/roger+mills/2002-003522","OKCountyRecords: 2002-003522")</f>
        <v>OKCountyRecords: 2002-003522</v>
      </c>
    </row>
    <row r="21" spans="1:11" s="186" customFormat="1" ht="32.1" customHeight="1" x14ac:dyDescent="0.25">
      <c r="A21" s="277"/>
      <c r="B21" s="264"/>
      <c r="C21" s="264" t="s">
        <v>309</v>
      </c>
      <c r="D21" s="282" t="s">
        <v>248</v>
      </c>
      <c r="E21" s="290">
        <v>37361</v>
      </c>
      <c r="F21" s="294">
        <v>37389</v>
      </c>
      <c r="G21" s="286" t="s">
        <v>249</v>
      </c>
      <c r="H21" s="264" t="s">
        <v>487</v>
      </c>
      <c r="I21" s="265" t="s">
        <v>242</v>
      </c>
      <c r="J21" s="298"/>
      <c r="K21" s="259" t="str">
        <f>HYPERLINK("https://okcountyrecords.com/detail/roger+mills/2002-001970","OKCountyRecords: 2002-001970")</f>
        <v>OKCountyRecords: 2002-001970</v>
      </c>
    </row>
    <row r="22" spans="1:11" s="186" customFormat="1" ht="32.1" customHeight="1" x14ac:dyDescent="0.25">
      <c r="A22" s="277"/>
      <c r="B22" s="264"/>
      <c r="C22" s="264" t="s">
        <v>309</v>
      </c>
      <c r="D22" s="282" t="s">
        <v>251</v>
      </c>
      <c r="E22" s="290">
        <v>37364</v>
      </c>
      <c r="F22" s="294">
        <v>37389</v>
      </c>
      <c r="G22" s="286" t="s">
        <v>252</v>
      </c>
      <c r="H22" s="264" t="s">
        <v>8373</v>
      </c>
      <c r="I22" s="265" t="s">
        <v>242</v>
      </c>
      <c r="J22" s="298"/>
      <c r="K22" s="259" t="str">
        <f>HYPERLINK("https://okcountyrecords.com/detail/roger+mills/2002-001963","OKCountyRecords: 2002-001963")</f>
        <v>OKCountyRecords: 2002-001963</v>
      </c>
    </row>
    <row r="23" spans="1:11" s="186" customFormat="1" ht="32.1" customHeight="1" x14ac:dyDescent="0.25">
      <c r="A23" s="277"/>
      <c r="B23" s="264"/>
      <c r="C23" s="264" t="s">
        <v>309</v>
      </c>
      <c r="D23" s="282" t="s">
        <v>254</v>
      </c>
      <c r="E23" s="290">
        <v>37381</v>
      </c>
      <c r="F23" s="294">
        <v>37433</v>
      </c>
      <c r="G23" s="286" t="s">
        <v>8374</v>
      </c>
      <c r="H23" s="264" t="s">
        <v>256</v>
      </c>
      <c r="I23" s="265" t="s">
        <v>242</v>
      </c>
      <c r="J23" s="298"/>
      <c r="K23" s="259" t="str">
        <f>HYPERLINK("https://okcountyrecords.com/detail/roger+mills/2002-002676","OKCountyRecords: 2002-002676")</f>
        <v>OKCountyRecords: 2002-002676</v>
      </c>
    </row>
    <row r="24" spans="1:11" s="186" customFormat="1" ht="32.1" customHeight="1" x14ac:dyDescent="0.25">
      <c r="A24" s="277"/>
      <c r="B24" s="264">
        <v>19</v>
      </c>
      <c r="C24" s="264" t="s">
        <v>309</v>
      </c>
      <c r="D24" s="282" t="s">
        <v>257</v>
      </c>
      <c r="E24" s="290">
        <v>37384</v>
      </c>
      <c r="F24" s="294">
        <v>37389</v>
      </c>
      <c r="G24" s="286" t="s">
        <v>610</v>
      </c>
      <c r="H24" s="264" t="s">
        <v>611</v>
      </c>
      <c r="I24" s="265" t="s">
        <v>8375</v>
      </c>
      <c r="J24" s="298" t="s">
        <v>8376</v>
      </c>
      <c r="K24" s="259" t="str">
        <f>HYPERLINK("https://okcountyrecords.com/detail/roger+mills/2002-001961","OKCountyRecords: 2002-001961")</f>
        <v>OKCountyRecords: 2002-001961</v>
      </c>
    </row>
    <row r="25" spans="1:11" s="186" customFormat="1" ht="32.1" customHeight="1" x14ac:dyDescent="0.25">
      <c r="A25" s="277"/>
      <c r="B25" s="264"/>
      <c r="C25" s="264" t="s">
        <v>309</v>
      </c>
      <c r="D25" s="282" t="s">
        <v>260</v>
      </c>
      <c r="E25" s="290">
        <v>37425</v>
      </c>
      <c r="F25" s="294">
        <v>37484</v>
      </c>
      <c r="G25" s="286" t="s">
        <v>1615</v>
      </c>
      <c r="H25" s="264" t="s">
        <v>256</v>
      </c>
      <c r="I25" s="265" t="s">
        <v>242</v>
      </c>
      <c r="J25" s="298"/>
      <c r="K25" s="259" t="str">
        <f>HYPERLINK("https://okcountyrecords.com/detail/roger+mills/2002-003272","OKCountyRecords: 2002-003272")</f>
        <v>OKCountyRecords: 2002-003272</v>
      </c>
    </row>
    <row r="26" spans="1:11" s="186" customFormat="1" ht="32.1" customHeight="1" x14ac:dyDescent="0.25">
      <c r="A26" s="277"/>
      <c r="B26" s="264"/>
      <c r="C26" s="264" t="s">
        <v>309</v>
      </c>
      <c r="D26" s="282" t="s">
        <v>262</v>
      </c>
      <c r="E26" s="290">
        <v>37496</v>
      </c>
      <c r="F26" s="294">
        <v>37525</v>
      </c>
      <c r="G26" s="286" t="s">
        <v>263</v>
      </c>
      <c r="H26" s="264" t="s">
        <v>256</v>
      </c>
      <c r="I26" s="265" t="s">
        <v>242</v>
      </c>
      <c r="J26" s="298"/>
      <c r="K26" s="259" t="str">
        <f>HYPERLINK("https://okcountyrecords.com/detail/roger+mills/2002-003773","OKCountyRecords: 2002-003773")</f>
        <v>OKCountyRecords: 2002-003773</v>
      </c>
    </row>
    <row r="27" spans="1:11" s="186" customFormat="1" ht="32.1" customHeight="1" x14ac:dyDescent="0.25">
      <c r="A27" s="277"/>
      <c r="B27" s="264"/>
      <c r="C27" s="264" t="s">
        <v>309</v>
      </c>
      <c r="D27" s="282" t="s">
        <v>264</v>
      </c>
      <c r="E27" s="290">
        <v>38000</v>
      </c>
      <c r="F27" s="294">
        <v>38029</v>
      </c>
      <c r="G27" s="286" t="s">
        <v>265</v>
      </c>
      <c r="H27" s="264" t="s">
        <v>266</v>
      </c>
      <c r="I27" s="265" t="s">
        <v>242</v>
      </c>
      <c r="J27" s="298"/>
      <c r="K27" s="259" t="str">
        <f>HYPERLINK("https://okcountyrecords.com/detail/roger+mills/2004-000722","OKCountyRecords: 2004-000722")</f>
        <v>OKCountyRecords: 2004-000722</v>
      </c>
    </row>
    <row r="28" spans="1:11" s="186" customFormat="1" ht="32.1" customHeight="1" x14ac:dyDescent="0.25">
      <c r="A28" s="277"/>
      <c r="B28" s="264"/>
      <c r="C28" s="264" t="s">
        <v>309</v>
      </c>
      <c r="D28" s="282" t="s">
        <v>267</v>
      </c>
      <c r="E28" s="290">
        <v>38007</v>
      </c>
      <c r="F28" s="294">
        <v>38029</v>
      </c>
      <c r="G28" s="286" t="s">
        <v>4275</v>
      </c>
      <c r="H28" s="264" t="s">
        <v>266</v>
      </c>
      <c r="I28" s="265" t="s">
        <v>242</v>
      </c>
      <c r="J28" s="298"/>
      <c r="K28" s="259" t="str">
        <f>HYPERLINK("https://okcountyrecords.com/detail/roger+mills/2004-000720","OKCountyRecords: 2004-000720")</f>
        <v>OKCountyRecords: 2004-000720</v>
      </c>
    </row>
    <row r="29" spans="1:11" s="186" customFormat="1" ht="32.1" customHeight="1" x14ac:dyDescent="0.25">
      <c r="A29" s="277"/>
      <c r="B29" s="264"/>
      <c r="C29" s="264" t="s">
        <v>309</v>
      </c>
      <c r="D29" s="282" t="s">
        <v>269</v>
      </c>
      <c r="E29" s="290">
        <v>38023</v>
      </c>
      <c r="F29" s="294">
        <v>38049</v>
      </c>
      <c r="G29" s="286" t="s">
        <v>270</v>
      </c>
      <c r="H29" s="264" t="s">
        <v>266</v>
      </c>
      <c r="I29" s="265" t="s">
        <v>242</v>
      </c>
      <c r="J29" s="298"/>
      <c r="K29" s="259" t="str">
        <f>HYPERLINK("https://okcountyrecords.com/detail/roger+mills/2004-001053","OKCountyRecords: 2004-001053")</f>
        <v>OKCountyRecords: 2004-001053</v>
      </c>
    </row>
    <row r="30" spans="1:11" s="186" customFormat="1" ht="32.1" customHeight="1" x14ac:dyDescent="0.25">
      <c r="A30" s="277"/>
      <c r="B30" s="264"/>
      <c r="C30" s="264" t="s">
        <v>309</v>
      </c>
      <c r="D30" s="282" t="s">
        <v>271</v>
      </c>
      <c r="E30" s="290">
        <v>38026</v>
      </c>
      <c r="F30" s="294">
        <v>38027</v>
      </c>
      <c r="G30" s="286" t="s">
        <v>272</v>
      </c>
      <c r="H30" s="264" t="s">
        <v>266</v>
      </c>
      <c r="I30" s="265" t="s">
        <v>242</v>
      </c>
      <c r="J30" s="298"/>
      <c r="K30" s="259" t="str">
        <f>HYPERLINK("https://okcountyrecords.com/detail/roger+mills/2004-000679","OKCountyRecords: 2004-000679")</f>
        <v>OKCountyRecords: 2004-000679</v>
      </c>
    </row>
    <row r="31" spans="1:11" s="186" customFormat="1" ht="32.1" customHeight="1" x14ac:dyDescent="0.25">
      <c r="A31" s="277"/>
      <c r="B31" s="264"/>
      <c r="C31" s="264" t="s">
        <v>309</v>
      </c>
      <c r="D31" s="282" t="s">
        <v>273</v>
      </c>
      <c r="E31" s="290">
        <v>38441</v>
      </c>
      <c r="F31" s="294">
        <v>38504</v>
      </c>
      <c r="G31" s="286" t="s">
        <v>274</v>
      </c>
      <c r="H31" s="264" t="s">
        <v>487</v>
      </c>
      <c r="I31" s="265" t="s">
        <v>242</v>
      </c>
      <c r="J31" s="298"/>
      <c r="K31" s="259" t="str">
        <f>HYPERLINK("https://okcountyrecords.com/detail/roger+mills/2005-003756","OKCountyRecords: 2005-003756")</f>
        <v>OKCountyRecords: 2005-003756</v>
      </c>
    </row>
    <row r="32" spans="1:11" s="186" customFormat="1" ht="32.1" customHeight="1" x14ac:dyDescent="0.25">
      <c r="A32" s="277"/>
      <c r="B32" s="264"/>
      <c r="C32" s="264" t="s">
        <v>309</v>
      </c>
      <c r="D32" s="282" t="s">
        <v>275</v>
      </c>
      <c r="E32" s="290">
        <v>38468</v>
      </c>
      <c r="F32" s="294">
        <v>38551</v>
      </c>
      <c r="G32" s="286" t="s">
        <v>3290</v>
      </c>
      <c r="H32" s="264" t="s">
        <v>8371</v>
      </c>
      <c r="I32" s="265" t="s">
        <v>242</v>
      </c>
      <c r="J32" s="298"/>
      <c r="K32" s="259" t="str">
        <f>HYPERLINK("https://okcountyrecords.com/detail/roger+mills/2005-004816","OKCountyRecords: 2005-004816")</f>
        <v>OKCountyRecords: 2005-004816</v>
      </c>
    </row>
    <row r="33" spans="1:11" s="186" customFormat="1" ht="32.1" customHeight="1" x14ac:dyDescent="0.25">
      <c r="A33" s="277"/>
      <c r="B33" s="264"/>
      <c r="C33" s="264" t="s">
        <v>309</v>
      </c>
      <c r="D33" s="282" t="s">
        <v>277</v>
      </c>
      <c r="E33" s="290">
        <v>38482</v>
      </c>
      <c r="F33" s="294">
        <v>38541</v>
      </c>
      <c r="G33" s="286" t="s">
        <v>278</v>
      </c>
      <c r="H33" s="264" t="s">
        <v>487</v>
      </c>
      <c r="I33" s="265" t="s">
        <v>242</v>
      </c>
      <c r="J33" s="298"/>
      <c r="K33" s="259" t="str">
        <f>HYPERLINK("https://okcountyrecords.com/detail/roger+mills/2005-004681","OKCountyRecords: 2005-004681")</f>
        <v>OKCountyRecords: 2005-004681</v>
      </c>
    </row>
    <row r="34" spans="1:11" s="186" customFormat="1" ht="32.1" customHeight="1" x14ac:dyDescent="0.25">
      <c r="A34" s="277"/>
      <c r="B34" s="264"/>
      <c r="C34" s="264" t="s">
        <v>309</v>
      </c>
      <c r="D34" s="282" t="s">
        <v>279</v>
      </c>
      <c r="E34" s="290">
        <v>38621</v>
      </c>
      <c r="F34" s="294">
        <v>38709</v>
      </c>
      <c r="G34" s="286" t="s">
        <v>280</v>
      </c>
      <c r="H34" s="264" t="s">
        <v>8377</v>
      </c>
      <c r="I34" s="265" t="s">
        <v>242</v>
      </c>
      <c r="J34" s="298"/>
      <c r="K34" s="259" t="str">
        <f>HYPERLINK("https://okcountyrecords.com/detail/roger+mills/2005-008721","OKCountyRecords: 2005-008721")</f>
        <v>OKCountyRecords: 2005-008721</v>
      </c>
    </row>
    <row r="35" spans="1:11" s="186" customFormat="1" ht="32.1" customHeight="1" x14ac:dyDescent="0.25">
      <c r="A35" s="277"/>
      <c r="B35" s="264"/>
      <c r="C35" s="264" t="s">
        <v>309</v>
      </c>
      <c r="D35" s="282" t="s">
        <v>282</v>
      </c>
      <c r="E35" s="290">
        <v>38636</v>
      </c>
      <c r="F35" s="294">
        <v>38701</v>
      </c>
      <c r="G35" s="286" t="s">
        <v>283</v>
      </c>
      <c r="H35" s="264" t="s">
        <v>284</v>
      </c>
      <c r="I35" s="265" t="s">
        <v>242</v>
      </c>
      <c r="J35" s="298"/>
      <c r="K35" s="259" t="str">
        <f>HYPERLINK("https://okcountyrecords.com/detail/roger+mills/2005-008515","OKCountyRecords: 2005-008515")</f>
        <v>OKCountyRecords: 2005-008515</v>
      </c>
    </row>
    <row r="36" spans="1:11" s="186" customFormat="1" ht="32.1" customHeight="1" x14ac:dyDescent="0.25">
      <c r="A36" s="277"/>
      <c r="B36" s="264"/>
      <c r="C36" s="264" t="s">
        <v>309</v>
      </c>
      <c r="D36" s="282" t="s">
        <v>285</v>
      </c>
      <c r="E36" s="290">
        <v>38636</v>
      </c>
      <c r="F36" s="294">
        <v>38701</v>
      </c>
      <c r="G36" s="286" t="s">
        <v>286</v>
      </c>
      <c r="H36" s="264" t="s">
        <v>284</v>
      </c>
      <c r="I36" s="265" t="s">
        <v>242</v>
      </c>
      <c r="J36" s="298"/>
      <c r="K36" s="259" t="str">
        <f>HYPERLINK("https://okcountyrecords.com/detail/roger+mills/2005-008517","OKCountyRecords: 2005-008517")</f>
        <v>OKCountyRecords: 2005-008517</v>
      </c>
    </row>
    <row r="37" spans="1:11" s="186" customFormat="1" ht="32.1" customHeight="1" x14ac:dyDescent="0.25">
      <c r="A37" s="277"/>
      <c r="B37" s="264"/>
      <c r="C37" s="264" t="s">
        <v>309</v>
      </c>
      <c r="D37" s="282" t="s">
        <v>287</v>
      </c>
      <c r="E37" s="290">
        <v>38637</v>
      </c>
      <c r="F37" s="294">
        <v>38701</v>
      </c>
      <c r="G37" s="286" t="s">
        <v>288</v>
      </c>
      <c r="H37" s="264" t="s">
        <v>284</v>
      </c>
      <c r="I37" s="265" t="s">
        <v>242</v>
      </c>
      <c r="J37" s="298"/>
      <c r="K37" s="259" t="str">
        <f>HYPERLINK("https://okcountyrecords.com/detail/roger+mills/2005-008528","OKCountyRecords: 2005-008528")</f>
        <v>OKCountyRecords: 2005-008528</v>
      </c>
    </row>
    <row r="38" spans="1:11" s="186" customFormat="1" ht="32.1" customHeight="1" x14ac:dyDescent="0.25">
      <c r="A38" s="277"/>
      <c r="B38" s="264"/>
      <c r="C38" s="264" t="s">
        <v>309</v>
      </c>
      <c r="D38" s="282" t="s">
        <v>289</v>
      </c>
      <c r="E38" s="290">
        <v>38658</v>
      </c>
      <c r="F38" s="294">
        <v>38754</v>
      </c>
      <c r="G38" s="286" t="s">
        <v>249</v>
      </c>
      <c r="H38" s="264" t="s">
        <v>3369</v>
      </c>
      <c r="I38" s="265" t="s">
        <v>242</v>
      </c>
      <c r="J38" s="298"/>
      <c r="K38" s="259" t="str">
        <f>HYPERLINK("https://okcountyrecords.com/detail/roger+mills/2006-000936","OKCountyRecords: 2006-000936")</f>
        <v>OKCountyRecords: 2006-000936</v>
      </c>
    </row>
    <row r="39" spans="1:11" s="186" customFormat="1" ht="32.1" customHeight="1" x14ac:dyDescent="0.25">
      <c r="A39" s="277"/>
      <c r="B39" s="264"/>
      <c r="C39" s="264" t="s">
        <v>309</v>
      </c>
      <c r="D39" s="282" t="s">
        <v>291</v>
      </c>
      <c r="E39" s="290">
        <v>38671</v>
      </c>
      <c r="F39" s="294">
        <v>38701</v>
      </c>
      <c r="G39" s="286" t="s">
        <v>292</v>
      </c>
      <c r="H39" s="264" t="s">
        <v>284</v>
      </c>
      <c r="I39" s="265" t="s">
        <v>242</v>
      </c>
      <c r="J39" s="298"/>
      <c r="K39" s="259" t="str">
        <f>HYPERLINK("https://okcountyrecords.com/detail/roger+mills/2005-008522","OKCountyRecords: 2005-008522")</f>
        <v>OKCountyRecords: 2005-008522</v>
      </c>
    </row>
    <row r="40" spans="1:11" s="186" customFormat="1" ht="32.1" customHeight="1" x14ac:dyDescent="0.25">
      <c r="A40" s="277"/>
      <c r="B40" s="264"/>
      <c r="C40" s="264" t="s">
        <v>309</v>
      </c>
      <c r="D40" s="282" t="s">
        <v>293</v>
      </c>
      <c r="E40" s="290">
        <v>38694</v>
      </c>
      <c r="F40" s="294">
        <v>38754</v>
      </c>
      <c r="G40" s="286" t="s">
        <v>294</v>
      </c>
      <c r="H40" s="264" t="s">
        <v>3369</v>
      </c>
      <c r="I40" s="265" t="s">
        <v>242</v>
      </c>
      <c r="J40" s="298"/>
      <c r="K40" s="259" t="str">
        <f>HYPERLINK("https://okcountyrecords.com/detail/roger+mills/2006-000931","OKCountyRecords: 2006-000931")</f>
        <v>OKCountyRecords: 2006-000931</v>
      </c>
    </row>
    <row r="41" spans="1:11" s="186" customFormat="1" ht="32.1" customHeight="1" x14ac:dyDescent="0.25">
      <c r="A41" s="277"/>
      <c r="B41" s="264"/>
      <c r="C41" s="264" t="s">
        <v>309</v>
      </c>
      <c r="D41" s="282" t="s">
        <v>295</v>
      </c>
      <c r="E41" s="290">
        <v>38709</v>
      </c>
      <c r="F41" s="294">
        <v>38733</v>
      </c>
      <c r="G41" s="286" t="s">
        <v>240</v>
      </c>
      <c r="H41" s="264" t="s">
        <v>8378</v>
      </c>
      <c r="I41" s="265" t="s">
        <v>242</v>
      </c>
      <c r="J41" s="298"/>
      <c r="K41" s="259" t="str">
        <f>HYPERLINK("https://okcountyrecords.com/detail/roger+mills/2006-000321","OKCountyRecords: 2006-000321")</f>
        <v>OKCountyRecords: 2006-000321</v>
      </c>
    </row>
    <row r="42" spans="1:11" s="186" customFormat="1" ht="32.1" customHeight="1" x14ac:dyDescent="0.25">
      <c r="A42" s="277"/>
      <c r="B42" s="264"/>
      <c r="C42" s="264" t="s">
        <v>309</v>
      </c>
      <c r="D42" s="282" t="s">
        <v>297</v>
      </c>
      <c r="E42" s="290">
        <v>38726</v>
      </c>
      <c r="F42" s="294">
        <v>38742</v>
      </c>
      <c r="G42" s="286" t="s">
        <v>298</v>
      </c>
      <c r="H42" s="264" t="s">
        <v>299</v>
      </c>
      <c r="I42" s="265" t="s">
        <v>242</v>
      </c>
      <c r="J42" s="298"/>
      <c r="K42" s="259" t="str">
        <f>HYPERLINK("https://okcountyrecords.com/detail/roger+mills/2006-000583","OKCountyRecords: 2006-000583")</f>
        <v>OKCountyRecords: 2006-000583</v>
      </c>
    </row>
    <row r="43" spans="1:11" s="186" customFormat="1" ht="32.1" customHeight="1" x14ac:dyDescent="0.25">
      <c r="A43" s="277"/>
      <c r="B43" s="264"/>
      <c r="C43" s="264" t="s">
        <v>309</v>
      </c>
      <c r="D43" s="282" t="s">
        <v>300</v>
      </c>
      <c r="E43" s="290">
        <v>38733</v>
      </c>
      <c r="F43" s="294">
        <v>38747</v>
      </c>
      <c r="G43" s="286" t="s">
        <v>301</v>
      </c>
      <c r="H43" s="264" t="s">
        <v>302</v>
      </c>
      <c r="I43" s="265" t="s">
        <v>242</v>
      </c>
      <c r="J43" s="298"/>
      <c r="K43" s="259" t="str">
        <f>HYPERLINK("https://okcountyrecords.com/detail/roger+mills/2006-000702","OKCountyRecords: 2006-000702")</f>
        <v>OKCountyRecords: 2006-000702</v>
      </c>
    </row>
    <row r="44" spans="1:11" s="186" customFormat="1" ht="32.1" customHeight="1" x14ac:dyDescent="0.25">
      <c r="A44" s="277"/>
      <c r="B44" s="264">
        <v>39</v>
      </c>
      <c r="C44" s="264" t="s">
        <v>309</v>
      </c>
      <c r="D44" s="282" t="s">
        <v>303</v>
      </c>
      <c r="E44" s="290">
        <v>38761</v>
      </c>
      <c r="F44" s="294">
        <v>38792</v>
      </c>
      <c r="G44" s="286" t="s">
        <v>304</v>
      </c>
      <c r="H44" s="264" t="s">
        <v>299</v>
      </c>
      <c r="I44" s="265" t="s">
        <v>8375</v>
      </c>
      <c r="J44" s="298" t="s">
        <v>8379</v>
      </c>
      <c r="K44" s="259" t="str">
        <f>HYPERLINK("https://okcountyrecords.com/detail/roger+mills/2006-002044","OKCountyRecords: 2006-002044")</f>
        <v>OKCountyRecords: 2006-002044</v>
      </c>
    </row>
    <row r="45" spans="1:11" s="186" customFormat="1" ht="32.1" customHeight="1" x14ac:dyDescent="0.25">
      <c r="A45" s="277"/>
      <c r="B45" s="264"/>
      <c r="C45" s="264" t="s">
        <v>114</v>
      </c>
      <c r="D45" s="282" t="s">
        <v>3337</v>
      </c>
      <c r="E45" s="290">
        <v>39336</v>
      </c>
      <c r="F45" s="294">
        <v>39336</v>
      </c>
      <c r="G45" s="286" t="s">
        <v>3338</v>
      </c>
      <c r="H45" s="264" t="s">
        <v>3339</v>
      </c>
      <c r="I45" s="265" t="s">
        <v>5503</v>
      </c>
      <c r="J45" s="298" t="s">
        <v>5499</v>
      </c>
      <c r="K45" s="259" t="str">
        <f>HYPERLINK("https://okcountyrecords.com/detail/roger+mills/2007-008043","63e8b9a8d056433a9994fe46ca85076b.pdf | OKCountyRecords: 2007-008043")</f>
        <v>63e8b9a8d056433a9994fe46ca85076b.pdf | OKCountyRecords: 2007-008043</v>
      </c>
    </row>
    <row r="46" spans="1:11" s="186" customFormat="1" ht="32.1" customHeight="1" x14ac:dyDescent="0.25">
      <c r="A46" s="277"/>
      <c r="B46" s="264"/>
      <c r="C46" s="264" t="s">
        <v>5504</v>
      </c>
      <c r="D46" s="282" t="s">
        <v>3538</v>
      </c>
      <c r="E46" s="290">
        <v>41190</v>
      </c>
      <c r="F46" s="294">
        <v>41190</v>
      </c>
      <c r="G46" s="286" t="s">
        <v>3376</v>
      </c>
      <c r="H46" s="264" t="s">
        <v>5505</v>
      </c>
      <c r="I46" s="265" t="s">
        <v>242</v>
      </c>
      <c r="J46" s="298"/>
      <c r="K46" s="259" t="str">
        <f>HYPERLINK("https://okcountyrecords.com/detail/roger+mills/2012-006698","OKCountyRecords: 2012-006698")</f>
        <v>OKCountyRecords: 2012-006698</v>
      </c>
    </row>
    <row r="47" spans="1:11" s="186" customFormat="1" ht="32.1" customHeight="1" x14ac:dyDescent="0.25">
      <c r="A47" s="277"/>
      <c r="B47" s="264"/>
      <c r="C47" s="264" t="s">
        <v>5504</v>
      </c>
      <c r="D47" s="282" t="s">
        <v>3555</v>
      </c>
      <c r="E47" s="290">
        <v>41387</v>
      </c>
      <c r="F47" s="294">
        <v>41387</v>
      </c>
      <c r="G47" s="286" t="s">
        <v>3556</v>
      </c>
      <c r="H47" s="264" t="s">
        <v>3557</v>
      </c>
      <c r="I47" s="265" t="s">
        <v>5506</v>
      </c>
      <c r="J47" s="298"/>
      <c r="K47" s="259" t="str">
        <f>HYPERLINK("https://okcountyrecords.com/detail/roger+mills/2013-002047","OKCountyRecords: 2013-002047")</f>
        <v>OKCountyRecords: 2013-002047</v>
      </c>
    </row>
    <row r="48" spans="1:11" s="186" customFormat="1" ht="32.1" customHeight="1" x14ac:dyDescent="0.25">
      <c r="A48" s="277"/>
      <c r="B48" s="264">
        <v>43</v>
      </c>
      <c r="C48" s="264" t="s">
        <v>114</v>
      </c>
      <c r="D48" s="282" t="s">
        <v>3705</v>
      </c>
      <c r="E48" s="290">
        <v>42593</v>
      </c>
      <c r="F48" s="294">
        <v>42593</v>
      </c>
      <c r="G48" s="286" t="s">
        <v>299</v>
      </c>
      <c r="H48" s="264" t="s">
        <v>3706</v>
      </c>
      <c r="I48" s="265" t="s">
        <v>5507</v>
      </c>
      <c r="J48" s="298" t="s">
        <v>5508</v>
      </c>
      <c r="K48" s="259" t="str">
        <f>HYPERLINK("https://okcountyrecords.com/detail/roger+mills/2016-001883","OKCountyRecords: 2016-001883")</f>
        <v>OKCountyRecords: 2016-001883</v>
      </c>
    </row>
    <row r="49" spans="1:11" s="186" customFormat="1" ht="32.1" customHeight="1" x14ac:dyDescent="0.25">
      <c r="A49" s="277"/>
      <c r="B49" s="264"/>
      <c r="C49" s="264" t="s">
        <v>82</v>
      </c>
      <c r="D49" s="282" t="s">
        <v>3701</v>
      </c>
      <c r="E49" s="290">
        <v>42593</v>
      </c>
      <c r="F49" s="294">
        <v>42593</v>
      </c>
      <c r="G49" s="286" t="s">
        <v>299</v>
      </c>
      <c r="H49" s="264" t="s">
        <v>3702</v>
      </c>
      <c r="I49" s="265" t="s">
        <v>5510</v>
      </c>
      <c r="J49" s="298" t="s">
        <v>5511</v>
      </c>
      <c r="K49" s="259" t="str">
        <f>HYPERLINK("https://okcountyrecords.com/detail/roger+mills/2016-001882","OKCountyRecords: 2016-001882")</f>
        <v>OKCountyRecords: 2016-001882</v>
      </c>
    </row>
    <row r="50" spans="1:11" s="186" customFormat="1" ht="32.1" customHeight="1" x14ac:dyDescent="0.25">
      <c r="A50" s="277"/>
      <c r="B50" s="264"/>
      <c r="C50" s="264" t="s">
        <v>114</v>
      </c>
      <c r="D50" s="282" t="s">
        <v>3717</v>
      </c>
      <c r="E50" s="290">
        <v>42719</v>
      </c>
      <c r="F50" s="294">
        <v>42719</v>
      </c>
      <c r="G50" s="286" t="s">
        <v>3453</v>
      </c>
      <c r="H50" s="264" t="s">
        <v>3454</v>
      </c>
      <c r="I50" s="265" t="s">
        <v>313</v>
      </c>
      <c r="J50" s="298" t="s">
        <v>5499</v>
      </c>
      <c r="K50" s="259" t="str">
        <f>HYPERLINK("https://okcountyrecords.com/detail/roger+mills/2016-002793","63e8b9a8d056433a9994fe46ca85076b.pdf | OKCountyRecords: 2016-002793")</f>
        <v>63e8b9a8d056433a9994fe46ca85076b.pdf | OKCountyRecords: 2016-002793</v>
      </c>
    </row>
    <row r="51" spans="1:11" s="186" customFormat="1" ht="32.1" customHeight="1" x14ac:dyDescent="0.25">
      <c r="A51" s="277"/>
      <c r="B51" s="264"/>
      <c r="C51" s="264" t="s">
        <v>114</v>
      </c>
      <c r="D51" s="282" t="s">
        <v>3712</v>
      </c>
      <c r="E51" s="290">
        <v>42723</v>
      </c>
      <c r="F51" s="294">
        <v>42723</v>
      </c>
      <c r="G51" s="286" t="s">
        <v>5512</v>
      </c>
      <c r="H51" s="264" t="s">
        <v>3714</v>
      </c>
      <c r="I51" s="265" t="s">
        <v>5506</v>
      </c>
      <c r="J51" s="298" t="s">
        <v>5499</v>
      </c>
      <c r="K51" s="259" t="str">
        <f>HYPERLINK("https://okcountyrecords.com/detail/roger+mills/2016-002668","OKCountyRecords: 2016-002668")</f>
        <v>OKCountyRecords: 2016-002668</v>
      </c>
    </row>
    <row r="52" spans="1:11" s="186" customFormat="1" ht="32.1" customHeight="1" x14ac:dyDescent="0.25">
      <c r="A52" s="277"/>
      <c r="B52" s="264"/>
      <c r="C52" s="264" t="s">
        <v>114</v>
      </c>
      <c r="D52" s="282" t="s">
        <v>3719</v>
      </c>
      <c r="E52" s="290">
        <v>42752</v>
      </c>
      <c r="F52" s="294">
        <v>42752</v>
      </c>
      <c r="G52" s="286" t="s">
        <v>5513</v>
      </c>
      <c r="H52" s="264" t="s">
        <v>3721</v>
      </c>
      <c r="I52" s="265" t="s">
        <v>242</v>
      </c>
      <c r="J52" s="298" t="s">
        <v>5499</v>
      </c>
      <c r="K52" s="259" t="str">
        <f>HYPERLINK("https://okcountyrecords.com/detail/roger+mills/2017-000083","OKCountyRecords: 2017-000083")</f>
        <v>OKCountyRecords: 2017-000083</v>
      </c>
    </row>
    <row r="53" spans="1:11" s="186" customFormat="1" ht="32.1" customHeight="1" x14ac:dyDescent="0.25">
      <c r="A53" s="277"/>
      <c r="B53" s="264"/>
      <c r="C53" s="264" t="s">
        <v>1623</v>
      </c>
      <c r="D53" s="282" t="s">
        <v>3723</v>
      </c>
      <c r="E53" s="290">
        <v>42858</v>
      </c>
      <c r="F53" s="294">
        <v>42858</v>
      </c>
      <c r="G53" s="286" t="s">
        <v>730</v>
      </c>
      <c r="H53" s="264" t="s">
        <v>3728</v>
      </c>
      <c r="I53" s="265" t="s">
        <v>5514</v>
      </c>
      <c r="J53" s="298" t="s">
        <v>5515</v>
      </c>
      <c r="K53" s="259" t="str">
        <f>HYPERLINK("https://okcountyrecords.com/detail/roger+mills/2017-000951/19673811","OKCountyRecords: 2017-000951")</f>
        <v>OKCountyRecords: 2017-000951</v>
      </c>
    </row>
    <row r="54" spans="1:11" s="186" customFormat="1" ht="32.1" customHeight="1" x14ac:dyDescent="0.25">
      <c r="A54" s="277"/>
      <c r="B54" s="264"/>
      <c r="C54" s="264" t="s">
        <v>2437</v>
      </c>
      <c r="D54" s="282" t="s">
        <v>3737</v>
      </c>
      <c r="E54" s="290">
        <v>43088</v>
      </c>
      <c r="F54" s="294">
        <v>43088</v>
      </c>
      <c r="G54" s="286" t="s">
        <v>3706</v>
      </c>
      <c r="H54" s="264" t="s">
        <v>5517</v>
      </c>
      <c r="I54" s="265" t="s">
        <v>313</v>
      </c>
      <c r="J54" s="298"/>
      <c r="K54" s="259" t="str">
        <f>HYPERLINK("https://okcountyrecords.com/detail/roger+mills/2017-002694","63e8b9a8d056433a9994fe46ca85076b.pdf | OKCountyRecords: 2017-002694")</f>
        <v>63e8b9a8d056433a9994fe46ca85076b.pdf | OKCountyRecords: 2017-002694</v>
      </c>
    </row>
    <row r="55" spans="1:11" s="186" customFormat="1" ht="32.1" customHeight="1" x14ac:dyDescent="0.25">
      <c r="A55" s="277"/>
      <c r="B55" s="264">
        <v>47</v>
      </c>
      <c r="C55" s="264" t="s">
        <v>114</v>
      </c>
      <c r="D55" s="282" t="s">
        <v>3740</v>
      </c>
      <c r="E55" s="290">
        <v>43119</v>
      </c>
      <c r="F55" s="294">
        <v>43119</v>
      </c>
      <c r="G55" s="286" t="s">
        <v>3479</v>
      </c>
      <c r="H55" s="264" t="s">
        <v>3634</v>
      </c>
      <c r="I55" s="265" t="s">
        <v>5518</v>
      </c>
      <c r="J55" s="298" t="s">
        <v>5519</v>
      </c>
      <c r="K55" s="259" t="str">
        <f>HYPERLINK("https://okcountyrecords.com/detail/roger+mills/2018-000119/20639253","OKCountyRecords: 2018-000119")</f>
        <v>OKCountyRecords: 2018-000119</v>
      </c>
    </row>
    <row r="56" spans="1:11" s="186" customFormat="1" ht="32.1" customHeight="1" x14ac:dyDescent="0.25">
      <c r="A56" s="277"/>
      <c r="B56" s="264"/>
      <c r="C56" s="264" t="s">
        <v>5504</v>
      </c>
      <c r="D56" s="282" t="s">
        <v>3747</v>
      </c>
      <c r="E56" s="290">
        <v>43327</v>
      </c>
      <c r="F56" s="294">
        <v>43327</v>
      </c>
      <c r="G56" s="286" t="s">
        <v>5521</v>
      </c>
      <c r="H56" s="264" t="s">
        <v>1110</v>
      </c>
      <c r="I56" s="265" t="s">
        <v>242</v>
      </c>
      <c r="J56" s="298"/>
      <c r="K56" s="259" t="str">
        <f>HYPERLINK("https://okcountyrecords.com/detail/roger+mills/2018-002049","63e8b9a8d056433a9994fe46ca85076b.pdf | OKCountyRecords: 2018-002049")</f>
        <v>63e8b9a8d056433a9994fe46ca85076b.pdf | OKCountyRecords: 2018-002049</v>
      </c>
    </row>
    <row r="57" spans="1:11" s="186" customFormat="1" ht="32.1" customHeight="1" x14ac:dyDescent="0.25">
      <c r="A57" s="277"/>
      <c r="B57" s="264"/>
      <c r="C57" s="264" t="s">
        <v>82</v>
      </c>
      <c r="D57" s="282" t="s">
        <v>3753</v>
      </c>
      <c r="E57" s="290">
        <v>43382</v>
      </c>
      <c r="F57" s="294">
        <v>43382</v>
      </c>
      <c r="G57" s="286" t="s">
        <v>5522</v>
      </c>
      <c r="H57" s="264" t="s">
        <v>5523</v>
      </c>
      <c r="I57" s="265" t="s">
        <v>4721</v>
      </c>
      <c r="J57" s="298" t="s">
        <v>5524</v>
      </c>
      <c r="K57" s="259" t="str">
        <f>HYPERLINK("https://okcountyrecords.com/detail/roger+mills/2018-002650/21458328","OKCountyRecords: 2018-002650")</f>
        <v>OKCountyRecords: 2018-002650</v>
      </c>
    </row>
    <row r="58" spans="1:11" s="186" customFormat="1" ht="32.1" customHeight="1" x14ac:dyDescent="0.25">
      <c r="A58" s="277"/>
      <c r="B58" s="264">
        <v>49</v>
      </c>
      <c r="C58" s="264" t="s">
        <v>114</v>
      </c>
      <c r="D58" s="282" t="s">
        <v>3767</v>
      </c>
      <c r="E58" s="290">
        <v>43698</v>
      </c>
      <c r="F58" s="294">
        <v>43698</v>
      </c>
      <c r="G58" s="286" t="s">
        <v>3763</v>
      </c>
      <c r="H58" s="264" t="s">
        <v>3769</v>
      </c>
      <c r="I58" s="265" t="s">
        <v>5525</v>
      </c>
      <c r="J58" s="298" t="s">
        <v>5526</v>
      </c>
      <c r="K58" s="259" t="str">
        <f>HYPERLINK("https://okcountyrecords.com/detail/roger+mills/2019-001779","63e8b9a8d056433a9994fe46ca85076b.pdf | OKCountyRecords: 2019-001779")</f>
        <v>63e8b9a8d056433a9994fe46ca85076b.pdf | OKCountyRecords: 2019-001779</v>
      </c>
    </row>
    <row r="59" spans="1:11" s="186" customFormat="1" ht="32.1" customHeight="1" x14ac:dyDescent="0.25">
      <c r="A59" s="277"/>
      <c r="B59" s="264"/>
      <c r="C59" s="264" t="s">
        <v>1623</v>
      </c>
      <c r="D59" s="282" t="s">
        <v>3770</v>
      </c>
      <c r="E59" s="290">
        <v>43711</v>
      </c>
      <c r="F59" s="294">
        <v>43711</v>
      </c>
      <c r="G59" s="286" t="s">
        <v>5528</v>
      </c>
      <c r="H59" s="264" t="s">
        <v>3772</v>
      </c>
      <c r="I59" s="265" t="s">
        <v>717</v>
      </c>
      <c r="J59" s="298" t="s">
        <v>5529</v>
      </c>
      <c r="K59" s="259" t="str">
        <f>HYPERLINK("https://okcountyrecords.com/detail/roger+mills/2019-001855/22296278","OKCountyRecords: 2019-001855")</f>
        <v>OKCountyRecords: 2019-001855</v>
      </c>
    </row>
    <row r="60" spans="1:11" s="186" customFormat="1" ht="32.1" customHeight="1" x14ac:dyDescent="0.25">
      <c r="A60" s="277"/>
      <c r="B60" s="264"/>
      <c r="C60" s="264" t="s">
        <v>114</v>
      </c>
      <c r="D60" s="282" t="s">
        <v>3776</v>
      </c>
      <c r="E60" s="290">
        <v>44060</v>
      </c>
      <c r="F60" s="294">
        <v>44060</v>
      </c>
      <c r="G60" s="286" t="s">
        <v>5530</v>
      </c>
      <c r="H60" s="264" t="s">
        <v>3778</v>
      </c>
      <c r="I60" s="265" t="s">
        <v>313</v>
      </c>
      <c r="J60" s="298" t="s">
        <v>5499</v>
      </c>
      <c r="K60" s="259" t="str">
        <f>HYPERLINK("https://okcountyrecords.com/detail/roger+mills/2020-001283","63e8b9a8d056433a9994fe46ca85076b.pdf | OKCountyRecords: 2020-001283")</f>
        <v>63e8b9a8d056433a9994fe46ca85076b.pdf | OKCountyRecords: 2020-001283</v>
      </c>
    </row>
    <row r="61" spans="1:11" s="186" customFormat="1" ht="32.1" customHeight="1" x14ac:dyDescent="0.25">
      <c r="A61" s="277"/>
      <c r="B61" s="264"/>
      <c r="C61" s="264" t="s">
        <v>114</v>
      </c>
      <c r="D61" s="282" t="s">
        <v>3792</v>
      </c>
      <c r="E61" s="290">
        <v>44118</v>
      </c>
      <c r="F61" s="294">
        <v>44118</v>
      </c>
      <c r="G61" s="286" t="s">
        <v>5531</v>
      </c>
      <c r="H61" s="264" t="s">
        <v>3794</v>
      </c>
      <c r="I61" s="265" t="s">
        <v>313</v>
      </c>
      <c r="J61" s="298" t="s">
        <v>5499</v>
      </c>
      <c r="K61" s="259" t="str">
        <f>HYPERLINK("https://okcountyrecords.com/detail/roger+mills/2020-001577","63e8b9a8d056433a9994fe46ca85076b.pdf | OKCountyRecords: 2020-001577")</f>
        <v>63e8b9a8d056433a9994fe46ca85076b.pdf | OKCountyRecords: 2020-001577</v>
      </c>
    </row>
    <row r="62" spans="1:11" s="186" customFormat="1" ht="32.1" customHeight="1" x14ac:dyDescent="0.25">
      <c r="A62" s="277"/>
      <c r="B62" s="264"/>
      <c r="C62" s="264" t="s">
        <v>1623</v>
      </c>
      <c r="D62" s="282" t="s">
        <v>3801</v>
      </c>
      <c r="E62" s="290">
        <v>44144</v>
      </c>
      <c r="F62" s="294">
        <v>44144</v>
      </c>
      <c r="G62" s="286" t="s">
        <v>3802</v>
      </c>
      <c r="H62" s="264" t="s">
        <v>3803</v>
      </c>
      <c r="I62" s="265" t="s">
        <v>5532</v>
      </c>
      <c r="J62" s="298" t="s">
        <v>5533</v>
      </c>
      <c r="K62" s="259" t="str">
        <f>HYPERLINK("https://okcountyrecords.com/detail/roger+mills/2020-001708","63e8b9a8d056433a9994fe46ca85076b.pdf | OKCountyRecords: 2020-001708")</f>
        <v>63e8b9a8d056433a9994fe46ca85076b.pdf | OKCountyRecords: 2020-001708</v>
      </c>
    </row>
    <row r="63" spans="1:11" s="186" customFormat="1" ht="32.1" customHeight="1" x14ac:dyDescent="0.25">
      <c r="A63" s="277"/>
      <c r="B63" s="264"/>
      <c r="C63" s="264" t="s">
        <v>114</v>
      </c>
      <c r="D63" s="282" t="s">
        <v>3804</v>
      </c>
      <c r="E63" s="290">
        <v>44175</v>
      </c>
      <c r="F63" s="294">
        <v>44175</v>
      </c>
      <c r="G63" s="286" t="s">
        <v>4462</v>
      </c>
      <c r="H63" s="264" t="s">
        <v>4463</v>
      </c>
      <c r="I63" s="265" t="s">
        <v>5534</v>
      </c>
      <c r="J63" s="298" t="s">
        <v>5535</v>
      </c>
      <c r="K63" s="259" t="str">
        <f>HYPERLINK("https://okcountyrecords.com/detail/roger+mills/2020-001954/26392975","OKCountyRecords: 2020-001954")</f>
        <v>OKCountyRecords: 2020-001954</v>
      </c>
    </row>
    <row r="64" spans="1:11" s="186" customFormat="1" ht="32.1" customHeight="1" x14ac:dyDescent="0.25">
      <c r="A64" s="277"/>
      <c r="B64" s="264"/>
      <c r="C64" s="264" t="s">
        <v>1107</v>
      </c>
      <c r="D64" s="282" t="s">
        <v>3828</v>
      </c>
      <c r="E64" s="290">
        <v>44462</v>
      </c>
      <c r="F64" s="294">
        <v>44462</v>
      </c>
      <c r="G64" s="286" t="s">
        <v>3829</v>
      </c>
      <c r="H64" s="264" t="s">
        <v>1110</v>
      </c>
      <c r="I64" s="265" t="s">
        <v>5536</v>
      </c>
      <c r="J64" s="298" t="s">
        <v>5537</v>
      </c>
      <c r="K64" s="259" t="str">
        <f>HYPERLINK("https://okcountyrecords.com/detail/roger+mills/2021-001557","63e8b9a8d056433a9994fe46ca85076b.pdf | OKCountyRecords: 2021-001557")</f>
        <v>63e8b9a8d056433a9994fe46ca85076b.pdf | OKCountyRecords: 2021-001557</v>
      </c>
    </row>
    <row r="65" spans="1:11" s="186" customFormat="1" ht="32.1" customHeight="1" x14ac:dyDescent="0.25">
      <c r="A65" s="277"/>
      <c r="B65" s="264"/>
      <c r="C65" s="264" t="s">
        <v>3832</v>
      </c>
      <c r="D65" s="282" t="s">
        <v>3833</v>
      </c>
      <c r="E65" s="290">
        <v>44462</v>
      </c>
      <c r="F65" s="294">
        <v>44462</v>
      </c>
      <c r="G65" s="286" t="s">
        <v>3834</v>
      </c>
      <c r="H65" s="264" t="s">
        <v>5538</v>
      </c>
      <c r="I65" s="265" t="s">
        <v>313</v>
      </c>
      <c r="J65" s="298"/>
      <c r="K65" s="259" t="str">
        <f>HYPERLINK("https://okcountyrecords.com/detail/roger+mills/2021-001559","63e8b9a8d056433a9994fe46ca85076b.pdf | OKCountyRecords: 2021-001559")</f>
        <v>63e8b9a8d056433a9994fe46ca85076b.pdf | OKCountyRecords: 2021-001559</v>
      </c>
    </row>
    <row r="66" spans="1:11" s="186" customFormat="1" ht="32.1" customHeight="1" x14ac:dyDescent="0.25">
      <c r="A66" s="277"/>
      <c r="B66" s="264"/>
      <c r="C66" s="264" t="s">
        <v>114</v>
      </c>
      <c r="D66" s="282" t="s">
        <v>3838</v>
      </c>
      <c r="E66" s="290">
        <v>44463</v>
      </c>
      <c r="F66" s="294">
        <v>44463</v>
      </c>
      <c r="G66" s="286" t="s">
        <v>5539</v>
      </c>
      <c r="H66" s="264" t="s">
        <v>3794</v>
      </c>
      <c r="I66" s="265" t="s">
        <v>717</v>
      </c>
      <c r="J66" s="298" t="s">
        <v>5499</v>
      </c>
      <c r="K66" s="259" t="str">
        <f>HYPERLINK("https://okcountyrecords.com/detail/roger+mills/2021-001561","63e8b9a8d056433a9994fe46ca85076b.pdf | OKCountyRecords: 2021-001561")</f>
        <v>63e8b9a8d056433a9994fe46ca85076b.pdf | OKCountyRecords: 2021-001561</v>
      </c>
    </row>
    <row r="67" spans="1:11" s="186" customFormat="1" ht="32.1" customHeight="1" x14ac:dyDescent="0.25">
      <c r="A67" s="277"/>
      <c r="B67" s="264"/>
      <c r="C67" s="264" t="s">
        <v>114</v>
      </c>
      <c r="D67" s="282" t="s">
        <v>3842</v>
      </c>
      <c r="E67" s="290">
        <v>44476</v>
      </c>
      <c r="F67" s="294">
        <v>44476</v>
      </c>
      <c r="G67" s="286" t="s">
        <v>3846</v>
      </c>
      <c r="H67" s="264" t="s">
        <v>5540</v>
      </c>
      <c r="I67" s="265" t="s">
        <v>313</v>
      </c>
      <c r="J67" s="298" t="s">
        <v>5499</v>
      </c>
      <c r="K67" s="259" t="str">
        <f>HYPERLINK("https://okcountyrecords.com/detail/roger+mills/2021-001605","63e8b9a8d056433a9994fe46ca85076b.pdf | OKCountyRecords: 2021-001605")</f>
        <v>63e8b9a8d056433a9994fe46ca85076b.pdf | OKCountyRecords: 2021-001605</v>
      </c>
    </row>
    <row r="68" spans="1:11" s="186" customFormat="1" ht="32.1" customHeight="1" x14ac:dyDescent="0.25">
      <c r="A68" s="277"/>
      <c r="B68" s="264"/>
      <c r="C68" s="264" t="s">
        <v>1623</v>
      </c>
      <c r="D68" s="282" t="s">
        <v>3848</v>
      </c>
      <c r="E68" s="290">
        <v>44491</v>
      </c>
      <c r="F68" s="294">
        <v>44491</v>
      </c>
      <c r="G68" s="286" t="s">
        <v>5541</v>
      </c>
      <c r="H68" s="264" t="s">
        <v>5542</v>
      </c>
      <c r="I68" s="265" t="s">
        <v>4671</v>
      </c>
      <c r="J68" s="298" t="s">
        <v>5524</v>
      </c>
      <c r="K68" s="259" t="str">
        <f>HYPERLINK("https://okcountyrecords.com/detail/roger+mills/2021-001774/26955795","OKCountyRecords: 2021-001774")</f>
        <v>OKCountyRecords: 2021-001774</v>
      </c>
    </row>
    <row r="69" spans="1:11" s="186" customFormat="1" ht="32.1" customHeight="1" x14ac:dyDescent="0.25">
      <c r="A69" s="277"/>
      <c r="B69" s="264">
        <v>56</v>
      </c>
      <c r="C69" s="264" t="s">
        <v>3873</v>
      </c>
      <c r="D69" s="282" t="s">
        <v>3874</v>
      </c>
      <c r="E69" s="290">
        <v>45247</v>
      </c>
      <c r="F69" s="294">
        <v>45247</v>
      </c>
      <c r="G69" s="286" t="s">
        <v>3814</v>
      </c>
      <c r="H69" s="264" t="s">
        <v>5543</v>
      </c>
      <c r="I69" s="265" t="s">
        <v>5544</v>
      </c>
      <c r="J69" s="298" t="s">
        <v>5545</v>
      </c>
      <c r="K69" s="259" t="str">
        <f>HYPERLINK("https://okcountyrecords.com/detail/roger+mills/2023-003590","63e8b9a8d056433a9994fe46ca85076b.pdf | OKCountyRecords: 2023-003590")</f>
        <v>63e8b9a8d056433a9994fe46ca85076b.pdf | OKCountyRecords: 2023-003590</v>
      </c>
    </row>
    <row r="70" spans="1:11" s="186" customFormat="1" ht="32.1" customHeight="1" x14ac:dyDescent="0.25">
      <c r="A70" s="277"/>
      <c r="B70" s="264"/>
      <c r="C70" s="264" t="s">
        <v>3535</v>
      </c>
      <c r="D70" s="282" t="s">
        <v>3878</v>
      </c>
      <c r="E70" s="290">
        <v>45247</v>
      </c>
      <c r="F70" s="294">
        <v>45247</v>
      </c>
      <c r="G70" s="286" t="s">
        <v>5546</v>
      </c>
      <c r="H70" s="264" t="s">
        <v>5547</v>
      </c>
      <c r="I70" s="265" t="s">
        <v>313</v>
      </c>
      <c r="J70" s="298"/>
      <c r="K70" s="259" t="str">
        <f>HYPERLINK("https://okcountyrecords.com/detail/roger+mills/2023-003594","63e8b9a8d056433a9994fe46ca85076b.pdf | OKCountyRecords: 2023-003594")</f>
        <v>63e8b9a8d056433a9994fe46ca85076b.pdf | OKCountyRecords: 2023-003594</v>
      </c>
    </row>
    <row r="71" spans="1:11" s="186" customFormat="1" ht="32.1" customHeight="1" x14ac:dyDescent="0.25">
      <c r="A71" s="277"/>
      <c r="B71" s="264"/>
      <c r="C71" s="264" t="s">
        <v>3535</v>
      </c>
      <c r="D71" s="282" t="s">
        <v>3882</v>
      </c>
      <c r="E71" s="290">
        <v>45250</v>
      </c>
      <c r="F71" s="294">
        <v>45250</v>
      </c>
      <c r="G71" s="286" t="s">
        <v>3814</v>
      </c>
      <c r="H71" s="264" t="s">
        <v>4085</v>
      </c>
      <c r="I71" s="265" t="s">
        <v>5548</v>
      </c>
      <c r="J71" s="298" t="s">
        <v>5549</v>
      </c>
      <c r="K71" s="259" t="str">
        <f>HYPERLINK("https://okcountyrecords.com/detail/roger+mills/2023-003598","63e8b9a8d056433a9994fe46ca85076b.pdf | OKCountyRecords: 2023-003598")</f>
        <v>63e8b9a8d056433a9994fe46ca85076b.pdf | OKCountyRecords: 2023-003598</v>
      </c>
    </row>
    <row r="72" spans="1:11" s="186" customFormat="1" ht="32.1" customHeight="1" x14ac:dyDescent="0.25">
      <c r="A72" s="277"/>
      <c r="B72" s="264"/>
      <c r="C72" s="264" t="s">
        <v>114</v>
      </c>
      <c r="D72" s="282" t="s">
        <v>3889</v>
      </c>
      <c r="E72" s="290">
        <v>45401</v>
      </c>
      <c r="F72" s="294">
        <v>45401</v>
      </c>
      <c r="G72" s="286" t="s">
        <v>896</v>
      </c>
      <c r="H72" s="264" t="s">
        <v>3890</v>
      </c>
      <c r="I72" s="265" t="s">
        <v>313</v>
      </c>
      <c r="J72" s="298" t="s">
        <v>5499</v>
      </c>
      <c r="K72" s="259" t="str">
        <f>HYPERLINK("https://okcountyrecords.com/detail/roger+mills/2024-002310","63e8b9a8d056433a9994fe46ca85076b.pdf | OKCountyRecords: 2024-002310")</f>
        <v>63e8b9a8d056433a9994fe46ca85076b.pdf | OKCountyRecords: 2024-002310</v>
      </c>
    </row>
    <row r="73" spans="1:11" s="186" customFormat="1" ht="32.1" customHeight="1" x14ac:dyDescent="0.25">
      <c r="A73" s="277"/>
      <c r="B73" s="264"/>
      <c r="C73" s="264" t="s">
        <v>114</v>
      </c>
      <c r="D73" s="282" t="s">
        <v>3892</v>
      </c>
      <c r="E73" s="290">
        <v>45432</v>
      </c>
      <c r="F73" s="294">
        <v>45432</v>
      </c>
      <c r="G73" s="286" t="s">
        <v>896</v>
      </c>
      <c r="H73" s="264" t="s">
        <v>5550</v>
      </c>
      <c r="I73" s="265" t="s">
        <v>242</v>
      </c>
      <c r="J73" s="298" t="s">
        <v>5499</v>
      </c>
      <c r="K73" s="259" t="str">
        <f>HYPERLINK("https://okcountyrecords.com/detail/roger+mills/2024-003107","63e8b9a8d056433a9994fe46ca85076b.pdf | OKCountyRecords: 2024-003107")</f>
        <v>63e8b9a8d056433a9994fe46ca85076b.pdf | OKCountyRecords: 2024-003107</v>
      </c>
    </row>
    <row r="74" spans="1:11" s="186" customFormat="1" ht="32.1" customHeight="1" x14ac:dyDescent="0.25">
      <c r="A74" s="277"/>
      <c r="B74" s="264">
        <v>59</v>
      </c>
      <c r="C74" s="264" t="s">
        <v>114</v>
      </c>
      <c r="D74" s="282" t="s">
        <v>3895</v>
      </c>
      <c r="E74" s="290">
        <v>45509</v>
      </c>
      <c r="F74" s="294">
        <v>45509</v>
      </c>
      <c r="G74" s="286" t="s">
        <v>3864</v>
      </c>
      <c r="H74" s="264" t="s">
        <v>3898</v>
      </c>
      <c r="I74" s="265" t="s">
        <v>313</v>
      </c>
      <c r="J74" s="298" t="s">
        <v>5551</v>
      </c>
      <c r="K74" s="259" t="str">
        <f>HYPERLINK("https://okcountyrecords.com/detail/roger+mills/2024-004916","63e8b9a8d056433a9994fe46ca85076b.pdf | OKCountyRecords: 2024-004916")</f>
        <v>63e8b9a8d056433a9994fe46ca85076b.pdf | OKCountyRecords: 2024-004916</v>
      </c>
    </row>
    <row r="75" spans="1:11" s="186" customFormat="1" ht="32.1" customHeight="1" x14ac:dyDescent="0.25">
      <c r="A75" s="277"/>
      <c r="B75" s="264"/>
      <c r="C75" s="264" t="s">
        <v>2437</v>
      </c>
      <c r="D75" s="282" t="s">
        <v>3900</v>
      </c>
      <c r="E75" s="290">
        <v>45614</v>
      </c>
      <c r="F75" s="294">
        <v>45614</v>
      </c>
      <c r="G75" s="286" t="s">
        <v>3901</v>
      </c>
      <c r="H75" s="264" t="s">
        <v>5552</v>
      </c>
      <c r="I75" s="265" t="s">
        <v>313</v>
      </c>
      <c r="J75" s="298"/>
      <c r="K75" s="259" t="str">
        <f>HYPERLINK("https://okcountyrecords.com/detail/roger+mills/2024-007198","63e8b9a8d056433a9994fe46ca85076b.pdf | OKCountyRecords: 2024-007198")</f>
        <v>63e8b9a8d056433a9994fe46ca85076b.pdf | OKCountyRecords: 2024-007198</v>
      </c>
    </row>
    <row r="76" spans="1:11" s="186" customFormat="1" ht="32.1" customHeight="1" x14ac:dyDescent="0.25">
      <c r="A76" s="277"/>
      <c r="B76" s="264"/>
      <c r="C76" s="264" t="s">
        <v>1410</v>
      </c>
      <c r="D76" s="282" t="s">
        <v>3904</v>
      </c>
      <c r="E76" s="290">
        <v>45614</v>
      </c>
      <c r="F76" s="294">
        <v>45614</v>
      </c>
      <c r="G76" s="286" t="s">
        <v>5553</v>
      </c>
      <c r="H76" s="264" t="s">
        <v>1110</v>
      </c>
      <c r="I76" s="265" t="s">
        <v>313</v>
      </c>
      <c r="J76" s="298"/>
      <c r="K76" s="259" t="str">
        <f>HYPERLINK("https://okcountyrecords.com/detail/roger+mills/2024-007203","63e8b9a8d056433a9994fe46ca85076b.pdf | OKCountyRecords: 2024-007203")</f>
        <v>63e8b9a8d056433a9994fe46ca85076b.pdf | OKCountyRecords: 2024-007203</v>
      </c>
    </row>
    <row r="77" spans="1:11" s="186" customFormat="1" ht="32.1" customHeight="1" x14ac:dyDescent="0.25">
      <c r="A77" s="277"/>
      <c r="B77" s="264"/>
      <c r="C77" s="264" t="s">
        <v>1623</v>
      </c>
      <c r="D77" s="282" t="s">
        <v>3907</v>
      </c>
      <c r="E77" s="290">
        <v>45621</v>
      </c>
      <c r="F77" s="294">
        <v>45621</v>
      </c>
      <c r="G77" s="286" t="s">
        <v>482</v>
      </c>
      <c r="H77" s="264" t="s">
        <v>5554</v>
      </c>
      <c r="I77" s="265" t="s">
        <v>5555</v>
      </c>
      <c r="J77" s="298" t="s">
        <v>5524</v>
      </c>
      <c r="K77" s="259" t="str">
        <f>HYPERLINK("https://okcountyrecords.com/detail/roger+mills/2024-007338/32904065","OKCountyRecords: 2024-007338")</f>
        <v>OKCountyRecords: 2024-007338</v>
      </c>
    </row>
    <row r="78" spans="1:11" s="186" customFormat="1" ht="32.1" customHeight="1" x14ac:dyDescent="0.25">
      <c r="A78" s="277"/>
      <c r="B78" s="264"/>
      <c r="C78" s="264" t="s">
        <v>114</v>
      </c>
      <c r="D78" s="282" t="s">
        <v>3913</v>
      </c>
      <c r="E78" s="290">
        <v>45642</v>
      </c>
      <c r="F78" s="294">
        <v>45642</v>
      </c>
      <c r="G78" s="286" t="s">
        <v>5556</v>
      </c>
      <c r="H78" s="264" t="s">
        <v>3915</v>
      </c>
      <c r="I78" s="265" t="s">
        <v>308</v>
      </c>
      <c r="J78" s="298" t="s">
        <v>5499</v>
      </c>
      <c r="K78" s="259" t="str">
        <f>HYPERLINK("https://okcountyrecords.com/detail/roger+mills/2024-007734/33733683","OKCountyRecords: 2024-007734")</f>
        <v>OKCountyRecords: 2024-007734</v>
      </c>
    </row>
    <row r="79" spans="1:11" s="186" customFormat="1" ht="32.1" customHeight="1" x14ac:dyDescent="0.25">
      <c r="A79" s="277"/>
      <c r="B79" s="264"/>
      <c r="C79" s="264" t="s">
        <v>2441</v>
      </c>
      <c r="D79" s="282" t="s">
        <v>3920</v>
      </c>
      <c r="E79" s="290">
        <v>45672</v>
      </c>
      <c r="F79" s="294">
        <v>45672</v>
      </c>
      <c r="G79" s="286" t="s">
        <v>5539</v>
      </c>
      <c r="H79" s="264" t="s">
        <v>3794</v>
      </c>
      <c r="I79" s="265" t="s">
        <v>313</v>
      </c>
      <c r="J79" s="298"/>
      <c r="K79" s="259" t="str">
        <f>HYPERLINK("https://okcountyrecords.com/detail/roger+mills/2025-000522","63e8b9a8d056433a9994fe46ca85076b.pdf | OKCountyRecords: 2025-000522")</f>
        <v>63e8b9a8d056433a9994fe46ca85076b.pdf | OKCountyRecords: 2025-000522</v>
      </c>
    </row>
    <row r="80" spans="1:11" s="186" customFormat="1" ht="32.1" customHeight="1" x14ac:dyDescent="0.25">
      <c r="A80" s="277"/>
      <c r="B80" s="264"/>
      <c r="C80" s="264" t="s">
        <v>1623</v>
      </c>
      <c r="D80" s="282" t="s">
        <v>3933</v>
      </c>
      <c r="E80" s="290">
        <v>45771</v>
      </c>
      <c r="F80" s="294">
        <v>45771</v>
      </c>
      <c r="G80" s="286" t="s">
        <v>3936</v>
      </c>
      <c r="H80" s="264" t="s">
        <v>3934</v>
      </c>
      <c r="I80" s="265" t="s">
        <v>5557</v>
      </c>
      <c r="J80" s="298" t="s">
        <v>5558</v>
      </c>
      <c r="K80" s="259" t="str">
        <f>HYPERLINK("https://okcountyrecords.com/detail/roger+mills/2025-002464/34027438","OKCountyRecords: 2025-002464")</f>
        <v>OKCountyRecords: 2025-002464</v>
      </c>
    </row>
    <row r="81" spans="1:11" s="186" customFormat="1" ht="32.1" customHeight="1" x14ac:dyDescent="0.25">
      <c r="A81" s="277"/>
      <c r="B81" s="264"/>
      <c r="C81" s="264" t="s">
        <v>1623</v>
      </c>
      <c r="D81" s="282" t="s">
        <v>3930</v>
      </c>
      <c r="E81" s="290">
        <v>45771</v>
      </c>
      <c r="F81" s="294">
        <v>45771</v>
      </c>
      <c r="G81" s="286" t="s">
        <v>3936</v>
      </c>
      <c r="H81" s="264" t="s">
        <v>5559</v>
      </c>
      <c r="I81" s="265" t="s">
        <v>5557</v>
      </c>
      <c r="J81" s="298" t="s">
        <v>5560</v>
      </c>
      <c r="K81" s="259" t="str">
        <f>HYPERLINK("https://okcountyrecords.com/detail/roger+mills/2025-002463/34027439","OKCountyRecords: 2025-002463")</f>
        <v>OKCountyRecords: 2025-002463</v>
      </c>
    </row>
    <row r="82" spans="1:11" s="186" customFormat="1" ht="32.1" customHeight="1" x14ac:dyDescent="0.25">
      <c r="A82" s="277"/>
      <c r="B82" s="264"/>
      <c r="C82" s="264" t="s">
        <v>1107</v>
      </c>
      <c r="D82" s="282" t="s">
        <v>3939</v>
      </c>
      <c r="E82" s="290">
        <v>45792</v>
      </c>
      <c r="F82" s="294">
        <v>45792</v>
      </c>
      <c r="G82" s="286" t="s">
        <v>3940</v>
      </c>
      <c r="H82" s="264" t="s">
        <v>5561</v>
      </c>
      <c r="I82" s="265" t="s">
        <v>313</v>
      </c>
      <c r="J82" s="298" t="s">
        <v>5562</v>
      </c>
      <c r="K82" s="259" t="str">
        <f>HYPERLINK("https://okcountyrecords.com/detail/roger+mills/2025-002923","63e8b9a8d056433a9994fe46ca85076b.pdf | OKCountyRecords: 2025-002923")</f>
        <v>63e8b9a8d056433a9994fe46ca85076b.pdf | OKCountyRecords: 2025-002923</v>
      </c>
    </row>
    <row r="83" spans="1:11" s="186" customFormat="1" ht="32.1" customHeight="1" x14ac:dyDescent="0.25">
      <c r="A83" s="277"/>
      <c r="B83" s="264"/>
      <c r="C83" s="264" t="s">
        <v>5504</v>
      </c>
      <c r="D83" s="282" t="s">
        <v>3954</v>
      </c>
      <c r="E83" s="290">
        <v>45954</v>
      </c>
      <c r="F83" s="294">
        <v>45954</v>
      </c>
      <c r="G83" s="286" t="s">
        <v>5563</v>
      </c>
      <c r="H83" s="264" t="s">
        <v>5564</v>
      </c>
      <c r="I83" s="265" t="s">
        <v>313</v>
      </c>
      <c r="J83" s="298"/>
      <c r="K83" s="259" t="str">
        <f>HYPERLINK("https://okcountyrecords.com/detail/roger+mills/2025-006541","63e8b9a8d056433a9994fe46ca85076b.pdf | OKCountyRecords: 2025-006541")</f>
        <v>63e8b9a8d056433a9994fe46ca85076b.pdf | OKCountyRecords: 2025-006541</v>
      </c>
    </row>
    <row r="84" spans="1:11" s="186" customFormat="1" ht="32.1" customHeight="1" x14ac:dyDescent="0.25">
      <c r="A84" s="277"/>
      <c r="B84" s="264">
        <v>63</v>
      </c>
      <c r="C84" s="264" t="s">
        <v>3873</v>
      </c>
      <c r="D84" s="282" t="s">
        <v>3958</v>
      </c>
      <c r="E84" s="290">
        <v>45975</v>
      </c>
      <c r="F84" s="294">
        <v>45975</v>
      </c>
      <c r="G84" s="286" t="s">
        <v>3959</v>
      </c>
      <c r="H84" s="264" t="s">
        <v>3960</v>
      </c>
      <c r="I84" s="265" t="s">
        <v>313</v>
      </c>
      <c r="J84" s="298" t="s">
        <v>5565</v>
      </c>
      <c r="K84" s="259" t="str">
        <f>HYPERLINK("https://okcountyrecords.com/detail/roger+mills/2025-006987","63e8b9a8d056433a9994fe46ca85076b.pdf | OKCountyRecords: 2025-006987")</f>
        <v>63e8b9a8d056433a9994fe46ca85076b.pdf | OKCountyRecords: 2025-006987</v>
      </c>
    </row>
    <row r="85" spans="1:11" s="186" customFormat="1" ht="32.1" customHeight="1" x14ac:dyDescent="0.25">
      <c r="A85" s="277"/>
      <c r="B85" s="264"/>
      <c r="C85" s="264" t="s">
        <v>2441</v>
      </c>
      <c r="D85" s="282" t="s">
        <v>3962</v>
      </c>
      <c r="E85" s="290">
        <v>46052</v>
      </c>
      <c r="F85" s="294">
        <v>46052</v>
      </c>
      <c r="G85" s="286" t="s">
        <v>5563</v>
      </c>
      <c r="H85" s="264" t="s">
        <v>1110</v>
      </c>
      <c r="I85" s="265" t="s">
        <v>313</v>
      </c>
      <c r="J85" s="298"/>
      <c r="K85" s="259" t="str">
        <f>HYPERLINK("https://okcountyrecords.com/detail/roger+mills/2026-000506","63e8b9a8d056433a9994fe46ca85076b.pdf | OKCountyRecords: 2026-000506")</f>
        <v>63e8b9a8d056433a9994fe46ca85076b.pdf | OKCountyRecords: 2026-000506</v>
      </c>
    </row>
    <row r="86" spans="1:11" s="186" customFormat="1" ht="32.1" customHeight="1" x14ac:dyDescent="0.25">
      <c r="A86" s="277"/>
      <c r="B86" s="264"/>
      <c r="C86" s="264" t="s">
        <v>1107</v>
      </c>
      <c r="D86" s="282" t="s">
        <v>3975</v>
      </c>
      <c r="E86" s="290">
        <v>46119</v>
      </c>
      <c r="F86" s="294">
        <v>46119</v>
      </c>
      <c r="G86" s="286" t="s">
        <v>5566</v>
      </c>
      <c r="H86" s="264" t="s">
        <v>1110</v>
      </c>
      <c r="I86" s="265" t="s">
        <v>313</v>
      </c>
      <c r="J86" s="298" t="s">
        <v>5562</v>
      </c>
      <c r="K86" s="259" t="str">
        <f>HYPERLINK("https://okcountyrecords.com/detail/roger+mills/2026-001884","63e8b9a8d056433a9994fe46ca85076b.pdf | OKCountyRecords: 2026-001884")</f>
        <v>63e8b9a8d056433a9994fe46ca85076b.pdf | OKCountyRecords: 2026-001884</v>
      </c>
    </row>
    <row r="87" spans="1:11" s="186" customFormat="1" ht="32.1" customHeight="1" x14ac:dyDescent="0.25">
      <c r="A87" s="277"/>
      <c r="B87" s="264"/>
      <c r="C87" s="264" t="s">
        <v>1107</v>
      </c>
      <c r="D87" s="282" t="s">
        <v>3978</v>
      </c>
      <c r="E87" s="290">
        <v>46119</v>
      </c>
      <c r="F87" s="294">
        <v>46119</v>
      </c>
      <c r="G87" s="286" t="s">
        <v>5567</v>
      </c>
      <c r="H87" s="264" t="s">
        <v>1110</v>
      </c>
      <c r="I87" s="265" t="s">
        <v>313</v>
      </c>
      <c r="J87" s="298" t="s">
        <v>5562</v>
      </c>
      <c r="K87" s="259" t="str">
        <f>HYPERLINK("https://okcountyrecords.com/detail/roger+mills/2026-001865","63e8b9a8d056433a9994fe46ca85076b.pdf | OKCountyRecords: 2026-001865")</f>
        <v>63e8b9a8d056433a9994fe46ca85076b.pdf | OKCountyRecords: 2026-001865</v>
      </c>
    </row>
    <row r="88" spans="1:11" s="186" customFormat="1" ht="32.1" customHeight="1" x14ac:dyDescent="0.25">
      <c r="A88" s="277"/>
      <c r="B88" s="264"/>
      <c r="C88" s="264" t="s">
        <v>309</v>
      </c>
      <c r="D88" s="282" t="s">
        <v>3989</v>
      </c>
      <c r="E88" s="290">
        <v>46122</v>
      </c>
      <c r="F88" s="294">
        <v>46122</v>
      </c>
      <c r="G88" s="286" t="s">
        <v>953</v>
      </c>
      <c r="H88" s="264" t="s">
        <v>733</v>
      </c>
      <c r="I88" s="265" t="s">
        <v>4660</v>
      </c>
      <c r="J88" s="298"/>
      <c r="K88" s="259" t="str">
        <f>HYPERLINK("https://okcountyrecords.com/detail/roger+mills/2026-001952/35274563","OKCountyRecords: 2026-001952")</f>
        <v>OKCountyRecords: 2026-001952</v>
      </c>
    </row>
    <row r="89" spans="1:11" s="186" customFormat="1" ht="32.1" customHeight="1" x14ac:dyDescent="0.25">
      <c r="A89" s="277"/>
      <c r="B89" s="264"/>
      <c r="C89" s="264" t="s">
        <v>309</v>
      </c>
      <c r="D89" s="282" t="s">
        <v>3983</v>
      </c>
      <c r="E89" s="290">
        <v>46122</v>
      </c>
      <c r="F89" s="294">
        <v>46122</v>
      </c>
      <c r="G89" s="286" t="s">
        <v>5568</v>
      </c>
      <c r="H89" s="264" t="s">
        <v>733</v>
      </c>
      <c r="I89" s="265" t="s">
        <v>4620</v>
      </c>
      <c r="J89" s="298"/>
      <c r="K89" s="259" t="str">
        <f>HYPERLINK("https://okcountyrecords.com/detail/roger+mills/2026-001949/35274564","OKCountyRecords: 2026-001949")</f>
        <v>OKCountyRecords: 2026-001949</v>
      </c>
    </row>
    <row r="90" spans="1:11" s="186" customFormat="1" ht="32.1" customHeight="1" x14ac:dyDescent="0.25">
      <c r="A90" s="277"/>
      <c r="B90" s="264"/>
      <c r="C90" s="264" t="s">
        <v>309</v>
      </c>
      <c r="D90" s="282" t="s">
        <v>3986</v>
      </c>
      <c r="E90" s="290">
        <v>46122</v>
      </c>
      <c r="F90" s="294">
        <v>46122</v>
      </c>
      <c r="G90" s="286" t="s">
        <v>5569</v>
      </c>
      <c r="H90" s="264" t="s">
        <v>733</v>
      </c>
      <c r="I90" s="265" t="s">
        <v>4660</v>
      </c>
      <c r="J90" s="298"/>
      <c r="K90" s="259" t="str">
        <f>HYPERLINK("https://okcountyrecords.com/detail/roger+mills/2026-001951/35274565","OKCountyRecords: 2026-001951")</f>
        <v>OKCountyRecords: 2026-001951</v>
      </c>
    </row>
    <row r="91" spans="1:11" s="186" customFormat="1" ht="32.1" customHeight="1" x14ac:dyDescent="0.25">
      <c r="A91" s="277"/>
      <c r="B91" s="264"/>
      <c r="C91" s="264" t="s">
        <v>3379</v>
      </c>
      <c r="D91" s="282" t="s">
        <v>3996</v>
      </c>
      <c r="E91" s="290">
        <v>46143</v>
      </c>
      <c r="F91" s="294">
        <v>46143</v>
      </c>
      <c r="G91" s="286" t="s">
        <v>5570</v>
      </c>
      <c r="H91" s="264" t="s">
        <v>5571</v>
      </c>
      <c r="I91" s="265" t="s">
        <v>308</v>
      </c>
      <c r="J91" s="298" t="s">
        <v>5562</v>
      </c>
      <c r="K91" s="259" t="str">
        <f>HYPERLINK("https://okcountyrecords.com/detail/roger+mills/2026-002509/35346709","OKCountyRecords: 2026-002509")</f>
        <v>OKCountyRecords: 2026-002509</v>
      </c>
    </row>
    <row r="92" spans="1:11" s="186" customFormat="1" ht="32.1" customHeight="1" x14ac:dyDescent="0.25">
      <c r="A92" s="277"/>
      <c r="B92" s="264"/>
      <c r="C92" s="264" t="s">
        <v>309</v>
      </c>
      <c r="D92" s="282" t="s">
        <v>4002</v>
      </c>
      <c r="E92" s="290">
        <v>46143</v>
      </c>
      <c r="F92" s="294">
        <v>46143</v>
      </c>
      <c r="G92" s="286" t="s">
        <v>952</v>
      </c>
      <c r="H92" s="264" t="s">
        <v>733</v>
      </c>
      <c r="I92" s="265" t="s">
        <v>5572</v>
      </c>
      <c r="J92" s="298"/>
      <c r="K92" s="259" t="str">
        <f>HYPERLINK("https://okcountyrecords.com/detail/roger+mills/2026-002511/35346711","OKCountyRecords: 2026-002511")</f>
        <v>OKCountyRecords: 2026-002511</v>
      </c>
    </row>
    <row r="93" spans="1:11" s="186" customFormat="1" ht="32.1" customHeight="1" x14ac:dyDescent="0.25">
      <c r="A93" s="277"/>
      <c r="B93" s="264"/>
      <c r="C93" s="264" t="s">
        <v>309</v>
      </c>
      <c r="D93" s="282" t="s">
        <v>4004</v>
      </c>
      <c r="E93" s="290">
        <v>46143</v>
      </c>
      <c r="F93" s="294">
        <v>46143</v>
      </c>
      <c r="G93" s="286" t="s">
        <v>23</v>
      </c>
      <c r="H93" s="264" t="s">
        <v>733</v>
      </c>
      <c r="I93" s="265" t="s">
        <v>5573</v>
      </c>
      <c r="J93" s="298" t="s">
        <v>5574</v>
      </c>
      <c r="K93" s="259" t="str">
        <f>HYPERLINK("https://okcountyrecords.com/detail/roger+mills/2026-002512/35346712","OKCountyRecords: 2026-002512")</f>
        <v>OKCountyRecords: 2026-002512</v>
      </c>
    </row>
    <row r="94" spans="1:11" s="186" customFormat="1" ht="32.1" customHeight="1" x14ac:dyDescent="0.25">
      <c r="A94" s="277"/>
      <c r="B94" s="264"/>
      <c r="C94" s="264" t="s">
        <v>1107</v>
      </c>
      <c r="D94" s="282" t="s">
        <v>4000</v>
      </c>
      <c r="E94" s="290">
        <v>46143</v>
      </c>
      <c r="F94" s="294">
        <v>46143</v>
      </c>
      <c r="G94" s="286" t="s">
        <v>952</v>
      </c>
      <c r="H94" s="264" t="s">
        <v>1110</v>
      </c>
      <c r="I94" s="265" t="s">
        <v>4660</v>
      </c>
      <c r="J94" s="298" t="s">
        <v>5562</v>
      </c>
      <c r="K94" s="259" t="str">
        <f>HYPERLINK("https://okcountyrecords.com/detail/roger+mills/2026-002510/35346713","OKCountyRecords: 2026-002510")</f>
        <v>OKCountyRecords: 2026-002510</v>
      </c>
    </row>
    <row r="95" spans="1:11" s="186" customFormat="1" ht="32.1" customHeight="1" x14ac:dyDescent="0.25">
      <c r="A95" s="277"/>
      <c r="B95" s="264"/>
      <c r="C95" s="264" t="s">
        <v>3873</v>
      </c>
      <c r="D95" s="282" t="s">
        <v>4013</v>
      </c>
      <c r="E95" s="290">
        <v>46146</v>
      </c>
      <c r="F95" s="294">
        <v>46146</v>
      </c>
      <c r="G95" s="286" t="s">
        <v>4636</v>
      </c>
      <c r="H95" s="264" t="s">
        <v>5575</v>
      </c>
      <c r="I95" s="265" t="s">
        <v>5576</v>
      </c>
      <c r="J95" s="298" t="s">
        <v>5499</v>
      </c>
      <c r="K95" s="259" t="str">
        <f>HYPERLINK("https://okcountyrecords.com/detail/roger+mills/2026-002547/35349405","OKCountyRecords: 2026-002547")</f>
        <v>OKCountyRecords: 2026-002547</v>
      </c>
    </row>
    <row r="96" spans="1:11" s="186" customFormat="1" ht="32.1" customHeight="1" x14ac:dyDescent="0.25">
      <c r="A96" s="277"/>
      <c r="B96" s="264"/>
      <c r="C96" s="264" t="s">
        <v>1274</v>
      </c>
      <c r="D96" s="282" t="s">
        <v>4019</v>
      </c>
      <c r="E96" s="290">
        <v>46160</v>
      </c>
      <c r="F96" s="294">
        <v>46160</v>
      </c>
      <c r="G96" s="286" t="s">
        <v>4020</v>
      </c>
      <c r="H96" s="264" t="s">
        <v>1110</v>
      </c>
      <c r="I96" s="265" t="s">
        <v>5577</v>
      </c>
      <c r="J96" s="298" t="s">
        <v>5578</v>
      </c>
      <c r="K96" s="259" t="str">
        <f>HYPERLINK("https://okcountyrecords.com/detail/roger+mills/2026-002877/35377759","OKCountyRecords: 2026-002877")</f>
        <v>OKCountyRecords: 2026-002877</v>
      </c>
    </row>
    <row r="97" spans="1:11" s="186" customFormat="1" ht="32.1" customHeight="1" x14ac:dyDescent="0.25">
      <c r="A97" s="277"/>
      <c r="B97" s="264"/>
      <c r="C97" s="264" t="s">
        <v>3379</v>
      </c>
      <c r="D97" s="282" t="s">
        <v>4027</v>
      </c>
      <c r="E97" s="290">
        <v>46170</v>
      </c>
      <c r="F97" s="294">
        <v>46170</v>
      </c>
      <c r="G97" s="286" t="s">
        <v>482</v>
      </c>
      <c r="H97" s="264" t="s">
        <v>5579</v>
      </c>
      <c r="I97" s="265" t="s">
        <v>308</v>
      </c>
      <c r="J97" s="298" t="s">
        <v>5580</v>
      </c>
      <c r="K97" s="259" t="str">
        <f>HYPERLINK("https://okcountyrecords.com/detail/roger+mills/2026-003143/35404149","OKCountyRecords: 2026-003143")</f>
        <v>OKCountyRecords: 2026-003143</v>
      </c>
    </row>
    <row r="98" spans="1:11" s="186" customFormat="1" ht="32.1" customHeight="1" x14ac:dyDescent="0.25">
      <c r="A98" s="277"/>
      <c r="B98" s="264"/>
      <c r="C98" s="264" t="s">
        <v>3379</v>
      </c>
      <c r="D98" s="282" t="s">
        <v>4025</v>
      </c>
      <c r="E98" s="290">
        <v>46170</v>
      </c>
      <c r="F98" s="294">
        <v>46170</v>
      </c>
      <c r="G98" s="286" t="s">
        <v>482</v>
      </c>
      <c r="H98" s="264" t="s">
        <v>5581</v>
      </c>
      <c r="I98" s="265" t="s">
        <v>308</v>
      </c>
      <c r="J98" s="298" t="s">
        <v>5582</v>
      </c>
      <c r="K98" s="259" t="str">
        <f>HYPERLINK("https://okcountyrecords.com/detail/roger+mills/2026-003142/35404150","OKCountyRecords: 2026-003142")</f>
        <v>OKCountyRecords: 2026-003142</v>
      </c>
    </row>
    <row r="99" spans="1:11" s="186" customFormat="1" ht="32.1" customHeight="1" x14ac:dyDescent="0.25">
      <c r="A99" s="277"/>
      <c r="B99" s="264"/>
      <c r="C99" s="264" t="s">
        <v>309</v>
      </c>
      <c r="D99" s="282" t="s">
        <v>4031</v>
      </c>
      <c r="E99" s="290">
        <v>46170</v>
      </c>
      <c r="F99" s="294">
        <v>46170</v>
      </c>
      <c r="G99" s="286" t="s">
        <v>5583</v>
      </c>
      <c r="H99" s="264" t="s">
        <v>733</v>
      </c>
      <c r="I99" s="265" t="s">
        <v>4620</v>
      </c>
      <c r="J99" s="298"/>
      <c r="K99" s="259" t="str">
        <f>HYPERLINK("https://okcountyrecords.com/detail/roger+mills/2026-003145/35404151","OKCountyRecords: 2026-003145")</f>
        <v>OKCountyRecords: 2026-003145</v>
      </c>
    </row>
    <row r="100" spans="1:11" s="186" customFormat="1" ht="32.1" customHeight="1" x14ac:dyDescent="0.25">
      <c r="A100" s="277"/>
      <c r="B100" s="264"/>
      <c r="C100" s="264" t="s">
        <v>1107</v>
      </c>
      <c r="D100" s="282" t="s">
        <v>4029</v>
      </c>
      <c r="E100" s="290">
        <v>46170</v>
      </c>
      <c r="F100" s="294">
        <v>46170</v>
      </c>
      <c r="G100" s="286" t="s">
        <v>5584</v>
      </c>
      <c r="H100" s="264" t="s">
        <v>1110</v>
      </c>
      <c r="I100" s="265" t="s">
        <v>4620</v>
      </c>
      <c r="J100" s="298" t="s">
        <v>5585</v>
      </c>
      <c r="K100" s="259" t="str">
        <f>HYPERLINK("https://okcountyrecords.com/detail/roger+mills/2026-003144/35404152","OKCountyRecords: 2026-003144")</f>
        <v>OKCountyRecords: 2026-003144</v>
      </c>
    </row>
    <row r="101" spans="1:11" s="186" customFormat="1" ht="32.1" customHeight="1" x14ac:dyDescent="0.25">
      <c r="A101" s="277"/>
      <c r="B101" s="264"/>
      <c r="C101" s="264" t="s">
        <v>1274</v>
      </c>
      <c r="D101" s="282" t="s">
        <v>175</v>
      </c>
      <c r="E101" s="290">
        <v>46178</v>
      </c>
      <c r="F101" s="294">
        <v>46178</v>
      </c>
      <c r="G101" s="286" t="s">
        <v>4042</v>
      </c>
      <c r="H101" s="264" t="s">
        <v>1110</v>
      </c>
      <c r="I101" s="265" t="s">
        <v>5586</v>
      </c>
      <c r="J101" s="298" t="s">
        <v>5587</v>
      </c>
      <c r="K101" s="259" t="str">
        <f>HYPERLINK("https://okcountyrecords.com/detail/roger+mills/2026-003315/35464678","OKCountyRecords: 2026-003315")</f>
        <v>OKCountyRecords: 2026-003315</v>
      </c>
    </row>
    <row r="102" spans="1:11" s="186" customFormat="1" ht="32.1" customHeight="1" x14ac:dyDescent="0.25">
      <c r="A102" s="277"/>
      <c r="B102" s="264"/>
      <c r="C102" s="264" t="s">
        <v>4733</v>
      </c>
      <c r="D102" s="282" t="s">
        <v>4046</v>
      </c>
      <c r="E102" s="290"/>
      <c r="F102" s="294">
        <v>42752</v>
      </c>
      <c r="G102" s="286" t="s">
        <v>4047</v>
      </c>
      <c r="H102" s="264" t="s">
        <v>4048</v>
      </c>
      <c r="I102" s="265" t="s">
        <v>4736</v>
      </c>
      <c r="J102" s="298" t="s">
        <v>4049</v>
      </c>
      <c r="K102" s="259" t="str">
        <f>HYPERLINK("https://okcountyrecords.com/detail/roger+mills/2017-000081/19462526","OKCountyRecords: 2017-000081")</f>
        <v>OKCountyRecords: 2017-000081</v>
      </c>
    </row>
    <row r="103" spans="1:11" s="186" customFormat="1" ht="32.1" customHeight="1" x14ac:dyDescent="0.25">
      <c r="A103" s="277"/>
      <c r="B103" s="264"/>
      <c r="C103" s="264" t="s">
        <v>4050</v>
      </c>
      <c r="D103" s="282" t="s">
        <v>4051</v>
      </c>
      <c r="E103" s="290"/>
      <c r="F103" s="294">
        <v>42761</v>
      </c>
      <c r="G103" s="286" t="s">
        <v>3853</v>
      </c>
      <c r="H103" s="264" t="s">
        <v>4052</v>
      </c>
      <c r="I103" s="265" t="s">
        <v>4671</v>
      </c>
      <c r="J103" s="298" t="s">
        <v>4053</v>
      </c>
      <c r="K103" s="259" t="str">
        <f>HYPERLINK("https://okcountyrecords.com/detail/roger+mills/2017-000146/19482475","OKCountyRecords: 2017-000146")</f>
        <v>OKCountyRecords: 2017-000146</v>
      </c>
    </row>
    <row r="104" spans="1:11" ht="32.1" customHeight="1" x14ac:dyDescent="0.25">
      <c r="A104" s="277"/>
      <c r="B104" s="264"/>
      <c r="C104" s="264" t="s">
        <v>3730</v>
      </c>
      <c r="D104" s="282" t="s">
        <v>5588</v>
      </c>
      <c r="E104" s="290"/>
      <c r="F104" s="294">
        <v>42930</v>
      </c>
      <c r="G104" s="286" t="s">
        <v>3732</v>
      </c>
      <c r="H104" s="264" t="s">
        <v>1110</v>
      </c>
      <c r="I104" s="265" t="s">
        <v>5589</v>
      </c>
      <c r="J104" s="298"/>
      <c r="K104" s="259" t="str">
        <f>HYPERLINK("https://okcountyrecords.com/detail/roger+mills/2017-001403","63e8b9a8d056433a9994fe46ca85076b.pdf | OKCountyRecords: 2017-001403")</f>
        <v>63e8b9a8d056433a9994fe46ca85076b.pdf | OKCountyRecords: 2017-001403</v>
      </c>
    </row>
    <row r="105" spans="1:11" ht="32.1" customHeight="1" x14ac:dyDescent="0.25">
      <c r="A105" s="277"/>
      <c r="B105" s="264"/>
      <c r="C105" s="264" t="s">
        <v>1623</v>
      </c>
      <c r="D105" s="282" t="s">
        <v>4176</v>
      </c>
      <c r="E105" s="290">
        <v>42985</v>
      </c>
      <c r="F105" s="294">
        <v>42996</v>
      </c>
      <c r="G105" s="286" t="s">
        <v>520</v>
      </c>
      <c r="H105" s="264" t="s">
        <v>3735</v>
      </c>
      <c r="I105" s="265" t="s">
        <v>8380</v>
      </c>
      <c r="J105" s="298" t="s">
        <v>8381</v>
      </c>
      <c r="K105" s="259" t="str">
        <f>HYPERLINK("https://okcountyrecords.com/detail/roger+mills/2017-001880","OKCountyRecords: 2017-001880")</f>
        <v>OKCountyRecords: 2017-001880</v>
      </c>
    </row>
    <row r="106" spans="1:11" ht="32.1" customHeight="1" x14ac:dyDescent="0.25">
      <c r="A106" s="277"/>
      <c r="B106" s="264"/>
      <c r="C106" s="264" t="s">
        <v>4054</v>
      </c>
      <c r="D106" s="282" t="s">
        <v>4055</v>
      </c>
      <c r="E106" s="290"/>
      <c r="F106" s="294">
        <v>43034</v>
      </c>
      <c r="G106" s="286" t="s">
        <v>4056</v>
      </c>
      <c r="H106" s="264" t="s">
        <v>4057</v>
      </c>
      <c r="I106" s="265" t="s">
        <v>2818</v>
      </c>
      <c r="J106" s="298" t="s">
        <v>4058</v>
      </c>
      <c r="K106" s="259" t="str">
        <f>HYPERLINK("https://okcountyrecords.com/detail/roger+mills/2017-002214/20329818","OKCountyRecords: 2017-002214")</f>
        <v>OKCountyRecords: 2017-002214</v>
      </c>
    </row>
    <row r="107" spans="1:11" ht="32.1" customHeight="1" x14ac:dyDescent="0.25">
      <c r="A107" s="277"/>
      <c r="B107" s="264"/>
      <c r="C107" s="264" t="s">
        <v>2437</v>
      </c>
      <c r="D107" s="282" t="s">
        <v>5750</v>
      </c>
      <c r="E107" s="290">
        <v>43070</v>
      </c>
      <c r="F107" s="294">
        <v>43088</v>
      </c>
      <c r="G107" s="286" t="s">
        <v>3706</v>
      </c>
      <c r="H107" s="264" t="s">
        <v>3738</v>
      </c>
      <c r="I107" s="265" t="s">
        <v>8382</v>
      </c>
      <c r="J107" s="298" t="s">
        <v>8383</v>
      </c>
      <c r="K107" s="259" t="str">
        <f>HYPERLINK("https://okcountyrecords.com/detail/roger+mills/2017-002694","63e8b9a8d056433a9994fe46ca85076b.pdf | OKCountyRecords: 2017-002694")</f>
        <v>63e8b9a8d056433a9994fe46ca85076b.pdf | OKCountyRecords: 2017-002694</v>
      </c>
    </row>
    <row r="108" spans="1:11" ht="32.1" customHeight="1" x14ac:dyDescent="0.25">
      <c r="A108" s="277"/>
      <c r="B108" s="264"/>
      <c r="C108" s="264" t="s">
        <v>1107</v>
      </c>
      <c r="D108" s="282" t="s">
        <v>8060</v>
      </c>
      <c r="E108" s="290"/>
      <c r="F108" s="294">
        <v>43272</v>
      </c>
      <c r="G108" s="286" t="s">
        <v>8384</v>
      </c>
      <c r="H108" s="264" t="s">
        <v>1110</v>
      </c>
      <c r="I108" s="265" t="s">
        <v>5598</v>
      </c>
      <c r="J108" s="298"/>
      <c r="K108" s="259" t="str">
        <f>HYPERLINK("https://okcountyrecords.com/detail/roger+mills/2018-001569","OKCountyRecords: 2018-001569")</f>
        <v>OKCountyRecords: 2018-001569</v>
      </c>
    </row>
    <row r="109" spans="1:11" ht="32.1" customHeight="1" x14ac:dyDescent="0.25">
      <c r="A109" s="277"/>
      <c r="B109" s="264"/>
      <c r="C109" s="264" t="s">
        <v>3284</v>
      </c>
      <c r="D109" s="282" t="s">
        <v>5752</v>
      </c>
      <c r="E109" s="290"/>
      <c r="F109" s="294">
        <v>43327</v>
      </c>
      <c r="G109" s="286" t="s">
        <v>8385</v>
      </c>
      <c r="H109" s="264" t="s">
        <v>1110</v>
      </c>
      <c r="I109" s="265" t="s">
        <v>8386</v>
      </c>
      <c r="J109" s="298"/>
      <c r="K109" s="259" t="str">
        <f>HYPERLINK("https://okcountyrecords.com/detail/roger+mills/2018-002049","63e8b9a8d056433a9994fe46ca85076b.pdf | OKCountyRecords: 2018-002049")</f>
        <v>63e8b9a8d056433a9994fe46ca85076b.pdf | OKCountyRecords: 2018-002049</v>
      </c>
    </row>
    <row r="110" spans="1:11" ht="32.1" customHeight="1" x14ac:dyDescent="0.25">
      <c r="A110" s="277"/>
      <c r="B110" s="264"/>
      <c r="C110" s="264" t="s">
        <v>114</v>
      </c>
      <c r="D110" s="282" t="s">
        <v>8066</v>
      </c>
      <c r="E110" s="290"/>
      <c r="F110" s="294">
        <v>43350</v>
      </c>
      <c r="G110" s="286" t="s">
        <v>8387</v>
      </c>
      <c r="H110" s="264" t="s">
        <v>8388</v>
      </c>
      <c r="I110" s="265" t="s">
        <v>8389</v>
      </c>
      <c r="J110" s="298"/>
      <c r="K110" s="259" t="str">
        <f>HYPERLINK("https://okcountyrecords.com/detail/roger+mills/2018-002306","OKCountyRecords: 2018-002306")</f>
        <v>OKCountyRecords: 2018-002306</v>
      </c>
    </row>
    <row r="111" spans="1:11" ht="32.1" customHeight="1" x14ac:dyDescent="0.25">
      <c r="A111" s="277"/>
      <c r="B111" s="264"/>
      <c r="C111" s="264" t="s">
        <v>4059</v>
      </c>
      <c r="D111" s="282" t="s">
        <v>4060</v>
      </c>
      <c r="E111" s="290"/>
      <c r="F111" s="294">
        <v>43353</v>
      </c>
      <c r="G111" s="286" t="s">
        <v>4061</v>
      </c>
      <c r="H111" s="264" t="s">
        <v>3509</v>
      </c>
      <c r="I111" s="265" t="s">
        <v>5591</v>
      </c>
      <c r="J111" s="298"/>
      <c r="K111" s="259" t="str">
        <f>HYPERLINK("https://okcountyrecords.com/detail/roger+mills/2018-002315","OKCountyRecords: 2018-002315")</f>
        <v>OKCountyRecords: 2018-002315</v>
      </c>
    </row>
    <row r="112" spans="1:11" ht="32.1" customHeight="1" x14ac:dyDescent="0.25">
      <c r="A112" s="277"/>
      <c r="B112" s="264"/>
      <c r="C112" s="264" t="s">
        <v>82</v>
      </c>
      <c r="D112" s="282" t="s">
        <v>81</v>
      </c>
      <c r="E112" s="290"/>
      <c r="F112" s="294">
        <v>43382</v>
      </c>
      <c r="G112" s="286" t="s">
        <v>8390</v>
      </c>
      <c r="H112" s="264" t="s">
        <v>8391</v>
      </c>
      <c r="I112" s="265" t="s">
        <v>4721</v>
      </c>
      <c r="J112" s="298" t="s">
        <v>4672</v>
      </c>
      <c r="K112" s="259" t="str">
        <f>HYPERLINK("https://okcountyrecords.com/detail/roger+mills/2018-002650/21458328","OKCountyRecords: 2018-002650")</f>
        <v>OKCountyRecords: 2018-002650</v>
      </c>
    </row>
    <row r="113" spans="1:11" ht="32.1" customHeight="1" x14ac:dyDescent="0.25">
      <c r="A113" s="277"/>
      <c r="B113" s="264"/>
      <c r="C113" s="264" t="s">
        <v>1623</v>
      </c>
      <c r="D113" s="282" t="s">
        <v>8069</v>
      </c>
      <c r="E113" s="290"/>
      <c r="F113" s="294">
        <v>43392</v>
      </c>
      <c r="G113" s="286" t="s">
        <v>8392</v>
      </c>
      <c r="H113" s="264" t="s">
        <v>3763</v>
      </c>
      <c r="I113" s="265" t="s">
        <v>8393</v>
      </c>
      <c r="J113" s="298"/>
      <c r="K113" s="259" t="str">
        <f>HYPERLINK("https://okcountyrecords.com/detail/roger+mills/2018-002786","OKCountyRecords: 2018-002786")</f>
        <v>OKCountyRecords: 2018-002786</v>
      </c>
    </row>
    <row r="114" spans="1:11" ht="32.1" customHeight="1" x14ac:dyDescent="0.25">
      <c r="A114" s="277"/>
      <c r="B114" s="264"/>
      <c r="C114" s="264" t="s">
        <v>4062</v>
      </c>
      <c r="D114" s="282" t="s">
        <v>4063</v>
      </c>
      <c r="E114" s="290"/>
      <c r="F114" s="294">
        <v>43521</v>
      </c>
      <c r="G114" s="286" t="s">
        <v>2726</v>
      </c>
      <c r="H114" s="264" t="s">
        <v>4064</v>
      </c>
      <c r="I114" s="265" t="s">
        <v>4716</v>
      </c>
      <c r="J114" s="298" t="s">
        <v>4058</v>
      </c>
      <c r="K114" s="259" t="str">
        <f>HYPERLINK("https://okcountyrecords.com/detail/roger+mills/2019-000432/21691645","OKCountyRecords: 2019-000432")</f>
        <v>OKCountyRecords: 2019-000432</v>
      </c>
    </row>
    <row r="115" spans="1:11" ht="32.1" customHeight="1" x14ac:dyDescent="0.25">
      <c r="A115" s="277"/>
      <c r="B115" s="264"/>
      <c r="C115" s="264" t="s">
        <v>4059</v>
      </c>
      <c r="D115" s="282" t="s">
        <v>5592</v>
      </c>
      <c r="E115" s="290"/>
      <c r="F115" s="294">
        <v>43679</v>
      </c>
      <c r="G115" s="286" t="s">
        <v>4214</v>
      </c>
      <c r="H115" s="264" t="s">
        <v>5593</v>
      </c>
      <c r="I115" s="265" t="s">
        <v>5594</v>
      </c>
      <c r="J115" s="298"/>
      <c r="K115" s="259" t="str">
        <f>HYPERLINK("https://okcountyrecords.com/search/roger%20mills","OKCountyRecords search: Amendment of Mortgage 2424/0447")</f>
        <v>OKCountyRecords search: Amendment of Mortgage 2424/0447</v>
      </c>
    </row>
    <row r="116" spans="1:11" ht="32.1" customHeight="1" x14ac:dyDescent="0.25">
      <c r="A116" s="277"/>
      <c r="B116" s="264"/>
      <c r="C116" s="264" t="s">
        <v>1623</v>
      </c>
      <c r="D116" s="282" t="s">
        <v>4267</v>
      </c>
      <c r="E116" s="290">
        <v>43423</v>
      </c>
      <c r="F116" s="294">
        <v>43693</v>
      </c>
      <c r="G116" s="286" t="s">
        <v>438</v>
      </c>
      <c r="H116" s="264" t="s">
        <v>263</v>
      </c>
      <c r="I116" s="265" t="s">
        <v>8394</v>
      </c>
      <c r="J116" s="298" t="s">
        <v>8395</v>
      </c>
      <c r="K116" s="259" t="str">
        <f>HYPERLINK("https://okcountyrecords.com/detail/roger+mills/2019-001747","OKCountyRecords: 2019-001747")</f>
        <v>OKCountyRecords: 2019-001747</v>
      </c>
    </row>
    <row r="117" spans="1:11" s="8" customFormat="1" ht="32.1" customHeight="1" x14ac:dyDescent="0.25">
      <c r="A117" s="277"/>
      <c r="B117" s="264"/>
      <c r="C117" s="264" t="s">
        <v>4045</v>
      </c>
      <c r="D117" s="282" t="s">
        <v>5595</v>
      </c>
      <c r="E117" s="290"/>
      <c r="F117" s="294">
        <v>43754</v>
      </c>
      <c r="G117" s="286" t="s">
        <v>5596</v>
      </c>
      <c r="H117" s="264" t="s">
        <v>5597</v>
      </c>
      <c r="I117" s="265" t="s">
        <v>5598</v>
      </c>
      <c r="J117" s="298"/>
      <c r="K117" s="259" t="str">
        <f>HYPERLINK("https://okcountyrecords.com/search/roger%20mills","OKCountyRecords search: Partial Release of Lien 2428/0328")</f>
        <v>OKCountyRecords search: Partial Release of Lien 2428/0328</v>
      </c>
    </row>
    <row r="118" spans="1:11" s="8" customFormat="1" ht="32.1" customHeight="1" x14ac:dyDescent="0.25">
      <c r="A118" s="277"/>
      <c r="B118" s="264"/>
      <c r="C118" s="264" t="s">
        <v>4067</v>
      </c>
      <c r="D118" s="282" t="s">
        <v>4068</v>
      </c>
      <c r="E118" s="290"/>
      <c r="F118" s="294">
        <v>43759</v>
      </c>
      <c r="G118" s="286" t="s">
        <v>4069</v>
      </c>
      <c r="H118" s="264" t="s">
        <v>3376</v>
      </c>
      <c r="I118" s="265" t="s">
        <v>5599</v>
      </c>
      <c r="J118" s="298"/>
      <c r="K118" s="259" t="str">
        <f>HYPERLINK("https://okcountyrecords.com/detail/roger+mills/2019-002253","63e8b9a8d056433a9994fe46ca85076b.pdf | OKCountyRecords: 2019-002253")</f>
        <v>63e8b9a8d056433a9994fe46ca85076b.pdf | OKCountyRecords: 2019-002253</v>
      </c>
    </row>
    <row r="119" spans="1:11" s="8" customFormat="1" ht="32.1" customHeight="1" x14ac:dyDescent="0.25">
      <c r="A119" s="277"/>
      <c r="B119" s="264"/>
      <c r="C119" s="264" t="s">
        <v>4059</v>
      </c>
      <c r="D119" s="282" t="s">
        <v>4065</v>
      </c>
      <c r="E119" s="290"/>
      <c r="F119" s="294">
        <v>43759</v>
      </c>
      <c r="G119" s="286" t="s">
        <v>4066</v>
      </c>
      <c r="H119" s="264" t="s">
        <v>3376</v>
      </c>
      <c r="I119" s="265" t="s">
        <v>5600</v>
      </c>
      <c r="J119" s="298"/>
      <c r="K119" s="259" t="str">
        <f>HYPERLINK("https://okcountyrecords.com/detail/roger+mills/2019-002252","63e8b9a8d056433a9994fe46ca85076b.pdf | OKCountyRecords: 2019-002252")</f>
        <v>63e8b9a8d056433a9994fe46ca85076b.pdf | OKCountyRecords: 2019-002252</v>
      </c>
    </row>
    <row r="120" spans="1:11" s="8" customFormat="1" ht="32.1" customHeight="1" x14ac:dyDescent="0.25">
      <c r="A120" s="277"/>
      <c r="B120" s="264"/>
      <c r="C120" s="264" t="s">
        <v>4050</v>
      </c>
      <c r="D120" s="282" t="s">
        <v>4073</v>
      </c>
      <c r="E120" s="290"/>
      <c r="F120" s="294">
        <v>43802</v>
      </c>
      <c r="G120" s="286" t="s">
        <v>4074</v>
      </c>
      <c r="H120" s="264" t="s">
        <v>4075</v>
      </c>
      <c r="I120" s="265" t="s">
        <v>4135</v>
      </c>
      <c r="J120" s="298"/>
      <c r="K120" s="259" t="str">
        <f>HYPERLINK("https://okcountyrecords.com/detail/roger+mills/2019-002559","63e8b9a8d056433a9994fe46ca85076b.pdf | OKCountyRecords: 2019-002559")</f>
        <v>63e8b9a8d056433a9994fe46ca85076b.pdf | OKCountyRecords: 2019-002559</v>
      </c>
    </row>
    <row r="121" spans="1:11" s="8" customFormat="1" ht="32.1" customHeight="1" x14ac:dyDescent="0.25">
      <c r="A121" s="277"/>
      <c r="B121" s="264"/>
      <c r="C121" s="264" t="s">
        <v>4067</v>
      </c>
      <c r="D121" s="282" t="s">
        <v>4070</v>
      </c>
      <c r="E121" s="290"/>
      <c r="F121" s="294">
        <v>43802</v>
      </c>
      <c r="G121" s="286" t="s">
        <v>4071</v>
      </c>
      <c r="H121" s="264" t="s">
        <v>4072</v>
      </c>
      <c r="I121" s="265" t="s">
        <v>4135</v>
      </c>
      <c r="J121" s="298"/>
      <c r="K121" s="259" t="str">
        <f>HYPERLINK("https://okcountyrecords.com/detail/roger+mills/2019-002560","63e8b9a8d056433a9994fe46ca85076b.pdf | OKCountyRecords: 2019-002560")</f>
        <v>63e8b9a8d056433a9994fe46ca85076b.pdf | OKCountyRecords: 2019-002560</v>
      </c>
    </row>
    <row r="122" spans="1:11" s="8" customFormat="1" ht="32.1" customHeight="1" x14ac:dyDescent="0.25">
      <c r="A122" s="277"/>
      <c r="B122" s="264"/>
      <c r="C122" s="264" t="s">
        <v>4062</v>
      </c>
      <c r="D122" s="282" t="s">
        <v>4076</v>
      </c>
      <c r="E122" s="290"/>
      <c r="F122" s="294">
        <v>43802</v>
      </c>
      <c r="G122" s="286" t="s">
        <v>4077</v>
      </c>
      <c r="H122" s="264" t="s">
        <v>4071</v>
      </c>
      <c r="I122" s="265" t="s">
        <v>5591</v>
      </c>
      <c r="J122" s="298"/>
      <c r="K122" s="259" t="str">
        <f>HYPERLINK("https://okcountyrecords.com/detail/roger+mills/2019-002558","63e8b9a8d056433a9994fe46ca85076b.pdf | OKCountyRecords: 2019-002558")</f>
        <v>63e8b9a8d056433a9994fe46ca85076b.pdf | OKCountyRecords: 2019-002558</v>
      </c>
    </row>
    <row r="123" spans="1:11" s="8" customFormat="1" ht="32.1" customHeight="1" x14ac:dyDescent="0.25">
      <c r="A123" s="277"/>
      <c r="B123" s="264"/>
      <c r="C123" s="264" t="s">
        <v>1107</v>
      </c>
      <c r="D123" s="282" t="s">
        <v>8076</v>
      </c>
      <c r="E123" s="290"/>
      <c r="F123" s="294">
        <v>44060</v>
      </c>
      <c r="G123" s="286" t="s">
        <v>8396</v>
      </c>
      <c r="H123" s="264" t="s">
        <v>1110</v>
      </c>
      <c r="I123" s="265" t="s">
        <v>8397</v>
      </c>
      <c r="J123" s="298"/>
      <c r="K123" s="259" t="str">
        <f>HYPERLINK("https://okcountyrecords.com/detail/roger+mills/2020-001279","OKCountyRecords: 2020-001279")</f>
        <v>OKCountyRecords: 2020-001279</v>
      </c>
    </row>
    <row r="124" spans="1:11" s="8" customFormat="1" ht="32.1" customHeight="1" x14ac:dyDescent="0.25">
      <c r="A124" s="277"/>
      <c r="B124" s="264"/>
      <c r="C124" s="264" t="s">
        <v>4062</v>
      </c>
      <c r="D124" s="282" t="s">
        <v>4078</v>
      </c>
      <c r="E124" s="290"/>
      <c r="F124" s="294">
        <v>44060</v>
      </c>
      <c r="G124" s="286" t="s">
        <v>3376</v>
      </c>
      <c r="H124" s="264" t="s">
        <v>4079</v>
      </c>
      <c r="I124" s="265" t="s">
        <v>5601</v>
      </c>
      <c r="J124" s="298"/>
      <c r="K124" s="259" t="str">
        <f>HYPERLINK("https://okcountyrecords.com/detail/roger+mills/2020-001280","OKCountyRecords: 2020-001280")</f>
        <v>OKCountyRecords: 2020-001280</v>
      </c>
    </row>
    <row r="125" spans="1:11" s="8" customFormat="1" ht="32.1" customHeight="1" x14ac:dyDescent="0.25">
      <c r="A125" s="277"/>
      <c r="B125" s="264"/>
      <c r="C125" s="264" t="s">
        <v>3783</v>
      </c>
      <c r="D125" s="282" t="s">
        <v>8079</v>
      </c>
      <c r="E125" s="290"/>
      <c r="F125" s="294">
        <v>44060</v>
      </c>
      <c r="G125" s="286" t="s">
        <v>3376</v>
      </c>
      <c r="H125" s="264" t="s">
        <v>3785</v>
      </c>
      <c r="I125" s="265" t="s">
        <v>5601</v>
      </c>
      <c r="J125" s="298"/>
      <c r="K125" s="259" t="str">
        <f>HYPERLINK("https://okcountyrecords.com/detail/roger+mills/2020-001282","63e8b9a8d056433a9994fe46ca85076b.pdf | OKCountyRecords: 2020-001282")</f>
        <v>63e8b9a8d056433a9994fe46ca85076b.pdf | OKCountyRecords: 2020-001282</v>
      </c>
    </row>
    <row r="126" spans="1:11" s="8" customFormat="1" ht="32.1" customHeight="1" x14ac:dyDescent="0.25">
      <c r="A126" s="277"/>
      <c r="B126" s="264"/>
      <c r="C126" s="264" t="s">
        <v>114</v>
      </c>
      <c r="D126" s="282" t="s">
        <v>4448</v>
      </c>
      <c r="E126" s="290"/>
      <c r="F126" s="294">
        <v>44060</v>
      </c>
      <c r="G126" s="286" t="s">
        <v>8398</v>
      </c>
      <c r="H126" s="264" t="s">
        <v>3778</v>
      </c>
      <c r="I126" s="265" t="s">
        <v>5602</v>
      </c>
      <c r="J126" s="298"/>
      <c r="K126" s="259" t="str">
        <f>HYPERLINK("https://okcountyrecords.com/detail/roger+mills/2020-001283","63e8b9a8d056433a9994fe46ca85076b.pdf | OKCountyRecords: 2020-001283")</f>
        <v>63e8b9a8d056433a9994fe46ca85076b.pdf | OKCountyRecords: 2020-001283</v>
      </c>
    </row>
    <row r="127" spans="1:11" s="8" customFormat="1" ht="32.1" customHeight="1" x14ac:dyDescent="0.25">
      <c r="A127" s="277"/>
      <c r="B127" s="264"/>
      <c r="C127" s="264" t="s">
        <v>4050</v>
      </c>
      <c r="D127" s="282" t="s">
        <v>4080</v>
      </c>
      <c r="E127" s="290"/>
      <c r="F127" s="294">
        <v>44060</v>
      </c>
      <c r="G127" s="286" t="s">
        <v>3778</v>
      </c>
      <c r="H127" s="264" t="s">
        <v>4081</v>
      </c>
      <c r="I127" s="265" t="s">
        <v>5602</v>
      </c>
      <c r="J127" s="298"/>
      <c r="K127" s="259" t="str">
        <f>HYPERLINK("https://okcountyrecords.com/detail/roger+mills/2020-001286","OKCountyRecords: 2020-001286")</f>
        <v>OKCountyRecords: 2020-001286</v>
      </c>
    </row>
    <row r="128" spans="1:11" s="8" customFormat="1" ht="32.1" customHeight="1" x14ac:dyDescent="0.25">
      <c r="A128" s="277"/>
      <c r="B128" s="264"/>
      <c r="C128" s="264" t="s">
        <v>4067</v>
      </c>
      <c r="D128" s="282" t="s">
        <v>4082</v>
      </c>
      <c r="E128" s="290"/>
      <c r="F128" s="294">
        <v>44060</v>
      </c>
      <c r="G128" s="286" t="s">
        <v>3778</v>
      </c>
      <c r="H128" s="264" t="s">
        <v>4081</v>
      </c>
      <c r="I128" s="265" t="s">
        <v>5602</v>
      </c>
      <c r="J128" s="298"/>
      <c r="K128" s="259" t="str">
        <f>HYPERLINK("https://okcountyrecords.com/detail/roger+mills/2020-001287","63e8b9a8d056433a9994fe46ca85076b.pdf | OKCountyRecords: 2020-001287")</f>
        <v>63e8b9a8d056433a9994fe46ca85076b.pdf | OKCountyRecords: 2020-001287</v>
      </c>
    </row>
    <row r="129" spans="1:11" s="8" customFormat="1" ht="32.1" customHeight="1" x14ac:dyDescent="0.25">
      <c r="A129" s="277"/>
      <c r="B129" s="264"/>
      <c r="C129" s="264" t="s">
        <v>82</v>
      </c>
      <c r="D129" s="282" t="s">
        <v>4380</v>
      </c>
      <c r="E129" s="290"/>
      <c r="F129" s="294">
        <v>44076</v>
      </c>
      <c r="G129" s="286" t="s">
        <v>3788</v>
      </c>
      <c r="H129" s="264" t="s">
        <v>3789</v>
      </c>
      <c r="I129" s="265" t="s">
        <v>8399</v>
      </c>
      <c r="J129" s="298"/>
      <c r="K129" s="259" t="str">
        <f>HYPERLINK("https://okcountyrecords.com/detail/roger+mills/2020-001374","OKCountyRecords: 2020-001374")</f>
        <v>OKCountyRecords: 2020-001374</v>
      </c>
    </row>
    <row r="130" spans="1:11" s="8" customFormat="1" ht="32.1" customHeight="1" x14ac:dyDescent="0.25">
      <c r="A130" s="277"/>
      <c r="B130" s="264"/>
      <c r="C130" s="264" t="s">
        <v>114</v>
      </c>
      <c r="D130" s="282" t="s">
        <v>4449</v>
      </c>
      <c r="E130" s="290"/>
      <c r="F130" s="294">
        <v>44118</v>
      </c>
      <c r="G130" s="286" t="s">
        <v>8400</v>
      </c>
      <c r="H130" s="264" t="s">
        <v>3794</v>
      </c>
      <c r="I130" s="265" t="s">
        <v>8401</v>
      </c>
      <c r="J130" s="298"/>
      <c r="K130" s="259" t="str">
        <f>HYPERLINK("https://okcountyrecords.com/detail/roger+mills/2020-001577","63e8b9a8d056433a9994fe46ca85076b.pdf | OKCountyRecords: 2020-001577")</f>
        <v>63e8b9a8d056433a9994fe46ca85076b.pdf | OKCountyRecords: 2020-001577</v>
      </c>
    </row>
    <row r="131" spans="1:11" s="8" customFormat="1" ht="32.1" customHeight="1" x14ac:dyDescent="0.25">
      <c r="A131" s="277"/>
      <c r="B131" s="264"/>
      <c r="C131" s="264" t="s">
        <v>4083</v>
      </c>
      <c r="D131" s="282" t="s">
        <v>4084</v>
      </c>
      <c r="E131" s="290"/>
      <c r="F131" s="294">
        <v>44126</v>
      </c>
      <c r="G131" s="286" t="s">
        <v>4085</v>
      </c>
      <c r="H131" s="264" t="s">
        <v>3706</v>
      </c>
      <c r="I131" s="265" t="s">
        <v>4135</v>
      </c>
      <c r="J131" s="298"/>
      <c r="K131" s="259" t="str">
        <f>HYPERLINK("https://okcountyrecords.com/detail/roger+mills/2020-001616","63e8b9a8d056433a9994fe46ca85076b.pdf | OKCountyRecords: 2020-001616")</f>
        <v>63e8b9a8d056433a9994fe46ca85076b.pdf | OKCountyRecords: 2020-001616</v>
      </c>
    </row>
    <row r="132" spans="1:11" s="8" customFormat="1" ht="32.1" customHeight="1" x14ac:dyDescent="0.25">
      <c r="A132" s="277"/>
      <c r="B132" s="264"/>
      <c r="C132" s="264" t="s">
        <v>82</v>
      </c>
      <c r="D132" s="282" t="s">
        <v>4268</v>
      </c>
      <c r="E132" s="290"/>
      <c r="F132" s="294">
        <v>44133</v>
      </c>
      <c r="G132" s="286" t="s">
        <v>8402</v>
      </c>
      <c r="H132" s="264" t="s">
        <v>3799</v>
      </c>
      <c r="I132" s="265" t="s">
        <v>8403</v>
      </c>
      <c r="J132" s="298"/>
      <c r="K132" s="259" t="str">
        <f>HYPERLINK("https://okcountyrecords.com/detail/roger+mills/2020-001650","OKCountyRecords: 2020-001650")</f>
        <v>OKCountyRecords: 2020-001650</v>
      </c>
    </row>
    <row r="133" spans="1:11" s="8" customFormat="1" ht="32.1" customHeight="1" x14ac:dyDescent="0.25">
      <c r="A133" s="277"/>
      <c r="B133" s="264"/>
      <c r="C133" s="264" t="s">
        <v>4062</v>
      </c>
      <c r="D133" s="282" t="s">
        <v>4087</v>
      </c>
      <c r="E133" s="290"/>
      <c r="F133" s="294">
        <v>44272</v>
      </c>
      <c r="G133" s="286" t="s">
        <v>4085</v>
      </c>
      <c r="H133" s="264" t="s">
        <v>4088</v>
      </c>
      <c r="I133" s="265" t="s">
        <v>5603</v>
      </c>
      <c r="J133" s="298"/>
      <c r="K133" s="259" t="str">
        <f>HYPERLINK("https://okcountyrecords.com/detail/roger+mills/2021-000451","OKCountyRecords: 2021-000451")</f>
        <v>OKCountyRecords: 2021-000451</v>
      </c>
    </row>
    <row r="134" spans="1:11" s="8" customFormat="1" ht="32.1" customHeight="1" x14ac:dyDescent="0.25">
      <c r="A134" s="277"/>
      <c r="B134" s="264"/>
      <c r="C134" s="264" t="s">
        <v>4083</v>
      </c>
      <c r="D134" s="282" t="s">
        <v>4086</v>
      </c>
      <c r="E134" s="290"/>
      <c r="F134" s="294">
        <v>44312</v>
      </c>
      <c r="G134" s="286" t="s">
        <v>4072</v>
      </c>
      <c r="H134" s="264" t="s">
        <v>3672</v>
      </c>
      <c r="I134" s="265" t="s">
        <v>5604</v>
      </c>
      <c r="J134" s="298"/>
      <c r="K134" s="259" t="str">
        <f>HYPERLINK("https://okcountyrecords.com/detail/roger+mills/2021-000675","63e8b9a8d056433a9994fe46ca85076b.pdf | OKCountyRecords: 2021-000675")</f>
        <v>63e8b9a8d056433a9994fe46ca85076b.pdf | OKCountyRecords: 2021-000675</v>
      </c>
    </row>
    <row r="135" spans="1:11" s="8" customFormat="1" ht="32.1" customHeight="1" x14ac:dyDescent="0.25">
      <c r="A135" s="277"/>
      <c r="B135" s="264"/>
      <c r="C135" s="264" t="s">
        <v>8093</v>
      </c>
      <c r="D135" s="282" t="s">
        <v>5764</v>
      </c>
      <c r="E135" s="290"/>
      <c r="F135" s="294">
        <v>44314</v>
      </c>
      <c r="G135" s="286" t="s">
        <v>3672</v>
      </c>
      <c r="H135" s="264" t="s">
        <v>3814</v>
      </c>
      <c r="I135" s="265" t="s">
        <v>5598</v>
      </c>
      <c r="J135" s="298"/>
      <c r="K135" s="259" t="str">
        <f>HYPERLINK("https://okcountyrecords.com/detail/roger+mills/2021-000697","63e8b9a8d056433a9994fe46ca85076b.pdf | OKCountyRecords: 2021-000697")</f>
        <v>63e8b9a8d056433a9994fe46ca85076b.pdf | OKCountyRecords: 2021-000697</v>
      </c>
    </row>
    <row r="136" spans="1:11" s="8" customFormat="1" ht="32.1" customHeight="1" x14ac:dyDescent="0.25">
      <c r="A136" s="277"/>
      <c r="B136" s="264"/>
      <c r="C136" s="264" t="s">
        <v>1623</v>
      </c>
      <c r="D136" s="282" t="s">
        <v>4177</v>
      </c>
      <c r="E136" s="290"/>
      <c r="F136" s="294">
        <v>44377</v>
      </c>
      <c r="G136" s="286" t="s">
        <v>8404</v>
      </c>
      <c r="H136" s="264" t="s">
        <v>8405</v>
      </c>
      <c r="I136" s="265" t="s">
        <v>8406</v>
      </c>
      <c r="J136" s="298"/>
      <c r="K136" s="259" t="str">
        <f>HYPERLINK("https://okcountyrecords.com/detail/roger+mills/2021-001068","OKCountyRecords: 2021-001068")</f>
        <v>OKCountyRecords: 2021-001068</v>
      </c>
    </row>
    <row r="137" spans="1:11" s="8" customFormat="1" ht="32.1" customHeight="1" x14ac:dyDescent="0.25">
      <c r="A137" s="277"/>
      <c r="B137" s="264"/>
      <c r="C137" s="264" t="s">
        <v>993</v>
      </c>
      <c r="D137" s="282" t="s">
        <v>8098</v>
      </c>
      <c r="E137" s="290"/>
      <c r="F137" s="294">
        <v>44432</v>
      </c>
      <c r="G137" s="286" t="s">
        <v>3822</v>
      </c>
      <c r="H137" s="264" t="s">
        <v>8407</v>
      </c>
      <c r="I137" s="265" t="s">
        <v>8408</v>
      </c>
      <c r="J137" s="298"/>
      <c r="K137" s="259" t="str">
        <f>HYPERLINK("https://okcountyrecords.com/detail/roger+mills/2021-001366","OKCountyRecords: 2021-001366")</f>
        <v>OKCountyRecords: 2021-001366</v>
      </c>
    </row>
    <row r="138" spans="1:11" s="8" customFormat="1" ht="32.1" customHeight="1" x14ac:dyDescent="0.25">
      <c r="A138" s="277"/>
      <c r="B138" s="264"/>
      <c r="C138" s="264" t="s">
        <v>2441</v>
      </c>
      <c r="D138" s="282" t="s">
        <v>8101</v>
      </c>
      <c r="E138" s="290"/>
      <c r="F138" s="294">
        <v>44449</v>
      </c>
      <c r="G138" s="286" t="s">
        <v>8409</v>
      </c>
      <c r="H138" s="264" t="s">
        <v>3794</v>
      </c>
      <c r="I138" s="265" t="s">
        <v>8401</v>
      </c>
      <c r="J138" s="298"/>
      <c r="K138" s="259" t="str">
        <f>HYPERLINK("https://okcountyrecords.com/detail/roger+mills/2021-001486","OKCountyRecords: 2021-001486")</f>
        <v>OKCountyRecords: 2021-001486</v>
      </c>
    </row>
    <row r="139" spans="1:11" s="8" customFormat="1" ht="32.1" customHeight="1" x14ac:dyDescent="0.25">
      <c r="A139" s="277"/>
      <c r="B139" s="264"/>
      <c r="C139" s="264" t="s">
        <v>4062</v>
      </c>
      <c r="D139" s="282" t="s">
        <v>4092</v>
      </c>
      <c r="E139" s="290"/>
      <c r="F139" s="294">
        <v>44455</v>
      </c>
      <c r="G139" s="286" t="s">
        <v>4052</v>
      </c>
      <c r="H139" s="264" t="s">
        <v>3853</v>
      </c>
      <c r="I139" s="265" t="s">
        <v>4671</v>
      </c>
      <c r="J139" s="298" t="s">
        <v>3887</v>
      </c>
      <c r="K139" s="259" t="str">
        <f>HYPERLINK("https://okcountyrecords.com/detail/roger+mills/2021-001518/26899109","OKCountyRecords: 2021-001518")</f>
        <v>OKCountyRecords: 2021-001518</v>
      </c>
    </row>
    <row r="140" spans="1:11" s="8" customFormat="1" ht="32.1" customHeight="1" x14ac:dyDescent="0.25">
      <c r="A140" s="277"/>
      <c r="B140" s="264"/>
      <c r="C140" s="264" t="s">
        <v>3832</v>
      </c>
      <c r="D140" s="282" t="s">
        <v>8106</v>
      </c>
      <c r="E140" s="290"/>
      <c r="F140" s="294">
        <v>44462</v>
      </c>
      <c r="G140" s="286" t="s">
        <v>3834</v>
      </c>
      <c r="H140" s="264" t="s">
        <v>8410</v>
      </c>
      <c r="I140" s="265" t="s">
        <v>5605</v>
      </c>
      <c r="J140" s="298"/>
      <c r="K140" s="259" t="str">
        <f>HYPERLINK("https://okcountyrecords.com/detail/roger+mills/2021-001559","63e8b9a8d056433a9994fe46ca85076b.pdf | OKCountyRecords: 2021-001559")</f>
        <v>63e8b9a8d056433a9994fe46ca85076b.pdf | OKCountyRecords: 2021-001559</v>
      </c>
    </row>
    <row r="141" spans="1:11" s="8" customFormat="1" ht="32.1" customHeight="1" x14ac:dyDescent="0.25">
      <c r="A141" s="277"/>
      <c r="B141" s="264"/>
      <c r="C141" s="264" t="s">
        <v>4050</v>
      </c>
      <c r="D141" s="282" t="s">
        <v>4089</v>
      </c>
      <c r="E141" s="290"/>
      <c r="F141" s="294">
        <v>44462</v>
      </c>
      <c r="G141" s="286" t="s">
        <v>3959</v>
      </c>
      <c r="H141" s="264" t="s">
        <v>4090</v>
      </c>
      <c r="I141" s="265" t="s">
        <v>5605</v>
      </c>
      <c r="J141" s="298"/>
      <c r="K141" s="259" t="str">
        <f>HYPERLINK("https://okcountyrecords.com/detail/roger+mills/2021-001558","63e8b9a8d056433a9994fe46ca85076b.pdf | OKCountyRecords: 2021-001558")</f>
        <v>63e8b9a8d056433a9994fe46ca85076b.pdf | OKCountyRecords: 2021-001558</v>
      </c>
    </row>
    <row r="142" spans="1:11" s="8" customFormat="1" ht="32.1" customHeight="1" x14ac:dyDescent="0.25">
      <c r="A142" s="277"/>
      <c r="B142" s="264"/>
      <c r="C142" s="264" t="s">
        <v>4050</v>
      </c>
      <c r="D142" s="282" t="s">
        <v>4091</v>
      </c>
      <c r="E142" s="290"/>
      <c r="F142" s="294">
        <v>44462</v>
      </c>
      <c r="G142" s="286" t="s">
        <v>3778</v>
      </c>
      <c r="H142" s="264" t="s">
        <v>3959</v>
      </c>
      <c r="I142" s="265" t="s">
        <v>5605</v>
      </c>
      <c r="J142" s="298"/>
      <c r="K142" s="259" t="str">
        <f>HYPERLINK("https://okcountyrecords.com/detail/roger+mills/2021-001556","OKCountyRecords: 2021-001556")</f>
        <v>OKCountyRecords: 2021-001556</v>
      </c>
    </row>
    <row r="143" spans="1:11" s="8" customFormat="1" ht="32.1" customHeight="1" x14ac:dyDescent="0.25">
      <c r="A143" s="277"/>
      <c r="B143" s="264"/>
      <c r="C143" s="264" t="s">
        <v>114</v>
      </c>
      <c r="D143" s="282" t="s">
        <v>4450</v>
      </c>
      <c r="E143" s="290"/>
      <c r="F143" s="294">
        <v>44463</v>
      </c>
      <c r="G143" s="286" t="s">
        <v>8411</v>
      </c>
      <c r="H143" s="264" t="s">
        <v>3794</v>
      </c>
      <c r="I143" s="265" t="s">
        <v>8412</v>
      </c>
      <c r="J143" s="298"/>
      <c r="K143" s="259" t="str">
        <f>HYPERLINK("https://okcountyrecords.com/detail/roger+mills/2021-001561","63e8b9a8d056433a9994fe46ca85076b.pdf | OKCountyRecords: 2021-001561")</f>
        <v>63e8b9a8d056433a9994fe46ca85076b.pdf | OKCountyRecords: 2021-001561</v>
      </c>
    </row>
    <row r="144" spans="1:11" s="8" customFormat="1" ht="32.1" customHeight="1" x14ac:dyDescent="0.25">
      <c r="A144" s="277"/>
      <c r="B144" s="264"/>
      <c r="C144" s="264" t="s">
        <v>114</v>
      </c>
      <c r="D144" s="282" t="s">
        <v>4451</v>
      </c>
      <c r="E144" s="290"/>
      <c r="F144" s="294">
        <v>44476</v>
      </c>
      <c r="G144" s="286" t="s">
        <v>3846</v>
      </c>
      <c r="H144" s="264" t="s">
        <v>8351</v>
      </c>
      <c r="I144" s="265" t="s">
        <v>5598</v>
      </c>
      <c r="J144" s="298"/>
      <c r="K144" s="259" t="str">
        <f>HYPERLINK("https://okcountyrecords.com/detail/roger+mills/2021-001605","63e8b9a8d056433a9994fe46ca85076b.pdf | OKCountyRecords: 2021-001605")</f>
        <v>63e8b9a8d056433a9994fe46ca85076b.pdf | OKCountyRecords: 2021-001605</v>
      </c>
    </row>
    <row r="145" spans="1:11" s="8" customFormat="1" ht="32.1" customHeight="1" x14ac:dyDescent="0.25">
      <c r="A145" s="277"/>
      <c r="B145" s="264"/>
      <c r="C145" s="264" t="s">
        <v>4050</v>
      </c>
      <c r="D145" s="282" t="s">
        <v>5606</v>
      </c>
      <c r="E145" s="290"/>
      <c r="F145" s="294">
        <v>44477</v>
      </c>
      <c r="G145" s="286" t="s">
        <v>5607</v>
      </c>
      <c r="H145" s="264" t="s">
        <v>5608</v>
      </c>
      <c r="I145" s="265" t="s">
        <v>5605</v>
      </c>
      <c r="J145" s="298"/>
      <c r="K145" s="259" t="str">
        <f>HYPERLINK("https://okcountyrecords.com/search/roger%20mills","OKCountyRecords search: Mortgage 2480/0426")</f>
        <v>OKCountyRecords search: Mortgage 2480/0426</v>
      </c>
    </row>
    <row r="146" spans="1:11" s="8" customFormat="1" ht="32.1" customHeight="1" x14ac:dyDescent="0.25">
      <c r="A146" s="277"/>
      <c r="B146" s="264"/>
      <c r="C146" s="264" t="s">
        <v>1623</v>
      </c>
      <c r="D146" s="282" t="s">
        <v>48</v>
      </c>
      <c r="E146" s="290"/>
      <c r="F146" s="294">
        <v>44491</v>
      </c>
      <c r="G146" s="286" t="s">
        <v>3853</v>
      </c>
      <c r="H146" s="264" t="s">
        <v>5542</v>
      </c>
      <c r="I146" s="265" t="s">
        <v>4671</v>
      </c>
      <c r="J146" s="298" t="s">
        <v>4672</v>
      </c>
      <c r="K146" s="259" t="str">
        <f>HYPERLINK("https://okcountyrecords.com/detail/roger+mills/2021-001774/26955795","OKCountyRecords: 2021-001774")</f>
        <v>OKCountyRecords: 2021-001774</v>
      </c>
    </row>
    <row r="147" spans="1:11" s="8" customFormat="1" ht="32.1" customHeight="1" x14ac:dyDescent="0.25">
      <c r="A147" s="277"/>
      <c r="B147" s="264"/>
      <c r="C147" s="264" t="s">
        <v>114</v>
      </c>
      <c r="D147" s="282" t="s">
        <v>8114</v>
      </c>
      <c r="E147" s="290"/>
      <c r="F147" s="294">
        <v>44543</v>
      </c>
      <c r="G147" s="286" t="s">
        <v>3846</v>
      </c>
      <c r="H147" s="264" t="s">
        <v>3857</v>
      </c>
      <c r="I147" s="265" t="s">
        <v>5598</v>
      </c>
      <c r="J147" s="298"/>
      <c r="K147" s="259" t="str">
        <f>HYPERLINK("https://okcountyrecords.com/detail/roger+mills/2021-002152","OKCountyRecords: 2021-002152")</f>
        <v>OKCountyRecords: 2021-002152</v>
      </c>
    </row>
    <row r="148" spans="1:11" s="8" customFormat="1" ht="32.1" customHeight="1" x14ac:dyDescent="0.25">
      <c r="A148" s="277"/>
      <c r="B148" s="264"/>
      <c r="C148" s="264" t="s">
        <v>1623</v>
      </c>
      <c r="D148" s="282" t="s">
        <v>8117</v>
      </c>
      <c r="E148" s="290"/>
      <c r="F148" s="294">
        <v>44592</v>
      </c>
      <c r="G148" s="286" t="s">
        <v>8405</v>
      </c>
      <c r="H148" s="264" t="s">
        <v>8413</v>
      </c>
      <c r="I148" s="265" t="s">
        <v>8414</v>
      </c>
      <c r="J148" s="298"/>
      <c r="K148" s="259" t="str">
        <f>HYPERLINK("https://okcountyrecords.com/detail/roger+mills/2022-000185","OKCountyRecords: 2022-000185")</f>
        <v>OKCountyRecords: 2022-000185</v>
      </c>
    </row>
    <row r="149" spans="1:11" s="8" customFormat="1" ht="32.1" customHeight="1" x14ac:dyDescent="0.25">
      <c r="A149" s="277"/>
      <c r="B149" s="264"/>
      <c r="C149" s="264" t="s">
        <v>114</v>
      </c>
      <c r="D149" s="282" t="s">
        <v>8120</v>
      </c>
      <c r="E149" s="290"/>
      <c r="F149" s="294">
        <v>44615</v>
      </c>
      <c r="G149" s="286" t="s">
        <v>3863</v>
      </c>
      <c r="H149" s="264" t="s">
        <v>3864</v>
      </c>
      <c r="I149" s="265" t="s">
        <v>5598</v>
      </c>
      <c r="J149" s="298"/>
      <c r="K149" s="259" t="str">
        <f>HYPERLINK("https://okcountyrecords.com/detail/roger+mills/2022-000354","OKCountyRecords: 2022-000354")</f>
        <v>OKCountyRecords: 2022-000354</v>
      </c>
    </row>
    <row r="150" spans="1:11" s="8" customFormat="1" ht="32.1" customHeight="1" x14ac:dyDescent="0.25">
      <c r="A150" s="277"/>
      <c r="B150" s="264"/>
      <c r="C150" s="264" t="s">
        <v>4062</v>
      </c>
      <c r="D150" s="282" t="s">
        <v>4093</v>
      </c>
      <c r="E150" s="290"/>
      <c r="F150" s="294">
        <v>44620</v>
      </c>
      <c r="G150" s="286" t="s">
        <v>4052</v>
      </c>
      <c r="H150" s="264" t="s">
        <v>3591</v>
      </c>
      <c r="I150" s="265" t="s">
        <v>4702</v>
      </c>
      <c r="J150" s="298" t="s">
        <v>4094</v>
      </c>
      <c r="K150" s="259" t="str">
        <f>HYPERLINK("https://okcountyrecords.com/detail/roger+mills/2022-000389/27275589","OKCountyRecords: 2022-000389")</f>
        <v>OKCountyRecords: 2022-000389</v>
      </c>
    </row>
    <row r="151" spans="1:11" s="8" customFormat="1" ht="32.1" customHeight="1" x14ac:dyDescent="0.25">
      <c r="A151" s="277"/>
      <c r="B151" s="264"/>
      <c r="C151" s="264" t="s">
        <v>4050</v>
      </c>
      <c r="D151" s="282" t="s">
        <v>4095</v>
      </c>
      <c r="E151" s="290"/>
      <c r="F151" s="294">
        <v>44621</v>
      </c>
      <c r="G151" s="286" t="s">
        <v>4096</v>
      </c>
      <c r="H151" s="264" t="s">
        <v>4097</v>
      </c>
      <c r="I151" s="265" t="s">
        <v>3699</v>
      </c>
      <c r="J151" s="298" t="s">
        <v>4094</v>
      </c>
      <c r="K151" s="259" t="str">
        <f>HYPERLINK("https://okcountyrecords.com/detail/roger+mills/2022-000416/27279297","OKCountyRecords: 2022-000416")</f>
        <v>OKCountyRecords: 2022-000416</v>
      </c>
    </row>
    <row r="152" spans="1:11" s="8" customFormat="1" ht="32.1" customHeight="1" x14ac:dyDescent="0.25">
      <c r="A152" s="277"/>
      <c r="B152" s="264"/>
      <c r="C152" s="264" t="s">
        <v>4067</v>
      </c>
      <c r="D152" s="282" t="s">
        <v>4098</v>
      </c>
      <c r="E152" s="290"/>
      <c r="F152" s="294">
        <v>44693</v>
      </c>
      <c r="G152" s="286" t="s">
        <v>4099</v>
      </c>
      <c r="H152" s="264" t="s">
        <v>4100</v>
      </c>
      <c r="I152" s="265" t="s">
        <v>5598</v>
      </c>
      <c r="J152" s="298"/>
      <c r="K152" s="259" t="str">
        <f>HYPERLINK("https://okcountyrecords.com/detail/roger+mills/2022-000961","63e8b9a8d056433a9994fe46ca85076b.pdf | OKCountyRecords: 2022-000961")</f>
        <v>63e8b9a8d056433a9994fe46ca85076b.pdf | OKCountyRecords: 2022-000961</v>
      </c>
    </row>
    <row r="153" spans="1:11" s="8" customFormat="1" ht="32.1" customHeight="1" x14ac:dyDescent="0.25">
      <c r="A153" s="277"/>
      <c r="B153" s="264"/>
      <c r="C153" s="264" t="s">
        <v>4050</v>
      </c>
      <c r="D153" s="282" t="s">
        <v>4101</v>
      </c>
      <c r="E153" s="290"/>
      <c r="F153" s="294">
        <v>44693</v>
      </c>
      <c r="G153" s="286" t="s">
        <v>4099</v>
      </c>
      <c r="H153" s="264" t="s">
        <v>4100</v>
      </c>
      <c r="I153" s="265" t="s">
        <v>5598</v>
      </c>
      <c r="J153" s="298"/>
      <c r="K153" s="259" t="str">
        <f>HYPERLINK("https://okcountyrecords.com/detail/roger+mills/2022-000960","63e8b9a8d056433a9994fe46ca85076b.pdf | OKCountyRecords: 2022-000960")</f>
        <v>63e8b9a8d056433a9994fe46ca85076b.pdf | OKCountyRecords: 2022-000960</v>
      </c>
    </row>
    <row r="154" spans="1:11" s="8" customFormat="1" ht="32.1" customHeight="1" x14ac:dyDescent="0.25">
      <c r="A154" s="277"/>
      <c r="B154" s="264"/>
      <c r="C154" s="264" t="s">
        <v>1107</v>
      </c>
      <c r="D154" s="282" t="s">
        <v>8123</v>
      </c>
      <c r="E154" s="290"/>
      <c r="F154" s="294">
        <v>44715</v>
      </c>
      <c r="G154" s="286" t="s">
        <v>8415</v>
      </c>
      <c r="H154" s="264" t="s">
        <v>1110</v>
      </c>
      <c r="I154" s="265" t="s">
        <v>5605</v>
      </c>
      <c r="J154" s="298"/>
      <c r="K154" s="259" t="str">
        <f>HYPERLINK("https://okcountyrecords.com/detail/roger+mills/2022-001083","OKCountyRecords: 2022-001083")</f>
        <v>OKCountyRecords: 2022-001083</v>
      </c>
    </row>
    <row r="155" spans="1:11" s="8" customFormat="1" ht="32.1" customHeight="1" x14ac:dyDescent="0.25">
      <c r="A155" s="277"/>
      <c r="B155" s="264"/>
      <c r="C155" s="264" t="s">
        <v>4102</v>
      </c>
      <c r="D155" s="282" t="s">
        <v>4103</v>
      </c>
      <c r="E155" s="290"/>
      <c r="F155" s="294">
        <v>44741</v>
      </c>
      <c r="G155" s="286" t="s">
        <v>4075</v>
      </c>
      <c r="H155" s="264" t="s">
        <v>4104</v>
      </c>
      <c r="I155" s="265" t="s">
        <v>4135</v>
      </c>
      <c r="J155" s="298"/>
      <c r="K155" s="259" t="str">
        <f>HYPERLINK("https://okcountyrecords.com/detail/roger+mills/2022-001242","63e8b9a8d056433a9994fe46ca85076b.pdf | OKCountyRecords: 2022-001242")</f>
        <v>63e8b9a8d056433a9994fe46ca85076b.pdf | OKCountyRecords: 2022-001242</v>
      </c>
    </row>
    <row r="156" spans="1:11" s="8" customFormat="1" ht="32.1" customHeight="1" x14ac:dyDescent="0.25">
      <c r="A156" s="277"/>
      <c r="B156" s="264"/>
      <c r="C156" s="264" t="s">
        <v>4062</v>
      </c>
      <c r="D156" s="282" t="s">
        <v>4105</v>
      </c>
      <c r="E156" s="290"/>
      <c r="F156" s="294">
        <v>44914</v>
      </c>
      <c r="G156" s="286" t="s">
        <v>4057</v>
      </c>
      <c r="H156" s="264" t="s">
        <v>4056</v>
      </c>
      <c r="I156" s="265" t="s">
        <v>4106</v>
      </c>
      <c r="J156" s="298" t="s">
        <v>3887</v>
      </c>
      <c r="K156" s="259" t="str">
        <f>HYPERLINK("https://okcountyrecords.com/detail/roger+mills/2022-002667/28312455","OKCountyRecords: 2022-002667")</f>
        <v>OKCountyRecords: 2022-002667</v>
      </c>
    </row>
    <row r="157" spans="1:11" s="8" customFormat="1" ht="32.1" customHeight="1" x14ac:dyDescent="0.25">
      <c r="A157" s="277"/>
      <c r="B157" s="264"/>
      <c r="C157" s="264" t="s">
        <v>4062</v>
      </c>
      <c r="D157" s="282" t="s">
        <v>4107</v>
      </c>
      <c r="E157" s="290"/>
      <c r="F157" s="294">
        <v>44914</v>
      </c>
      <c r="G157" s="286" t="s">
        <v>4057</v>
      </c>
      <c r="H157" s="264" t="s">
        <v>4056</v>
      </c>
      <c r="I157" s="265" t="s">
        <v>4106</v>
      </c>
      <c r="J157" s="298" t="s">
        <v>3887</v>
      </c>
      <c r="K157" s="259" t="str">
        <f>HYPERLINK("https://okcountyrecords.com/detail/roger+mills/2022-002668/28312456","OKCountyRecords: 2022-002668")</f>
        <v>OKCountyRecords: 2022-002668</v>
      </c>
    </row>
    <row r="158" spans="1:11" s="8" customFormat="1" ht="32.1" customHeight="1" x14ac:dyDescent="0.25">
      <c r="A158" s="277"/>
      <c r="B158" s="264"/>
      <c r="C158" s="264" t="s">
        <v>4102</v>
      </c>
      <c r="D158" s="282" t="s">
        <v>4134</v>
      </c>
      <c r="E158" s="290"/>
      <c r="F158" s="294">
        <v>44936</v>
      </c>
      <c r="G158" s="286" t="s">
        <v>4100</v>
      </c>
      <c r="H158" s="264" t="s">
        <v>3706</v>
      </c>
      <c r="I158" s="265" t="s">
        <v>4135</v>
      </c>
      <c r="J158" s="298"/>
      <c r="K158" s="259" t="str">
        <f>HYPERLINK("https://okcountyrecords.com/detail/roger+mills/2023-000029","63e8b9a8d056433a9994fe46ca85076b.pdf | OKCountyRecords: 2023-000029")</f>
        <v>63e8b9a8d056433a9994fe46ca85076b.pdf | OKCountyRecords: 2023-000029</v>
      </c>
    </row>
    <row r="159" spans="1:11" s="8" customFormat="1" ht="32.1" customHeight="1" x14ac:dyDescent="0.25">
      <c r="A159" s="277"/>
      <c r="B159" s="264"/>
      <c r="C159" s="264" t="s">
        <v>1623</v>
      </c>
      <c r="D159" s="282" t="s">
        <v>4269</v>
      </c>
      <c r="E159" s="290"/>
      <c r="F159" s="294">
        <v>45114</v>
      </c>
      <c r="G159" s="286" t="s">
        <v>263</v>
      </c>
      <c r="H159" s="264" t="s">
        <v>8416</v>
      </c>
      <c r="I159" s="265" t="s">
        <v>8417</v>
      </c>
      <c r="J159" s="298"/>
      <c r="K159" s="259" t="str">
        <f>HYPERLINK("https://okcountyrecords.com/detail/roger+mills/2023-002269","OKCountyRecords: 2023-002269")</f>
        <v>OKCountyRecords: 2023-002269</v>
      </c>
    </row>
    <row r="160" spans="1:11" s="8" customFormat="1" ht="32.1" customHeight="1" x14ac:dyDescent="0.25">
      <c r="A160" s="277"/>
      <c r="B160" s="264"/>
      <c r="C160" s="264" t="s">
        <v>4050</v>
      </c>
      <c r="D160" s="282" t="s">
        <v>4108</v>
      </c>
      <c r="E160" s="290"/>
      <c r="F160" s="294">
        <v>45170</v>
      </c>
      <c r="G160" s="286" t="s">
        <v>3959</v>
      </c>
      <c r="H160" s="264" t="s">
        <v>4090</v>
      </c>
      <c r="I160" s="265" t="s">
        <v>5609</v>
      </c>
      <c r="J160" s="298"/>
      <c r="K160" s="259" t="str">
        <f>HYPERLINK("https://okcountyrecords.com/detail/roger+mills/2023-002871","63e8b9a8d056433a9994fe46ca85076b.pdf | OKCountyRecords: 2023-002871")</f>
        <v>63e8b9a8d056433a9994fe46ca85076b.pdf | OKCountyRecords: 2023-002871</v>
      </c>
    </row>
    <row r="161" spans="1:11" s="8" customFormat="1" ht="32.1" customHeight="1" x14ac:dyDescent="0.25">
      <c r="A161" s="277"/>
      <c r="B161" s="264"/>
      <c r="C161" s="264" t="s">
        <v>4050</v>
      </c>
      <c r="D161" s="282" t="s">
        <v>4115</v>
      </c>
      <c r="E161" s="290"/>
      <c r="F161" s="294">
        <v>45236</v>
      </c>
      <c r="G161" s="286" t="s">
        <v>4096</v>
      </c>
      <c r="H161" s="264" t="s">
        <v>4116</v>
      </c>
      <c r="I161" s="265" t="s">
        <v>4117</v>
      </c>
      <c r="J161" s="298" t="s">
        <v>3887</v>
      </c>
      <c r="K161" s="259" t="str">
        <f>HYPERLINK("https://okcountyrecords.com/detail/roger+mills/2023-003436/29336584","OKCountyRecords: 2023-003436")</f>
        <v>OKCountyRecords: 2023-003436</v>
      </c>
    </row>
    <row r="162" spans="1:11" s="8" customFormat="1" ht="32.1" customHeight="1" x14ac:dyDescent="0.25">
      <c r="A162" s="277"/>
      <c r="B162" s="264"/>
      <c r="C162" s="264" t="s">
        <v>4050</v>
      </c>
      <c r="D162" s="282" t="s">
        <v>4109</v>
      </c>
      <c r="E162" s="290"/>
      <c r="F162" s="294">
        <v>45247</v>
      </c>
      <c r="G162" s="286" t="s">
        <v>4110</v>
      </c>
      <c r="H162" s="264" t="s">
        <v>4111</v>
      </c>
      <c r="I162" s="265" t="s">
        <v>5610</v>
      </c>
      <c r="J162" s="298"/>
      <c r="K162" s="259" t="str">
        <f>HYPERLINK("https://okcountyrecords.com/detail/roger+mills/2023-003592","63e8b9a8d056433a9994fe46ca85076b.pdf | OKCountyRecords: 2023-003592")</f>
        <v>63e8b9a8d056433a9994fe46ca85076b.pdf | OKCountyRecords: 2023-003592</v>
      </c>
    </row>
    <row r="163" spans="1:11" s="8" customFormat="1" ht="32.1" customHeight="1" x14ac:dyDescent="0.25">
      <c r="A163" s="277"/>
      <c r="B163" s="264"/>
      <c r="C163" s="264" t="s">
        <v>4045</v>
      </c>
      <c r="D163" s="282" t="s">
        <v>4136</v>
      </c>
      <c r="E163" s="290"/>
      <c r="F163" s="294">
        <v>45247</v>
      </c>
      <c r="G163" s="286" t="s">
        <v>4137</v>
      </c>
      <c r="H163" s="264" t="s">
        <v>4138</v>
      </c>
      <c r="I163" s="265" t="s">
        <v>4139</v>
      </c>
      <c r="J163" s="298"/>
      <c r="K163" s="259" t="str">
        <f>HYPERLINK("https://okcountyrecords.com/detail/roger+mills/2023-003358","63e8b9a8d056433a9994fe46ca85076b.pdf | OKCountyRecords: 2023-003358")</f>
        <v>63e8b9a8d056433a9994fe46ca85076b.pdf | OKCountyRecords: 2023-003358</v>
      </c>
    </row>
    <row r="164" spans="1:11" s="8" customFormat="1" ht="32.1" customHeight="1" x14ac:dyDescent="0.25">
      <c r="A164" s="277"/>
      <c r="B164" s="264"/>
      <c r="C164" s="264" t="s">
        <v>4633</v>
      </c>
      <c r="D164" s="282" t="s">
        <v>4452</v>
      </c>
      <c r="E164" s="290"/>
      <c r="F164" s="294">
        <v>45247</v>
      </c>
      <c r="G164" s="286" t="s">
        <v>3814</v>
      </c>
      <c r="H164" s="264" t="s">
        <v>4113</v>
      </c>
      <c r="I164" s="265" t="s">
        <v>5610</v>
      </c>
      <c r="J164" s="298"/>
      <c r="K164" s="259" t="str">
        <f>HYPERLINK("https://okcountyrecords.com/detail/roger+mills/2023-003590","63e8b9a8d056433a9994fe46ca85076b.pdf | OKCountyRecords: 2023-003590")</f>
        <v>63e8b9a8d056433a9994fe46ca85076b.pdf | OKCountyRecords: 2023-003590</v>
      </c>
    </row>
    <row r="165" spans="1:11" s="8" customFormat="1" ht="32.1" customHeight="1" x14ac:dyDescent="0.25">
      <c r="A165" s="277"/>
      <c r="B165" s="264"/>
      <c r="C165" s="264" t="s">
        <v>4050</v>
      </c>
      <c r="D165" s="282" t="s">
        <v>4112</v>
      </c>
      <c r="E165" s="290"/>
      <c r="F165" s="294">
        <v>45247</v>
      </c>
      <c r="G165" s="286" t="s">
        <v>4099</v>
      </c>
      <c r="H165" s="264" t="s">
        <v>4113</v>
      </c>
      <c r="I165" s="265" t="s">
        <v>5610</v>
      </c>
      <c r="J165" s="298"/>
      <c r="K165" s="259" t="str">
        <f>HYPERLINK("https://okcountyrecords.com/detail/roger+mills/2023-003593","63e8b9a8d056433a9994fe46ca85076b.pdf | OKCountyRecords: 2023-003593")</f>
        <v>63e8b9a8d056433a9994fe46ca85076b.pdf | OKCountyRecords: 2023-003593</v>
      </c>
    </row>
    <row r="166" spans="1:11" s="8" customFormat="1" ht="32.1" customHeight="1" x14ac:dyDescent="0.25">
      <c r="A166" s="277"/>
      <c r="B166" s="264"/>
      <c r="C166" s="264" t="s">
        <v>3535</v>
      </c>
      <c r="D166" s="282" t="s">
        <v>8130</v>
      </c>
      <c r="E166" s="290"/>
      <c r="F166" s="294">
        <v>45247</v>
      </c>
      <c r="G166" s="286" t="s">
        <v>8418</v>
      </c>
      <c r="H166" s="264" t="s">
        <v>8419</v>
      </c>
      <c r="I166" s="265" t="s">
        <v>5610</v>
      </c>
      <c r="J166" s="298"/>
      <c r="K166" s="259" t="str">
        <f>HYPERLINK("https://okcountyrecords.com/detail/roger+mills/2023-003594","63e8b9a8d056433a9994fe46ca85076b.pdf | OKCountyRecords: 2023-003594")</f>
        <v>63e8b9a8d056433a9994fe46ca85076b.pdf | OKCountyRecords: 2023-003594</v>
      </c>
    </row>
    <row r="167" spans="1:11" s="8" customFormat="1" ht="32.1" customHeight="1" x14ac:dyDescent="0.25">
      <c r="A167" s="277"/>
      <c r="B167" s="264"/>
      <c r="C167" s="264" t="s">
        <v>4059</v>
      </c>
      <c r="D167" s="282" t="s">
        <v>4114</v>
      </c>
      <c r="E167" s="290"/>
      <c r="F167" s="294">
        <v>45265</v>
      </c>
      <c r="G167" s="286" t="s">
        <v>4099</v>
      </c>
      <c r="H167" s="264" t="s">
        <v>4085</v>
      </c>
      <c r="I167" s="265" t="s">
        <v>5611</v>
      </c>
      <c r="J167" s="298"/>
      <c r="K167" s="259" t="str">
        <f>HYPERLINK("https://okcountyrecords.com/detail/roger+mills/2023-003755","63e8b9a8d056433a9994fe46ca85076b.pdf | OKCountyRecords: 2023-003755")</f>
        <v>63e8b9a8d056433a9994fe46ca85076b.pdf | OKCountyRecords: 2023-003755</v>
      </c>
    </row>
    <row r="168" spans="1:11" s="8" customFormat="1" ht="32.1" customHeight="1" x14ac:dyDescent="0.25">
      <c r="A168" s="277"/>
      <c r="B168" s="264"/>
      <c r="C168" s="264" t="s">
        <v>4067</v>
      </c>
      <c r="D168" s="282" t="s">
        <v>4118</v>
      </c>
      <c r="E168" s="290"/>
      <c r="F168" s="294">
        <v>45336</v>
      </c>
      <c r="G168" s="286" t="s">
        <v>3814</v>
      </c>
      <c r="H168" s="264" t="s">
        <v>4119</v>
      </c>
      <c r="I168" s="265" t="s">
        <v>4139</v>
      </c>
      <c r="J168" s="298"/>
      <c r="K168" s="259" t="str">
        <f>HYPERLINK("https://okcountyrecords.com/detail/roger+mills/2024-000580","63e8b9a8d056433a9994fe46ca85076b.pdf | OKCountyRecords: 2024-000580")</f>
        <v>63e8b9a8d056433a9994fe46ca85076b.pdf | OKCountyRecords: 2024-000580</v>
      </c>
    </row>
    <row r="169" spans="1:11" s="8" customFormat="1" ht="32.1" customHeight="1" x14ac:dyDescent="0.25">
      <c r="A169" s="277"/>
      <c r="B169" s="264"/>
      <c r="C169" s="264" t="s">
        <v>4067</v>
      </c>
      <c r="D169" s="282" t="s">
        <v>4120</v>
      </c>
      <c r="E169" s="290"/>
      <c r="F169" s="294">
        <v>45336</v>
      </c>
      <c r="G169" s="286" t="s">
        <v>4121</v>
      </c>
      <c r="H169" s="264" t="s">
        <v>4085</v>
      </c>
      <c r="I169" s="265" t="s">
        <v>4139</v>
      </c>
      <c r="J169" s="298"/>
      <c r="K169" s="259" t="str">
        <f>HYPERLINK("https://okcountyrecords.com/detail/roger+mills/2024-000579","63e8b9a8d056433a9994fe46ca85076b.pdf | OKCountyRecords: 2024-000579")</f>
        <v>63e8b9a8d056433a9994fe46ca85076b.pdf | OKCountyRecords: 2024-000579</v>
      </c>
    </row>
    <row r="170" spans="1:11" s="8" customFormat="1" ht="32.1" customHeight="1" x14ac:dyDescent="0.25">
      <c r="A170" s="277"/>
      <c r="B170" s="264"/>
      <c r="C170" s="264" t="s">
        <v>3730</v>
      </c>
      <c r="D170" s="282" t="s">
        <v>51</v>
      </c>
      <c r="E170" s="290"/>
      <c r="F170" s="294">
        <v>45365</v>
      </c>
      <c r="G170" s="286" t="s">
        <v>8420</v>
      </c>
      <c r="H170" s="264" t="s">
        <v>1110</v>
      </c>
      <c r="I170" s="265" t="s">
        <v>4671</v>
      </c>
      <c r="J170" s="298" t="s">
        <v>3887</v>
      </c>
      <c r="K170" s="259" t="str">
        <f>HYPERLINK("https://okcountyrecords.com/detail/roger+mills/2024-001313/31623586","OKCountyRecords: 2024-001313")</f>
        <v>OKCountyRecords: 2024-001313</v>
      </c>
    </row>
    <row r="171" spans="1:11" s="8" customFormat="1" ht="32.1" customHeight="1" x14ac:dyDescent="0.25">
      <c r="A171" s="277"/>
      <c r="B171" s="264"/>
      <c r="C171" s="264" t="s">
        <v>114</v>
      </c>
      <c r="D171" s="282" t="s">
        <v>4453</v>
      </c>
      <c r="E171" s="290"/>
      <c r="F171" s="294">
        <v>45401</v>
      </c>
      <c r="G171" s="286" t="s">
        <v>8421</v>
      </c>
      <c r="H171" s="264" t="s">
        <v>8422</v>
      </c>
      <c r="I171" s="265" t="s">
        <v>8423</v>
      </c>
      <c r="J171" s="298"/>
      <c r="K171" s="259" t="str">
        <f>HYPERLINK("https://okcountyrecords.com/detail/roger+mills/2024-002310","63e8b9a8d056433a9994fe46ca85076b.pdf | OKCountyRecords: 2024-002310")</f>
        <v>63e8b9a8d056433a9994fe46ca85076b.pdf | OKCountyRecords: 2024-002310</v>
      </c>
    </row>
    <row r="172" spans="1:11" s="8" customFormat="1" ht="32.1" customHeight="1" x14ac:dyDescent="0.25">
      <c r="A172" s="277"/>
      <c r="B172" s="264"/>
      <c r="C172" s="264" t="s">
        <v>114</v>
      </c>
      <c r="D172" s="282" t="s">
        <v>4454</v>
      </c>
      <c r="E172" s="290"/>
      <c r="F172" s="294">
        <v>45432</v>
      </c>
      <c r="G172" s="286" t="s">
        <v>8421</v>
      </c>
      <c r="H172" s="264" t="s">
        <v>8424</v>
      </c>
      <c r="I172" s="265" t="s">
        <v>8423</v>
      </c>
      <c r="J172" s="298"/>
      <c r="K172" s="259" t="str">
        <f>HYPERLINK("https://okcountyrecords.com/detail/roger+mills/2024-003107","63e8b9a8d056433a9994fe46ca85076b.pdf | OKCountyRecords: 2024-003107")</f>
        <v>63e8b9a8d056433a9994fe46ca85076b.pdf | OKCountyRecords: 2024-003107</v>
      </c>
    </row>
    <row r="173" spans="1:11" s="8" customFormat="1" ht="32.1" customHeight="1" x14ac:dyDescent="0.25">
      <c r="A173" s="277"/>
      <c r="B173" s="264"/>
      <c r="C173" s="264" t="s">
        <v>4122</v>
      </c>
      <c r="D173" s="282" t="s">
        <v>4123</v>
      </c>
      <c r="E173" s="290"/>
      <c r="F173" s="294">
        <v>45478</v>
      </c>
      <c r="G173" s="286" t="s">
        <v>3706</v>
      </c>
      <c r="H173" s="264" t="s">
        <v>4085</v>
      </c>
      <c r="I173" s="265" t="s">
        <v>5612</v>
      </c>
      <c r="J173" s="298"/>
      <c r="K173" s="259" t="str">
        <f>HYPERLINK("https://okcountyrecords.com/detail/roger+mills/2024-004258","63e8b9a8d056433a9994fe46ca85076b.pdf | OKCountyRecords: 2024-004258")</f>
        <v>63e8b9a8d056433a9994fe46ca85076b.pdf | OKCountyRecords: 2024-004258</v>
      </c>
    </row>
    <row r="174" spans="1:11" s="8" customFormat="1" ht="32.1" customHeight="1" x14ac:dyDescent="0.25">
      <c r="A174" s="277"/>
      <c r="B174" s="264"/>
      <c r="C174" s="264" t="s">
        <v>3082</v>
      </c>
      <c r="D174" s="282" t="s">
        <v>4455</v>
      </c>
      <c r="E174" s="290"/>
      <c r="F174" s="294">
        <v>45509</v>
      </c>
      <c r="G174" s="286" t="s">
        <v>3864</v>
      </c>
      <c r="H174" s="264" t="s">
        <v>3898</v>
      </c>
      <c r="I174" s="265" t="s">
        <v>4139</v>
      </c>
      <c r="J174" s="298"/>
      <c r="K174" s="259" t="str">
        <f>HYPERLINK("https://okcountyrecords.com/detail/roger+mills/2024-004916","63e8b9a8d056433a9994fe46ca85076b.pdf | OKCountyRecords: 2024-004916")</f>
        <v>63e8b9a8d056433a9994fe46ca85076b.pdf | OKCountyRecords: 2024-004916</v>
      </c>
    </row>
    <row r="175" spans="1:11" s="8" customFormat="1" ht="32.1" customHeight="1" x14ac:dyDescent="0.25">
      <c r="A175" s="277"/>
      <c r="B175" s="264"/>
      <c r="C175" s="264" t="s">
        <v>1410</v>
      </c>
      <c r="D175" s="282" t="s">
        <v>8146</v>
      </c>
      <c r="E175" s="290"/>
      <c r="F175" s="294">
        <v>45614</v>
      </c>
      <c r="G175" s="286" t="s">
        <v>8425</v>
      </c>
      <c r="H175" s="264" t="s">
        <v>1110</v>
      </c>
      <c r="I175" s="265" t="s">
        <v>4139</v>
      </c>
      <c r="J175" s="298"/>
      <c r="K175" s="259" t="str">
        <f>HYPERLINK("https://okcountyrecords.com/detail/roger+mills/2024-007203","63e8b9a8d056433a9994fe46ca85076b.pdf | OKCountyRecords: 2024-007203")</f>
        <v>63e8b9a8d056433a9994fe46ca85076b.pdf | OKCountyRecords: 2024-007203</v>
      </c>
    </row>
    <row r="176" spans="1:11" s="8" customFormat="1" ht="32.1" customHeight="1" x14ac:dyDescent="0.25">
      <c r="A176" s="277"/>
      <c r="B176" s="264"/>
      <c r="C176" s="264" t="s">
        <v>2437</v>
      </c>
      <c r="D176" s="282" t="s">
        <v>5777</v>
      </c>
      <c r="E176" s="290"/>
      <c r="F176" s="294">
        <v>45614</v>
      </c>
      <c r="G176" s="286" t="s">
        <v>8421</v>
      </c>
      <c r="H176" s="264" t="s">
        <v>8426</v>
      </c>
      <c r="I176" s="265" t="s">
        <v>8423</v>
      </c>
      <c r="J176" s="298"/>
      <c r="K176" s="259" t="str">
        <f>HYPERLINK("https://okcountyrecords.com/detail/roger+mills/2024-007198","63e8b9a8d056433a9994fe46ca85076b.pdf | OKCountyRecords: 2024-007198")</f>
        <v>63e8b9a8d056433a9994fe46ca85076b.pdf | OKCountyRecords: 2024-007198</v>
      </c>
    </row>
    <row r="177" spans="1:11" s="8" customFormat="1" ht="32.1" customHeight="1" x14ac:dyDescent="0.25">
      <c r="A177" s="277"/>
      <c r="B177" s="264"/>
      <c r="C177" s="264" t="s">
        <v>1623</v>
      </c>
      <c r="D177" s="282" t="s">
        <v>4681</v>
      </c>
      <c r="E177" s="290"/>
      <c r="F177" s="294">
        <v>45621</v>
      </c>
      <c r="G177" s="286" t="s">
        <v>482</v>
      </c>
      <c r="H177" s="264" t="s">
        <v>8427</v>
      </c>
      <c r="I177" s="265" t="s">
        <v>308</v>
      </c>
      <c r="J177" s="298" t="s">
        <v>4672</v>
      </c>
      <c r="K177" s="259" t="str">
        <f>HYPERLINK("https://okcountyrecords.com/detail/roger+mills/2024-007338/32904065","OKCountyRecords: 2024-007338")</f>
        <v>OKCountyRecords: 2024-007338</v>
      </c>
    </row>
    <row r="178" spans="1:11" s="8" customFormat="1" ht="32.1" customHeight="1" x14ac:dyDescent="0.25">
      <c r="A178" s="277"/>
      <c r="B178" s="264"/>
      <c r="C178" s="264" t="s">
        <v>114</v>
      </c>
      <c r="D178" s="282" t="s">
        <v>4456</v>
      </c>
      <c r="E178" s="290"/>
      <c r="F178" s="294">
        <v>45642</v>
      </c>
      <c r="G178" s="286" t="s">
        <v>8428</v>
      </c>
      <c r="H178" s="264" t="s">
        <v>3915</v>
      </c>
      <c r="I178" s="265" t="s">
        <v>308</v>
      </c>
      <c r="J178" s="298" t="s">
        <v>4679</v>
      </c>
      <c r="K178" s="259" t="str">
        <f>HYPERLINK("https://okcountyrecords.com/detail/roger+mills/2024-007734/33733683","OKCountyRecords: 2024-007734")</f>
        <v>OKCountyRecords: 2024-007734</v>
      </c>
    </row>
    <row r="179" spans="1:11" s="8" customFormat="1" ht="32.1" customHeight="1" x14ac:dyDescent="0.25">
      <c r="A179" s="277"/>
      <c r="B179" s="264"/>
      <c r="C179" s="264" t="s">
        <v>2441</v>
      </c>
      <c r="D179" s="282" t="s">
        <v>8149</v>
      </c>
      <c r="E179" s="290"/>
      <c r="F179" s="294">
        <v>45672</v>
      </c>
      <c r="G179" s="286" t="s">
        <v>8411</v>
      </c>
      <c r="H179" s="264" t="s">
        <v>3794</v>
      </c>
      <c r="I179" s="265" t="s">
        <v>8429</v>
      </c>
      <c r="J179" s="298"/>
      <c r="K179" s="259" t="str">
        <f>HYPERLINK("https://okcountyrecords.com/detail/roger+mills/2025-000522","63e8b9a8d056433a9994fe46ca85076b.pdf | OKCountyRecords: 2025-000522")</f>
        <v>63e8b9a8d056433a9994fe46ca85076b.pdf | OKCountyRecords: 2025-000522</v>
      </c>
    </row>
    <row r="180" spans="1:11" s="8" customFormat="1" ht="32.1" customHeight="1" x14ac:dyDescent="0.25">
      <c r="A180" s="277"/>
      <c r="B180" s="264"/>
      <c r="C180" s="264" t="s">
        <v>3925</v>
      </c>
      <c r="D180" s="282" t="s">
        <v>4381</v>
      </c>
      <c r="E180" s="290"/>
      <c r="F180" s="294">
        <v>45728</v>
      </c>
      <c r="G180" s="286" t="s">
        <v>8430</v>
      </c>
      <c r="H180" s="264" t="s">
        <v>8431</v>
      </c>
      <c r="I180" s="265" t="s">
        <v>8432</v>
      </c>
      <c r="J180" s="298"/>
      <c r="K180" s="259" t="str">
        <f>HYPERLINK("https://okcountyrecords.com/detail/roger+mills/2025-001343","OKCountyRecords: 2025-001343")</f>
        <v>OKCountyRecords: 2025-001343</v>
      </c>
    </row>
    <row r="181" spans="1:11" s="8" customFormat="1" ht="32.1" customHeight="1" x14ac:dyDescent="0.25">
      <c r="A181" s="277"/>
      <c r="B181" s="264"/>
      <c r="C181" s="264" t="s">
        <v>1107</v>
      </c>
      <c r="D181" s="282" t="s">
        <v>5780</v>
      </c>
      <c r="E181" s="290"/>
      <c r="F181" s="294">
        <v>45792</v>
      </c>
      <c r="G181" s="286" t="s">
        <v>3940</v>
      </c>
      <c r="H181" s="264" t="s">
        <v>8433</v>
      </c>
      <c r="I181" s="265" t="s">
        <v>4139</v>
      </c>
      <c r="J181" s="298"/>
      <c r="K181" s="259" t="str">
        <f>HYPERLINK("https://okcountyrecords.com/detail/roger+mills/2025-002923","63e8b9a8d056433a9994fe46ca85076b.pdf | OKCountyRecords: 2025-002923")</f>
        <v>63e8b9a8d056433a9994fe46ca85076b.pdf | OKCountyRecords: 2025-002923</v>
      </c>
    </row>
    <row r="182" spans="1:11" s="8" customFormat="1" ht="32.1" customHeight="1" x14ac:dyDescent="0.25">
      <c r="A182" s="277"/>
      <c r="B182" s="264"/>
      <c r="C182" s="264" t="s">
        <v>4083</v>
      </c>
      <c r="D182" s="282" t="s">
        <v>4124</v>
      </c>
      <c r="E182" s="290"/>
      <c r="F182" s="294">
        <v>45825</v>
      </c>
      <c r="G182" s="286" t="s">
        <v>4085</v>
      </c>
      <c r="H182" s="264" t="s">
        <v>4125</v>
      </c>
      <c r="I182" s="265" t="s">
        <v>5613</v>
      </c>
      <c r="J182" s="298"/>
      <c r="K182" s="259" t="str">
        <f>HYPERLINK("https://okcountyrecords.com/detail/roger+mills/2025-003650","63e8b9a8d056433a9994fe46ca85076b.pdf | OKCountyRecords: 2025-003650")</f>
        <v>63e8b9a8d056433a9994fe46ca85076b.pdf | OKCountyRecords: 2025-003650</v>
      </c>
    </row>
    <row r="183" spans="1:11" s="8" customFormat="1" ht="32.1" customHeight="1" x14ac:dyDescent="0.25">
      <c r="A183" s="277"/>
      <c r="B183" s="264"/>
      <c r="C183" s="264" t="s">
        <v>2430</v>
      </c>
      <c r="D183" s="282" t="s">
        <v>4382</v>
      </c>
      <c r="E183" s="290"/>
      <c r="F183" s="294">
        <v>45840</v>
      </c>
      <c r="G183" s="286" t="s">
        <v>8434</v>
      </c>
      <c r="H183" s="264" t="s">
        <v>8435</v>
      </c>
      <c r="I183" s="265" t="s">
        <v>8436</v>
      </c>
      <c r="J183" s="298"/>
      <c r="K183" s="259" t="str">
        <f>HYPERLINK("https://okcountyrecords.com/detail/roger+mills/2025-003963","OKCountyRecords: 2025-003963")</f>
        <v>OKCountyRecords: 2025-003963</v>
      </c>
    </row>
    <row r="184" spans="1:11" s="8" customFormat="1" ht="32.1" customHeight="1" x14ac:dyDescent="0.25">
      <c r="A184" s="277"/>
      <c r="B184" s="264"/>
      <c r="C184" s="264" t="s">
        <v>1623</v>
      </c>
      <c r="D184" s="282" t="s">
        <v>4270</v>
      </c>
      <c r="E184" s="290">
        <v>45896</v>
      </c>
      <c r="F184" s="294">
        <v>45908</v>
      </c>
      <c r="G184" s="286" t="s">
        <v>3799</v>
      </c>
      <c r="H184" s="264" t="s">
        <v>3949</v>
      </c>
      <c r="I184" s="265" t="s">
        <v>8437</v>
      </c>
      <c r="J184" s="298" t="s">
        <v>8438</v>
      </c>
      <c r="K184" s="259" t="str">
        <f>HYPERLINK("https://okcountyrecords.com/detail/roger+mills/2025-005448","OKCountyRecords: 2025-005448")</f>
        <v>OKCountyRecords: 2025-005448</v>
      </c>
    </row>
    <row r="185" spans="1:11" s="8" customFormat="1" ht="32.1" customHeight="1" x14ac:dyDescent="0.25">
      <c r="A185" s="277"/>
      <c r="B185" s="264"/>
      <c r="C185" s="264" t="s">
        <v>1623</v>
      </c>
      <c r="D185" s="282" t="s">
        <v>4271</v>
      </c>
      <c r="E185" s="290"/>
      <c r="F185" s="294">
        <v>45908</v>
      </c>
      <c r="G185" s="286" t="s">
        <v>3949</v>
      </c>
      <c r="H185" s="264" t="s">
        <v>8439</v>
      </c>
      <c r="I185" s="265" t="s">
        <v>8440</v>
      </c>
      <c r="J185" s="298"/>
      <c r="K185" s="259" t="str">
        <f>HYPERLINK("https://okcountyrecords.com/detail/roger+mills/2025-005451","OKCountyRecords: 2025-005451")</f>
        <v>OKCountyRecords: 2025-005451</v>
      </c>
    </row>
    <row r="186" spans="1:11" s="8" customFormat="1" ht="32.1" customHeight="1" x14ac:dyDescent="0.25">
      <c r="A186" s="277"/>
      <c r="B186" s="264"/>
      <c r="C186" s="264" t="s">
        <v>4062</v>
      </c>
      <c r="D186" s="282" t="s">
        <v>4126</v>
      </c>
      <c r="E186" s="290"/>
      <c r="F186" s="294">
        <v>45915</v>
      </c>
      <c r="G186" s="286" t="s">
        <v>4127</v>
      </c>
      <c r="H186" s="264" t="s">
        <v>4128</v>
      </c>
      <c r="I186" s="265" t="s">
        <v>5609</v>
      </c>
      <c r="J186" s="298"/>
      <c r="K186" s="259" t="str">
        <f>HYPERLINK("https://okcountyrecords.com/detail/roger+mills/2025-005621","63e8b9a8d056433a9994fe46ca85076b.pdf | OKCountyRecords: 2025-005621")</f>
        <v>63e8b9a8d056433a9994fe46ca85076b.pdf | OKCountyRecords: 2025-005621</v>
      </c>
    </row>
    <row r="187" spans="1:11" s="8" customFormat="1" ht="32.1" customHeight="1" x14ac:dyDescent="0.25">
      <c r="A187" s="277"/>
      <c r="B187" s="264"/>
      <c r="C187" s="264" t="s">
        <v>4050</v>
      </c>
      <c r="D187" s="282" t="s">
        <v>4140</v>
      </c>
      <c r="E187" s="290"/>
      <c r="F187" s="294">
        <v>45925</v>
      </c>
      <c r="G187" s="286" t="s">
        <v>4128</v>
      </c>
      <c r="H187" s="264" t="s">
        <v>4141</v>
      </c>
      <c r="I187" s="265" t="s">
        <v>4142</v>
      </c>
      <c r="J187" s="298"/>
      <c r="K187" s="259" t="str">
        <f>HYPERLINK("https://okcountyrecords.com/detail/roger+mills/2025-005899","63e8b9a8d056433a9994fe46ca85076b.pdf | OKCountyRecords: 2025-005899")</f>
        <v>63e8b9a8d056433a9994fe46ca85076b.pdf | OKCountyRecords: 2025-005899</v>
      </c>
    </row>
    <row r="188" spans="1:11" s="8" customFormat="1" ht="32.1" customHeight="1" x14ac:dyDescent="0.25">
      <c r="A188" s="277"/>
      <c r="B188" s="264"/>
      <c r="C188" s="264" t="s">
        <v>4050</v>
      </c>
      <c r="D188" s="282" t="s">
        <v>4129</v>
      </c>
      <c r="E188" s="290"/>
      <c r="F188" s="294">
        <v>45954</v>
      </c>
      <c r="G188" s="286" t="s">
        <v>4130</v>
      </c>
      <c r="H188" s="264" t="s">
        <v>4131</v>
      </c>
      <c r="I188" s="265" t="s">
        <v>5614</v>
      </c>
      <c r="J188" s="298"/>
      <c r="K188" s="259" t="str">
        <f>HYPERLINK("https://okcountyrecords.com/detail/roger+mills/2025-006540","63e8b9a8d056433a9994fe46ca85076b.pdf | OKCountyRecords: 2025-006540")</f>
        <v>63e8b9a8d056433a9994fe46ca85076b.pdf | OKCountyRecords: 2025-006540</v>
      </c>
    </row>
    <row r="189" spans="1:11" s="8" customFormat="1" ht="32.1" customHeight="1" x14ac:dyDescent="0.25">
      <c r="A189" s="277"/>
      <c r="B189" s="264"/>
      <c r="C189" s="264" t="s">
        <v>3284</v>
      </c>
      <c r="D189" s="282" t="s">
        <v>5782</v>
      </c>
      <c r="E189" s="290"/>
      <c r="F189" s="294">
        <v>45954</v>
      </c>
      <c r="G189" s="286" t="s">
        <v>8441</v>
      </c>
      <c r="H189" s="264" t="s">
        <v>8442</v>
      </c>
      <c r="I189" s="265" t="s">
        <v>8443</v>
      </c>
      <c r="J189" s="298"/>
      <c r="K189" s="259" t="str">
        <f>HYPERLINK("https://okcountyrecords.com/detail/roger+mills/2025-006541","63e8b9a8d056433a9994fe46ca85076b.pdf | OKCountyRecords: 2025-006541")</f>
        <v>63e8b9a8d056433a9994fe46ca85076b.pdf | OKCountyRecords: 2025-006541</v>
      </c>
    </row>
    <row r="190" spans="1:11" s="8" customFormat="1" ht="32.1" customHeight="1" x14ac:dyDescent="0.25">
      <c r="A190" s="277"/>
      <c r="B190" s="264"/>
      <c r="C190" s="264" t="s">
        <v>4045</v>
      </c>
      <c r="D190" s="282" t="s">
        <v>4132</v>
      </c>
      <c r="E190" s="290"/>
      <c r="F190" s="294">
        <v>45975</v>
      </c>
      <c r="G190" s="286" t="s">
        <v>4133</v>
      </c>
      <c r="H190" s="264" t="s">
        <v>3959</v>
      </c>
      <c r="I190" s="265" t="s">
        <v>5615</v>
      </c>
      <c r="J190" s="298"/>
      <c r="K190" s="259" t="str">
        <f>HYPERLINK("https://okcountyrecords.com/detail/roger+mills/2025-006986","63e8b9a8d056433a9994fe46ca85076b.pdf | OKCountyRecords: 2025-006986")</f>
        <v>63e8b9a8d056433a9994fe46ca85076b.pdf | OKCountyRecords: 2025-006986</v>
      </c>
    </row>
    <row r="191" spans="1:11" s="8" customFormat="1" ht="32.1" customHeight="1" x14ac:dyDescent="0.25">
      <c r="A191" s="277"/>
      <c r="B191" s="264"/>
      <c r="C191" s="264" t="s">
        <v>4633</v>
      </c>
      <c r="D191" s="282" t="s">
        <v>4457</v>
      </c>
      <c r="E191" s="290"/>
      <c r="F191" s="294">
        <v>45975</v>
      </c>
      <c r="G191" s="286" t="s">
        <v>3959</v>
      </c>
      <c r="H191" s="264" t="s">
        <v>4636</v>
      </c>
      <c r="I191" s="265" t="s">
        <v>5615</v>
      </c>
      <c r="J191" s="298"/>
      <c r="K191" s="259" t="str">
        <f>HYPERLINK("https://okcountyrecords.com/detail/roger+mills/2025-006987","63e8b9a8d056433a9994fe46ca85076b.pdf | OKCountyRecords: 2025-006987")</f>
        <v>63e8b9a8d056433a9994fe46ca85076b.pdf | OKCountyRecords: 2025-006987</v>
      </c>
    </row>
    <row r="192" spans="1:11" s="8" customFormat="1" ht="32.1" customHeight="1" x14ac:dyDescent="0.25">
      <c r="A192" s="277"/>
      <c r="B192" s="264"/>
      <c r="C192" s="264" t="s">
        <v>2441</v>
      </c>
      <c r="D192" s="282" t="s">
        <v>8169</v>
      </c>
      <c r="E192" s="290"/>
      <c r="F192" s="294">
        <v>46052</v>
      </c>
      <c r="G192" s="286" t="s">
        <v>8444</v>
      </c>
      <c r="H192" s="264" t="s">
        <v>1110</v>
      </c>
      <c r="I192" s="265" t="s">
        <v>8445</v>
      </c>
      <c r="J192" s="298"/>
      <c r="K192" s="259" t="str">
        <f>HYPERLINK("https://okcountyrecords.com/detail/roger+mills/2026-000506","63e8b9a8d056433a9994fe46ca85076b.pdf | OKCountyRecords: 2026-000506")</f>
        <v>63e8b9a8d056433a9994fe46ca85076b.pdf | OKCountyRecords: 2026-000506</v>
      </c>
    </row>
    <row r="193" spans="1:11" s="8" customFormat="1" ht="32.1" customHeight="1" x14ac:dyDescent="0.25">
      <c r="A193" s="277"/>
      <c r="B193" s="264"/>
      <c r="C193" s="264" t="s">
        <v>1623</v>
      </c>
      <c r="D193" s="282" t="s">
        <v>4383</v>
      </c>
      <c r="E193" s="290"/>
      <c r="F193" s="294">
        <v>46062</v>
      </c>
      <c r="G193" s="286" t="s">
        <v>3966</v>
      </c>
      <c r="H193" s="264" t="s">
        <v>3967</v>
      </c>
      <c r="I193" s="265" t="s">
        <v>8399</v>
      </c>
      <c r="J193" s="298"/>
      <c r="K193" s="259" t="str">
        <f>HYPERLINK("https://okcountyrecords.com/detail/roger+mills/2026-000691","OKCountyRecords: 2026-000691")</f>
        <v>OKCountyRecords: 2026-000691</v>
      </c>
    </row>
    <row r="194" spans="1:11" s="8" customFormat="1" ht="32.1" customHeight="1" x14ac:dyDescent="0.25">
      <c r="A194" s="277"/>
      <c r="B194" s="264"/>
      <c r="C194" s="264" t="s">
        <v>1623</v>
      </c>
      <c r="D194" s="282" t="s">
        <v>4384</v>
      </c>
      <c r="E194" s="290"/>
      <c r="F194" s="294">
        <v>46092</v>
      </c>
      <c r="G194" s="286" t="s">
        <v>3971</v>
      </c>
      <c r="H194" s="264" t="s">
        <v>3972</v>
      </c>
      <c r="I194" s="265" t="s">
        <v>8432</v>
      </c>
      <c r="J194" s="298"/>
      <c r="K194" s="259" t="str">
        <f>HYPERLINK("https://okcountyrecords.com/detail/roger+mills/2026-001374","OKCountyRecords: 2026-001374")</f>
        <v>OKCountyRecords: 2026-001374</v>
      </c>
    </row>
    <row r="195" spans="1:11" s="8" customFormat="1" ht="32.1" customHeight="1" x14ac:dyDescent="0.25">
      <c r="A195" s="277"/>
      <c r="B195" s="264"/>
      <c r="C195" s="264" t="s">
        <v>1107</v>
      </c>
      <c r="D195" s="282" t="s">
        <v>8181</v>
      </c>
      <c r="E195" s="290"/>
      <c r="F195" s="294">
        <v>46119</v>
      </c>
      <c r="G195" s="286" t="s">
        <v>8446</v>
      </c>
      <c r="H195" s="264" t="s">
        <v>1110</v>
      </c>
      <c r="I195" s="265" t="s">
        <v>8447</v>
      </c>
      <c r="J195" s="298"/>
      <c r="K195" s="259" t="str">
        <f>HYPERLINK("https://okcountyrecords.com/detail/roger+mills/2026-001865","63e8b9a8d056433a9994fe46ca85076b.pdf | OKCountyRecords: 2026-001865")</f>
        <v>63e8b9a8d056433a9994fe46ca85076b.pdf | OKCountyRecords: 2026-001865</v>
      </c>
    </row>
    <row r="196" spans="1:11" s="8" customFormat="1" ht="32.1" customHeight="1" x14ac:dyDescent="0.25">
      <c r="A196" s="277"/>
      <c r="B196" s="264"/>
      <c r="C196" s="264" t="s">
        <v>1107</v>
      </c>
      <c r="D196" s="282" t="s">
        <v>5787</v>
      </c>
      <c r="E196" s="290"/>
      <c r="F196" s="294">
        <v>46119</v>
      </c>
      <c r="G196" s="286" t="s">
        <v>8446</v>
      </c>
      <c r="H196" s="264" t="s">
        <v>1110</v>
      </c>
      <c r="I196" s="265" t="s">
        <v>8445</v>
      </c>
      <c r="J196" s="298"/>
      <c r="K196" s="259" t="str">
        <f>HYPERLINK("https://okcountyrecords.com/detail/roger+mills/2026-001884","63e8b9a8d056433a9994fe46ca85076b.pdf | OKCountyRecords: 2026-001884")</f>
        <v>63e8b9a8d056433a9994fe46ca85076b.pdf | OKCountyRecords: 2026-001884</v>
      </c>
    </row>
    <row r="197" spans="1:11" s="8" customFormat="1" ht="32.1" customHeight="1" x14ac:dyDescent="0.25">
      <c r="A197" s="277"/>
      <c r="B197" s="264"/>
      <c r="C197" s="264" t="s">
        <v>309</v>
      </c>
      <c r="D197" s="282" t="s">
        <v>27</v>
      </c>
      <c r="E197" s="290"/>
      <c r="F197" s="294">
        <v>46122</v>
      </c>
      <c r="G197" s="286" t="s">
        <v>8448</v>
      </c>
      <c r="H197" s="264" t="s">
        <v>740</v>
      </c>
      <c r="I197" s="265" t="s">
        <v>4660</v>
      </c>
      <c r="J197" s="298" t="s">
        <v>4665</v>
      </c>
      <c r="K197" s="259" t="str">
        <f>HYPERLINK("https://okcountyrecords.com/detail/roger+mills/2026-001952/35274563","OKCountyRecords: 2026-001952")</f>
        <v>OKCountyRecords: 2026-001952</v>
      </c>
    </row>
    <row r="198" spans="1:11" s="8" customFormat="1" ht="32.1" customHeight="1" x14ac:dyDescent="0.25">
      <c r="A198" s="277"/>
      <c r="B198" s="264"/>
      <c r="C198" s="264" t="s">
        <v>309</v>
      </c>
      <c r="D198" s="282" t="s">
        <v>17</v>
      </c>
      <c r="E198" s="290"/>
      <c r="F198" s="294">
        <v>46122</v>
      </c>
      <c r="G198" s="286" t="s">
        <v>8449</v>
      </c>
      <c r="H198" s="264" t="s">
        <v>740</v>
      </c>
      <c r="I198" s="265" t="s">
        <v>4620</v>
      </c>
      <c r="J198" s="298" t="s">
        <v>4665</v>
      </c>
      <c r="K198" s="259" t="str">
        <f>HYPERLINK("https://okcountyrecords.com/detail/roger+mills/2026-001949/35274564","OKCountyRecords: 2026-001949")</f>
        <v>OKCountyRecords: 2026-001949</v>
      </c>
    </row>
    <row r="199" spans="1:11" s="8" customFormat="1" ht="32.1" customHeight="1" x14ac:dyDescent="0.25">
      <c r="A199" s="277"/>
      <c r="B199" s="264"/>
      <c r="C199" s="264" t="s">
        <v>309</v>
      </c>
      <c r="D199" s="282" t="s">
        <v>30</v>
      </c>
      <c r="E199" s="290"/>
      <c r="F199" s="294">
        <v>46122</v>
      </c>
      <c r="G199" s="286" t="s">
        <v>8450</v>
      </c>
      <c r="H199" s="264" t="s">
        <v>740</v>
      </c>
      <c r="I199" s="265" t="s">
        <v>4660</v>
      </c>
      <c r="J199" s="298" t="s">
        <v>4665</v>
      </c>
      <c r="K199" s="259" t="str">
        <f>HYPERLINK("https://okcountyrecords.com/detail/roger+mills/2026-001951/35274565","OKCountyRecords: 2026-001951")</f>
        <v>OKCountyRecords: 2026-001951</v>
      </c>
    </row>
    <row r="200" spans="1:11" s="8" customFormat="1" ht="32.1" customHeight="1" x14ac:dyDescent="0.25">
      <c r="A200" s="277"/>
      <c r="B200" s="264"/>
      <c r="C200" s="264" t="s">
        <v>3379</v>
      </c>
      <c r="D200" s="282" t="s">
        <v>4644</v>
      </c>
      <c r="E200" s="290"/>
      <c r="F200" s="294">
        <v>46143</v>
      </c>
      <c r="G200" s="286" t="s">
        <v>482</v>
      </c>
      <c r="H200" s="264" t="s">
        <v>5571</v>
      </c>
      <c r="I200" s="265" t="s">
        <v>308</v>
      </c>
      <c r="J200" s="298" t="s">
        <v>4647</v>
      </c>
      <c r="K200" s="259" t="str">
        <f>HYPERLINK("https://okcountyrecords.com/detail/roger+mills/2026-002509/35346709","OKCountyRecords: 2026-002509")</f>
        <v>OKCountyRecords: 2026-002509</v>
      </c>
    </row>
    <row r="201" spans="1:11" s="8" customFormat="1" ht="32.1" customHeight="1" x14ac:dyDescent="0.25">
      <c r="A201" s="277"/>
      <c r="B201" s="264"/>
      <c r="C201" s="264" t="s">
        <v>309</v>
      </c>
      <c r="D201" s="282" t="s">
        <v>20</v>
      </c>
      <c r="E201" s="290"/>
      <c r="F201" s="294">
        <v>46143</v>
      </c>
      <c r="G201" s="286" t="s">
        <v>8451</v>
      </c>
      <c r="H201" s="264" t="s">
        <v>733</v>
      </c>
      <c r="I201" s="265" t="s">
        <v>4660</v>
      </c>
      <c r="J201" s="298" t="s">
        <v>4665</v>
      </c>
      <c r="K201" s="259" t="str">
        <f>HYPERLINK("https://okcountyrecords.com/detail/roger+mills/2026-002511/35346711","OKCountyRecords: 2026-002511")</f>
        <v>OKCountyRecords: 2026-002511</v>
      </c>
    </row>
    <row r="202" spans="1:11" s="8" customFormat="1" ht="32.1" customHeight="1" x14ac:dyDescent="0.25">
      <c r="A202" s="277"/>
      <c r="B202" s="264"/>
      <c r="C202" s="264" t="s">
        <v>1107</v>
      </c>
      <c r="D202" s="282" t="s">
        <v>4658</v>
      </c>
      <c r="E202" s="290"/>
      <c r="F202" s="294">
        <v>46143</v>
      </c>
      <c r="G202" s="286" t="s">
        <v>8452</v>
      </c>
      <c r="H202" s="264" t="s">
        <v>1110</v>
      </c>
      <c r="I202" s="265" t="s">
        <v>4660</v>
      </c>
      <c r="J202" s="298" t="s">
        <v>4661</v>
      </c>
      <c r="K202" s="259" t="str">
        <f>HYPERLINK("https://okcountyrecords.com/detail/roger+mills/2026-002510/35346713","OKCountyRecords: 2026-002510")</f>
        <v>OKCountyRecords: 2026-002510</v>
      </c>
    </row>
    <row r="203" spans="1:11" s="8" customFormat="1" ht="32.1" customHeight="1" x14ac:dyDescent="0.25">
      <c r="A203" s="277"/>
      <c r="B203" s="264"/>
      <c r="C203" s="264" t="s">
        <v>4633</v>
      </c>
      <c r="D203" s="282" t="s">
        <v>4634</v>
      </c>
      <c r="E203" s="290"/>
      <c r="F203" s="294">
        <v>46146</v>
      </c>
      <c r="G203" s="286" t="s">
        <v>4636</v>
      </c>
      <c r="H203" s="264" t="s">
        <v>8453</v>
      </c>
      <c r="I203" s="265" t="s">
        <v>8454</v>
      </c>
      <c r="J203" s="298"/>
      <c r="K203" s="259" t="str">
        <f>HYPERLINK("https://okcountyrecords.com/detail/roger+mills/2026-002547/35349405","OKCountyRecords: 2026-002547")</f>
        <v>OKCountyRecords: 2026-002547</v>
      </c>
    </row>
    <row r="204" spans="1:11" s="8" customFormat="1" ht="32.1" customHeight="1" x14ac:dyDescent="0.25">
      <c r="A204" s="277"/>
      <c r="B204" s="264"/>
      <c r="C204" s="264" t="s">
        <v>3730</v>
      </c>
      <c r="D204" s="282" t="s">
        <v>5616</v>
      </c>
      <c r="E204" s="290"/>
      <c r="F204" s="294">
        <v>46160</v>
      </c>
      <c r="G204" s="286" t="s">
        <v>5617</v>
      </c>
      <c r="H204" s="264" t="s">
        <v>1110</v>
      </c>
      <c r="I204" s="265" t="s">
        <v>4018</v>
      </c>
      <c r="J204" s="298"/>
      <c r="K204" s="259" t="str">
        <f>HYPERLINK("https://okcountyrecords.com/search/roger%20mills","OKCountyRecords search: Change of Address 2700/0268")</f>
        <v>OKCountyRecords search: Change of Address 2700/0268</v>
      </c>
    </row>
    <row r="205" spans="1:11" s="8" customFormat="1" ht="32.1" customHeight="1" x14ac:dyDescent="0.25">
      <c r="A205" s="277"/>
      <c r="B205" s="264"/>
      <c r="C205" s="264" t="s">
        <v>309</v>
      </c>
      <c r="D205" s="282" t="s">
        <v>12</v>
      </c>
      <c r="E205" s="290"/>
      <c r="F205" s="294">
        <v>46170</v>
      </c>
      <c r="G205" s="286" t="s">
        <v>8455</v>
      </c>
      <c r="H205" s="264" t="s">
        <v>733</v>
      </c>
      <c r="I205" s="265" t="s">
        <v>4620</v>
      </c>
      <c r="J205" s="298" t="s">
        <v>4621</v>
      </c>
      <c r="K205" s="259" t="str">
        <f>HYPERLINK("https://okcountyrecords.com/detail/roger+mills/2026-003145/35404151","OKCountyRecords: 2026-003145")</f>
        <v>OKCountyRecords: 2026-003145</v>
      </c>
    </row>
    <row r="206" spans="1:11" s="8" customFormat="1" ht="32.1" customHeight="1" x14ac:dyDescent="0.25">
      <c r="A206" s="278"/>
      <c r="B206" s="266"/>
      <c r="C206" s="266" t="s">
        <v>969</v>
      </c>
      <c r="D206" s="283" t="s">
        <v>4339</v>
      </c>
      <c r="E206" s="291"/>
      <c r="F206" s="295">
        <v>2063</v>
      </c>
      <c r="G206" s="287" t="s">
        <v>971</v>
      </c>
      <c r="H206" s="266" t="s">
        <v>972</v>
      </c>
      <c r="I206" s="268" t="s">
        <v>313</v>
      </c>
      <c r="J206" s="299"/>
      <c r="K206" s="259" t="str">
        <f>HYPERLINK("https://okcountyrecords.com/detail/roger+mills/1905-000429","OKCountyRecords: 1905-000429")</f>
        <v>OKCountyRecords: 1905-000429</v>
      </c>
    </row>
    <row r="207" spans="1:11" s="8" customFormat="1" ht="32.1" customHeight="1" x14ac:dyDescent="0.25">
      <c r="A207" s="278"/>
      <c r="B207" s="266"/>
      <c r="C207" s="266" t="s">
        <v>963</v>
      </c>
      <c r="D207" s="283" t="s">
        <v>5618</v>
      </c>
      <c r="E207" s="291"/>
      <c r="F207" s="295">
        <v>2063</v>
      </c>
      <c r="G207" s="287" t="s">
        <v>965</v>
      </c>
      <c r="H207" s="266" t="s">
        <v>966</v>
      </c>
      <c r="I207" s="268" t="s">
        <v>313</v>
      </c>
      <c r="J207" s="299"/>
      <c r="K207" s="259" t="str">
        <f>HYPERLINK("https://okcountyrecords.com/search/roger%20mills","OKCountyRecords search: Homestead FR0001/0470")</f>
        <v>OKCountyRecords search: Homestead FR0001/0470</v>
      </c>
    </row>
    <row r="208" spans="1:11" s="8" customFormat="1" ht="32.1" customHeight="1" x14ac:dyDescent="0.25">
      <c r="A208" s="278"/>
      <c r="B208" s="266"/>
      <c r="C208" s="266" t="s">
        <v>969</v>
      </c>
      <c r="D208" s="283" t="s">
        <v>4423</v>
      </c>
      <c r="E208" s="291"/>
      <c r="F208" s="295">
        <v>2601</v>
      </c>
      <c r="G208" s="287" t="s">
        <v>976</v>
      </c>
      <c r="H208" s="266" t="s">
        <v>977</v>
      </c>
      <c r="I208" s="268" t="s">
        <v>313</v>
      </c>
      <c r="J208" s="299"/>
      <c r="K208" s="259" t="str">
        <f>HYPERLINK("https://okcountyrecords.com/detail/roger+mills/1907-000709","OKCountyRecords: 1907-000709")</f>
        <v>OKCountyRecords: 1907-000709</v>
      </c>
    </row>
    <row r="209" spans="1:11" s="8" customFormat="1" ht="32.1" customHeight="1" x14ac:dyDescent="0.25">
      <c r="A209" s="278"/>
      <c r="B209" s="266"/>
      <c r="C209" s="266" t="s">
        <v>963</v>
      </c>
      <c r="D209" s="283" t="s">
        <v>5619</v>
      </c>
      <c r="E209" s="291"/>
      <c r="F209" s="295">
        <v>2601</v>
      </c>
      <c r="G209" s="287" t="s">
        <v>965</v>
      </c>
      <c r="H209" s="266" t="s">
        <v>979</v>
      </c>
      <c r="I209" s="268" t="s">
        <v>313</v>
      </c>
      <c r="J209" s="299"/>
      <c r="K209" s="259" t="str">
        <f>HYPERLINK("https://okcountyrecords.com/search/roger%20mills","OKCountyRecords search: Homestead FR0002/0199")</f>
        <v>OKCountyRecords search: Homestead FR0002/0199</v>
      </c>
    </row>
    <row r="210" spans="1:11" s="8" customFormat="1" ht="32.1" customHeight="1" x14ac:dyDescent="0.25">
      <c r="A210" s="278"/>
      <c r="B210" s="266"/>
      <c r="C210" s="266" t="s">
        <v>981</v>
      </c>
      <c r="D210" s="283" t="s">
        <v>5620</v>
      </c>
      <c r="E210" s="291"/>
      <c r="F210" s="295">
        <v>2752</v>
      </c>
      <c r="G210" s="287" t="s">
        <v>983</v>
      </c>
      <c r="H210" s="266" t="s">
        <v>971</v>
      </c>
      <c r="I210" s="268" t="s">
        <v>313</v>
      </c>
      <c r="J210" s="299"/>
      <c r="K210" s="259" t="str">
        <f>HYPERLINK("https://okcountyrecords.com/detail/roger+mills/1907-005379","OKCountyRecords: 1907-005379")</f>
        <v>OKCountyRecords: 1907-005379</v>
      </c>
    </row>
    <row r="211" spans="1:11" s="8" customFormat="1" ht="32.1" customHeight="1" x14ac:dyDescent="0.25">
      <c r="A211" s="278"/>
      <c r="B211" s="266"/>
      <c r="C211" s="266" t="s">
        <v>963</v>
      </c>
      <c r="D211" s="283" t="s">
        <v>5621</v>
      </c>
      <c r="E211" s="291"/>
      <c r="F211" s="295">
        <v>2754</v>
      </c>
      <c r="G211" s="287" t="s">
        <v>965</v>
      </c>
      <c r="H211" s="266" t="s">
        <v>987</v>
      </c>
      <c r="I211" s="268" t="s">
        <v>313</v>
      </c>
      <c r="J211" s="299"/>
      <c r="K211" s="259" t="str">
        <f>HYPERLINK("https://okcountyrecords.com/search/roger%20mills","OKCountyRecords search: Homestead FR0002/0292")</f>
        <v>OKCountyRecords search: Homestead FR0002/0292</v>
      </c>
    </row>
    <row r="212" spans="1:11" s="8" customFormat="1" ht="32.1" customHeight="1" x14ac:dyDescent="0.25">
      <c r="A212" s="278"/>
      <c r="B212" s="266"/>
      <c r="C212" s="266" t="s">
        <v>963</v>
      </c>
      <c r="D212" s="283" t="s">
        <v>5622</v>
      </c>
      <c r="E212" s="291"/>
      <c r="F212" s="295">
        <v>2754</v>
      </c>
      <c r="G212" s="287" t="s">
        <v>965</v>
      </c>
      <c r="H212" s="266" t="s">
        <v>989</v>
      </c>
      <c r="I212" s="268" t="s">
        <v>313</v>
      </c>
      <c r="J212" s="299"/>
      <c r="K212" s="259" t="str">
        <f>HYPERLINK("https://okcountyrecords.com/search/roger%20mills","OKCountyRecords search: Homestead FR0002/0293")</f>
        <v>OKCountyRecords search: Homestead FR0002/0293</v>
      </c>
    </row>
    <row r="213" spans="1:11" s="8" customFormat="1" ht="32.1" customHeight="1" x14ac:dyDescent="0.25">
      <c r="A213" s="278"/>
      <c r="B213" s="266"/>
      <c r="C213" s="266" t="s">
        <v>969</v>
      </c>
      <c r="D213" s="283" t="s">
        <v>5802</v>
      </c>
      <c r="E213" s="291"/>
      <c r="F213" s="295">
        <v>2755</v>
      </c>
      <c r="G213" s="287" t="s">
        <v>314</v>
      </c>
      <c r="H213" s="266" t="s">
        <v>328</v>
      </c>
      <c r="I213" s="268" t="s">
        <v>313</v>
      </c>
      <c r="J213" s="299"/>
      <c r="K213" s="259" t="str">
        <f>HYPERLINK("https://okcountyrecords.com/detail/roger+mills/1907-001545","OKCountyRecords: 1907-001545")</f>
        <v>OKCountyRecords: 1907-001545</v>
      </c>
    </row>
    <row r="214" spans="1:11" s="8" customFormat="1" ht="32.1" customHeight="1" x14ac:dyDescent="0.25">
      <c r="A214" s="278"/>
      <c r="B214" s="266"/>
      <c r="C214" s="266" t="s">
        <v>963</v>
      </c>
      <c r="D214" s="283" t="s">
        <v>5623</v>
      </c>
      <c r="E214" s="291"/>
      <c r="F214" s="295">
        <v>3121</v>
      </c>
      <c r="G214" s="287" t="s">
        <v>965</v>
      </c>
      <c r="H214" s="266" t="s">
        <v>1002</v>
      </c>
      <c r="I214" s="268" t="s">
        <v>308</v>
      </c>
      <c r="J214" s="299"/>
      <c r="K214" s="259" t="str">
        <f>HYPERLINK("https://okcountyrecords.com/search/roger%20mills","OKCountyRecords search: Homestead FR0002/0448")</f>
        <v>OKCountyRecords search: Homestead FR0002/0448</v>
      </c>
    </row>
    <row r="215" spans="1:11" s="8" customFormat="1" ht="32.1" customHeight="1" x14ac:dyDescent="0.25">
      <c r="A215" s="278"/>
      <c r="B215" s="266"/>
      <c r="C215" s="266" t="s">
        <v>969</v>
      </c>
      <c r="D215" s="283" t="s">
        <v>4424</v>
      </c>
      <c r="E215" s="291"/>
      <c r="F215" s="295">
        <v>3189</v>
      </c>
      <c r="G215" s="287" t="s">
        <v>1006</v>
      </c>
      <c r="H215" s="266" t="s">
        <v>1007</v>
      </c>
      <c r="I215" s="268" t="s">
        <v>308</v>
      </c>
      <c r="J215" s="299"/>
      <c r="K215" s="259" t="str">
        <f>HYPERLINK("https://okcountyrecords.com/detail/roger+mills/1908-000607","OKCountyRecords: 1908-000607")</f>
        <v>OKCountyRecords: 1908-000607</v>
      </c>
    </row>
    <row r="216" spans="1:11" s="8" customFormat="1" ht="32.1" customHeight="1" x14ac:dyDescent="0.25">
      <c r="A216" s="278"/>
      <c r="B216" s="266"/>
      <c r="C216" s="266" t="s">
        <v>981</v>
      </c>
      <c r="D216" s="283" t="s">
        <v>5624</v>
      </c>
      <c r="E216" s="291"/>
      <c r="F216" s="295">
        <v>3652</v>
      </c>
      <c r="G216" s="287" t="s">
        <v>983</v>
      </c>
      <c r="H216" s="266" t="s">
        <v>989</v>
      </c>
      <c r="I216" s="268" t="s">
        <v>313</v>
      </c>
      <c r="J216" s="299"/>
      <c r="K216" s="259" t="str">
        <f>HYPERLINK("https://okcountyrecords.com/detail/roger+mills/1909-002932","OKCountyRecords: 1909-002932")</f>
        <v>OKCountyRecords: 1909-002932</v>
      </c>
    </row>
    <row r="217" spans="1:11" s="8" customFormat="1" ht="32.1" customHeight="1" x14ac:dyDescent="0.25">
      <c r="A217" s="278"/>
      <c r="B217" s="266"/>
      <c r="C217" s="266" t="s">
        <v>969</v>
      </c>
      <c r="D217" s="283" t="s">
        <v>5830</v>
      </c>
      <c r="E217" s="291"/>
      <c r="F217" s="295">
        <v>4759</v>
      </c>
      <c r="G217" s="287" t="s">
        <v>1030</v>
      </c>
      <c r="H217" s="266" t="s">
        <v>317</v>
      </c>
      <c r="I217" s="268" t="s">
        <v>313</v>
      </c>
      <c r="J217" s="299"/>
      <c r="K217" s="259" t="str">
        <f>HYPERLINK("https://okcountyrecords.com/detail/roger+mills/1913-000413","OKCountyRecords: 1913-000413")</f>
        <v>OKCountyRecords: 1913-000413</v>
      </c>
    </row>
    <row r="218" spans="1:11" s="8" customFormat="1" ht="32.1" customHeight="1" x14ac:dyDescent="0.25">
      <c r="A218" s="278"/>
      <c r="B218" s="266"/>
      <c r="C218" s="266" t="s">
        <v>969</v>
      </c>
      <c r="D218" s="283" t="s">
        <v>5858</v>
      </c>
      <c r="E218" s="291"/>
      <c r="F218" s="295">
        <v>5925</v>
      </c>
      <c r="G218" s="287" t="s">
        <v>1061</v>
      </c>
      <c r="H218" s="266" t="s">
        <v>1062</v>
      </c>
      <c r="I218" s="268" t="s">
        <v>308</v>
      </c>
      <c r="J218" s="299"/>
      <c r="K218" s="259" t="str">
        <f>HYPERLINK("https://okcountyrecords.com/detail/roger+mills/1916-000332","OKCountyRecords: 1916-000332")</f>
        <v>OKCountyRecords: 1916-000332</v>
      </c>
    </row>
    <row r="219" spans="1:11" s="8" customFormat="1" ht="32.1" customHeight="1" x14ac:dyDescent="0.25">
      <c r="A219" s="278"/>
      <c r="B219" s="266"/>
      <c r="C219" s="266" t="s">
        <v>969</v>
      </c>
      <c r="D219" s="283" t="s">
        <v>5883</v>
      </c>
      <c r="E219" s="291"/>
      <c r="F219" s="295">
        <v>6887</v>
      </c>
      <c r="G219" s="287" t="s">
        <v>314</v>
      </c>
      <c r="H219" s="266" t="s">
        <v>1086</v>
      </c>
      <c r="I219" s="268" t="s">
        <v>313</v>
      </c>
      <c r="J219" s="299"/>
      <c r="K219" s="259" t="str">
        <f>HYPERLINK("https://okcountyrecords.com/detail/roger+mills/1918-000943","OKCountyRecords: 1918-000943")</f>
        <v>OKCountyRecords: 1918-000943</v>
      </c>
    </row>
    <row r="220" spans="1:11" s="8" customFormat="1" ht="32.1" customHeight="1" x14ac:dyDescent="0.25">
      <c r="A220" s="278"/>
      <c r="B220" s="266"/>
      <c r="C220" s="266" t="s">
        <v>969</v>
      </c>
      <c r="D220" s="283" t="s">
        <v>4425</v>
      </c>
      <c r="E220" s="291"/>
      <c r="F220" s="295">
        <v>7291</v>
      </c>
      <c r="G220" s="287" t="s">
        <v>1105</v>
      </c>
      <c r="H220" s="266" t="s">
        <v>1094</v>
      </c>
      <c r="I220" s="268" t="s">
        <v>313</v>
      </c>
      <c r="J220" s="299"/>
      <c r="K220" s="259" t="str">
        <f>HYPERLINK("https://okcountyrecords.com/detail/roger+mills/1919-000971","OKCountyRecords: 1919-000971")</f>
        <v>OKCountyRecords: 1919-000971</v>
      </c>
    </row>
    <row r="221" spans="1:11" s="8" customFormat="1" ht="32.1" customHeight="1" x14ac:dyDescent="0.25">
      <c r="A221" s="278"/>
      <c r="B221" s="266"/>
      <c r="C221" s="266" t="s">
        <v>1107</v>
      </c>
      <c r="D221" s="283" t="s">
        <v>5902</v>
      </c>
      <c r="E221" s="291"/>
      <c r="F221" s="295">
        <v>7291</v>
      </c>
      <c r="G221" s="287" t="s">
        <v>1109</v>
      </c>
      <c r="H221" s="266" t="s">
        <v>1110</v>
      </c>
      <c r="I221" s="268" t="s">
        <v>313</v>
      </c>
      <c r="J221" s="299"/>
      <c r="K221" s="259" t="str">
        <f>HYPERLINK("https://okcountyrecords.com/detail/roger+mills/1919-001437","OKCountyRecords: 1919-001437")</f>
        <v>OKCountyRecords: 1919-001437</v>
      </c>
    </row>
    <row r="222" spans="1:11" s="8" customFormat="1" ht="32.1" customHeight="1" x14ac:dyDescent="0.25">
      <c r="A222" s="278"/>
      <c r="B222" s="266"/>
      <c r="C222" s="266" t="s">
        <v>969</v>
      </c>
      <c r="D222" s="283" t="s">
        <v>5921</v>
      </c>
      <c r="E222" s="291"/>
      <c r="F222" s="295">
        <v>7805</v>
      </c>
      <c r="G222" s="287" t="s">
        <v>319</v>
      </c>
      <c r="H222" s="266" t="s">
        <v>1131</v>
      </c>
      <c r="I222" s="268" t="s">
        <v>308</v>
      </c>
      <c r="J222" s="299"/>
      <c r="K222" s="259" t="str">
        <f>HYPERLINK("https://okcountyrecords.com/detail/roger+mills/1921-000501","OKCountyRecords: 1921-000501")</f>
        <v>OKCountyRecords: 1921-000501</v>
      </c>
    </row>
    <row r="223" spans="1:11" s="8" customFormat="1" ht="32.1" customHeight="1" x14ac:dyDescent="0.25">
      <c r="A223" s="278"/>
      <c r="B223" s="266"/>
      <c r="C223" s="266" t="s">
        <v>969</v>
      </c>
      <c r="D223" s="283" t="s">
        <v>5924</v>
      </c>
      <c r="E223" s="291"/>
      <c r="F223" s="295">
        <v>7805</v>
      </c>
      <c r="G223" s="287" t="s">
        <v>1134</v>
      </c>
      <c r="H223" s="266" t="s">
        <v>1135</v>
      </c>
      <c r="I223" s="268" t="s">
        <v>308</v>
      </c>
      <c r="J223" s="299"/>
      <c r="K223" s="259" t="str">
        <f>HYPERLINK("https://okcountyrecords.com/detail/roger+mills/1921-000502","OKCountyRecords: 1921-000502")</f>
        <v>OKCountyRecords: 1921-000502</v>
      </c>
    </row>
    <row r="224" spans="1:11" s="8" customFormat="1" ht="32.1" customHeight="1" x14ac:dyDescent="0.25">
      <c r="A224" s="278"/>
      <c r="B224" s="266"/>
      <c r="C224" s="266" t="s">
        <v>969</v>
      </c>
      <c r="D224" s="283" t="s">
        <v>5932</v>
      </c>
      <c r="E224" s="291"/>
      <c r="F224" s="295">
        <v>8121</v>
      </c>
      <c r="G224" s="287" t="s">
        <v>317</v>
      </c>
      <c r="H224" s="266" t="s">
        <v>1142</v>
      </c>
      <c r="I224" s="268" t="s">
        <v>313</v>
      </c>
      <c r="J224" s="299"/>
      <c r="K224" s="259" t="str">
        <f>HYPERLINK("https://okcountyrecords.com/detail/roger+mills/1922-000463","OKCountyRecords: 1922-000463")</f>
        <v>OKCountyRecords: 1922-000463</v>
      </c>
    </row>
    <row r="225" spans="1:11" s="8" customFormat="1" ht="32.1" customHeight="1" x14ac:dyDescent="0.25">
      <c r="A225" s="278"/>
      <c r="B225" s="266"/>
      <c r="C225" s="266" t="s">
        <v>1107</v>
      </c>
      <c r="D225" s="283" t="s">
        <v>5946</v>
      </c>
      <c r="E225" s="291"/>
      <c r="F225" s="295">
        <v>8518</v>
      </c>
      <c r="G225" s="287" t="s">
        <v>1154</v>
      </c>
      <c r="H225" s="266" t="s">
        <v>1110</v>
      </c>
      <c r="I225" s="268" t="s">
        <v>313</v>
      </c>
      <c r="J225" s="299"/>
      <c r="K225" s="259" t="str">
        <f>HYPERLINK("https://okcountyrecords.com/detail/roger+mills/1923-001306","OKCountyRecords: 1923-001306")</f>
        <v>OKCountyRecords: 1923-001306</v>
      </c>
    </row>
    <row r="226" spans="1:11" s="8" customFormat="1" ht="32.1" customHeight="1" x14ac:dyDescent="0.25">
      <c r="A226" s="278"/>
      <c r="B226" s="266"/>
      <c r="C226" s="266" t="s">
        <v>969</v>
      </c>
      <c r="D226" s="283" t="s">
        <v>5949</v>
      </c>
      <c r="E226" s="291"/>
      <c r="F226" s="295">
        <v>9137</v>
      </c>
      <c r="G226" s="287" t="s">
        <v>1157</v>
      </c>
      <c r="H226" s="266" t="s">
        <v>1158</v>
      </c>
      <c r="I226" s="268" t="s">
        <v>313</v>
      </c>
      <c r="J226" s="299"/>
      <c r="K226" s="259" t="str">
        <f>HYPERLINK("https://okcountyrecords.com/detail/roger+mills/1925-000406","OKCountyRecords: 1925-000406")</f>
        <v>OKCountyRecords: 1925-000406</v>
      </c>
    </row>
    <row r="227" spans="1:11" s="8" customFormat="1" ht="32.1" customHeight="1" x14ac:dyDescent="0.25">
      <c r="A227" s="278"/>
      <c r="B227" s="266"/>
      <c r="C227" s="266" t="s">
        <v>969</v>
      </c>
      <c r="D227" s="283" t="s">
        <v>4340</v>
      </c>
      <c r="E227" s="291"/>
      <c r="F227" s="295">
        <v>10077</v>
      </c>
      <c r="G227" s="287" t="s">
        <v>328</v>
      </c>
      <c r="H227" s="266" t="s">
        <v>8456</v>
      </c>
      <c r="I227" s="268" t="s">
        <v>313</v>
      </c>
      <c r="J227" s="299"/>
      <c r="K227" s="259" t="str">
        <f>HYPERLINK("https://okcountyrecords.com/detail/roger+mills/1927-000706","OKCountyRecords: 1927-000706")</f>
        <v>OKCountyRecords: 1927-000706</v>
      </c>
    </row>
    <row r="228" spans="1:11" s="8" customFormat="1" ht="32.1" customHeight="1" x14ac:dyDescent="0.25">
      <c r="A228" s="278"/>
      <c r="B228" s="266"/>
      <c r="C228" s="266" t="s">
        <v>969</v>
      </c>
      <c r="D228" s="283" t="s">
        <v>5957</v>
      </c>
      <c r="E228" s="291"/>
      <c r="F228" s="295">
        <v>10077</v>
      </c>
      <c r="G228" s="287" t="s">
        <v>1167</v>
      </c>
      <c r="H228" s="266" t="s">
        <v>8457</v>
      </c>
      <c r="I228" s="268" t="s">
        <v>313</v>
      </c>
      <c r="J228" s="299"/>
      <c r="K228" s="259" t="str">
        <f>HYPERLINK("https://okcountyrecords.com/detail/roger+mills/1927-000712","OKCountyRecords: 1927-000712")</f>
        <v>OKCountyRecords: 1927-000712</v>
      </c>
    </row>
    <row r="229" spans="1:11" s="8" customFormat="1" ht="32.1" customHeight="1" x14ac:dyDescent="0.25">
      <c r="A229" s="278"/>
      <c r="B229" s="266"/>
      <c r="C229" s="266" t="s">
        <v>981</v>
      </c>
      <c r="D229" s="283" t="s">
        <v>5625</v>
      </c>
      <c r="E229" s="291"/>
      <c r="F229" s="295">
        <v>11021</v>
      </c>
      <c r="G229" s="287" t="s">
        <v>983</v>
      </c>
      <c r="H229" s="266" t="s">
        <v>1002</v>
      </c>
      <c r="I229" s="268" t="s">
        <v>308</v>
      </c>
      <c r="J229" s="299"/>
      <c r="K229" s="259" t="str">
        <f>HYPERLINK("https://okcountyrecords.com/detail/roger+mills/1930-002914","OKCountyRecords: 1930-002914")</f>
        <v>OKCountyRecords: 1930-002914</v>
      </c>
    </row>
    <row r="230" spans="1:11" s="8" customFormat="1" ht="32.1" customHeight="1" x14ac:dyDescent="0.25">
      <c r="A230" s="278"/>
      <c r="B230" s="266"/>
      <c r="C230" s="266" t="s">
        <v>969</v>
      </c>
      <c r="D230" s="283" t="s">
        <v>6012</v>
      </c>
      <c r="E230" s="291"/>
      <c r="F230" s="295">
        <v>11394</v>
      </c>
      <c r="G230" s="287" t="s">
        <v>1215</v>
      </c>
      <c r="H230" s="266" t="s">
        <v>1216</v>
      </c>
      <c r="I230" s="268" t="s">
        <v>313</v>
      </c>
      <c r="J230" s="299"/>
      <c r="K230" s="259" t="str">
        <f>HYPERLINK("https://okcountyrecords.com/detail/roger+mills/1931-000573","OKCountyRecords: 1931-000573")</f>
        <v>OKCountyRecords: 1931-000573</v>
      </c>
    </row>
    <row r="231" spans="1:11" s="8" customFormat="1" ht="32.1" customHeight="1" x14ac:dyDescent="0.25">
      <c r="A231" s="278"/>
      <c r="B231" s="266"/>
      <c r="C231" s="266" t="s">
        <v>981</v>
      </c>
      <c r="D231" s="283" t="s">
        <v>5626</v>
      </c>
      <c r="E231" s="291"/>
      <c r="F231" s="295">
        <v>11450</v>
      </c>
      <c r="G231" s="287" t="s">
        <v>983</v>
      </c>
      <c r="H231" s="266" t="s">
        <v>1222</v>
      </c>
      <c r="I231" s="268" t="s">
        <v>313</v>
      </c>
      <c r="J231" s="299"/>
      <c r="K231" s="259" t="str">
        <f>HYPERLINK("https://okcountyrecords.com/detail/roger+mills/1931-001789","OKCountyRecords: 1931-001789")</f>
        <v>OKCountyRecords: 1931-001789</v>
      </c>
    </row>
    <row r="232" spans="1:11" s="8" customFormat="1" ht="32.1" customHeight="1" x14ac:dyDescent="0.25">
      <c r="A232" s="278"/>
      <c r="B232" s="266"/>
      <c r="C232" s="266" t="s">
        <v>969</v>
      </c>
      <c r="D232" s="283" t="s">
        <v>6021</v>
      </c>
      <c r="E232" s="291"/>
      <c r="F232" s="295">
        <v>11578</v>
      </c>
      <c r="G232" s="287" t="s">
        <v>1225</v>
      </c>
      <c r="H232" s="266" t="s">
        <v>1226</v>
      </c>
      <c r="I232" s="268" t="s">
        <v>313</v>
      </c>
      <c r="J232" s="299"/>
      <c r="K232" s="259" t="str">
        <f>HYPERLINK("https://okcountyrecords.com/detail/roger+mills/1931-000994","OKCountyRecords: 1931-000994")</f>
        <v>OKCountyRecords: 1931-000994</v>
      </c>
    </row>
    <row r="233" spans="1:11" s="8" customFormat="1" ht="32.1" customHeight="1" x14ac:dyDescent="0.25">
      <c r="A233" s="278"/>
      <c r="B233" s="266"/>
      <c r="C233" s="266" t="s">
        <v>969</v>
      </c>
      <c r="D233" s="283" t="s">
        <v>6027</v>
      </c>
      <c r="E233" s="291"/>
      <c r="F233" s="295">
        <v>12035</v>
      </c>
      <c r="G233" s="287" t="s">
        <v>1216</v>
      </c>
      <c r="H233" s="266" t="s">
        <v>1231</v>
      </c>
      <c r="I233" s="268" t="s">
        <v>308</v>
      </c>
      <c r="J233" s="299"/>
      <c r="K233" s="259" t="str">
        <f>HYPERLINK("https://okcountyrecords.com/detail/roger+mills/1932-000511","OKCountyRecords: 1932-000511")</f>
        <v>OKCountyRecords: 1932-000511</v>
      </c>
    </row>
    <row r="234" spans="1:11" s="8" customFormat="1" ht="32.1" customHeight="1" x14ac:dyDescent="0.25">
      <c r="A234" s="278"/>
      <c r="B234" s="266"/>
      <c r="C234" s="266" t="s">
        <v>1274</v>
      </c>
      <c r="D234" s="283" t="s">
        <v>4166</v>
      </c>
      <c r="E234" s="291">
        <v>12655</v>
      </c>
      <c r="F234" s="295">
        <v>38695</v>
      </c>
      <c r="G234" s="287" t="s">
        <v>4196</v>
      </c>
      <c r="H234" s="266" t="s">
        <v>1110</v>
      </c>
      <c r="I234" s="268" t="s">
        <v>4716</v>
      </c>
      <c r="J234" s="299"/>
      <c r="K234" s="259" t="str">
        <f>HYPERLINK("https://okcountyrecords.com/detail/roger+mills/2005-008386","OKCountyRecords: 2005-008386")</f>
        <v>OKCountyRecords: 2005-008386</v>
      </c>
    </row>
    <row r="235" spans="1:11" s="8" customFormat="1" ht="32.1" customHeight="1" x14ac:dyDescent="0.25">
      <c r="A235" s="278"/>
      <c r="B235" s="266"/>
      <c r="C235" s="266" t="s">
        <v>969</v>
      </c>
      <c r="D235" s="283" t="s">
        <v>6036</v>
      </c>
      <c r="E235" s="291"/>
      <c r="F235" s="295">
        <v>12844</v>
      </c>
      <c r="G235" s="287" t="s">
        <v>1239</v>
      </c>
      <c r="H235" s="266" t="s">
        <v>1240</v>
      </c>
      <c r="I235" s="268" t="s">
        <v>308</v>
      </c>
      <c r="J235" s="299"/>
      <c r="K235" s="259" t="str">
        <f>HYPERLINK("https://okcountyrecords.com/detail/roger+mills/1935-000201","OKCountyRecords: 1935-000201")</f>
        <v>OKCountyRecords: 1935-000201</v>
      </c>
    </row>
    <row r="236" spans="1:11" s="8" customFormat="1" ht="32.1" customHeight="1" x14ac:dyDescent="0.25">
      <c r="A236" s="278"/>
      <c r="B236" s="266"/>
      <c r="C236" s="266" t="s">
        <v>969</v>
      </c>
      <c r="D236" s="283" t="s">
        <v>6039</v>
      </c>
      <c r="E236" s="291"/>
      <c r="F236" s="295">
        <v>13121</v>
      </c>
      <c r="G236" s="287" t="s">
        <v>1215</v>
      </c>
      <c r="H236" s="266" t="s">
        <v>1243</v>
      </c>
      <c r="I236" s="268" t="s">
        <v>308</v>
      </c>
      <c r="J236" s="299"/>
      <c r="K236" s="259" t="str">
        <f>HYPERLINK("https://okcountyrecords.com/detail/roger+mills/1935-000554","OKCountyRecords: 1935-000554")</f>
        <v>OKCountyRecords: 1935-000554</v>
      </c>
    </row>
    <row r="237" spans="1:11" s="8" customFormat="1" ht="32.1" customHeight="1" x14ac:dyDescent="0.25">
      <c r="A237" s="278"/>
      <c r="B237" s="266"/>
      <c r="C237" s="266" t="s">
        <v>969</v>
      </c>
      <c r="D237" s="283" t="s">
        <v>6046</v>
      </c>
      <c r="E237" s="291"/>
      <c r="F237" s="295">
        <v>13545</v>
      </c>
      <c r="G237" s="287" t="s">
        <v>1250</v>
      </c>
      <c r="H237" s="266" t="s">
        <v>1243</v>
      </c>
      <c r="I237" s="268" t="s">
        <v>308</v>
      </c>
      <c r="J237" s="299"/>
      <c r="K237" s="259" t="str">
        <f>HYPERLINK("https://okcountyrecords.com/detail/roger+mills/1937-000416","OKCountyRecords: 1937-000416")</f>
        <v>OKCountyRecords: 1937-000416</v>
      </c>
    </row>
    <row r="238" spans="1:11" s="8" customFormat="1" ht="32.1" customHeight="1" x14ac:dyDescent="0.25">
      <c r="A238" s="278"/>
      <c r="B238" s="266"/>
      <c r="C238" s="266" t="s">
        <v>1107</v>
      </c>
      <c r="D238" s="283" t="s">
        <v>6049</v>
      </c>
      <c r="E238" s="291"/>
      <c r="F238" s="295">
        <v>13924</v>
      </c>
      <c r="G238" s="287" t="s">
        <v>1253</v>
      </c>
      <c r="H238" s="266" t="s">
        <v>1110</v>
      </c>
      <c r="I238" s="268" t="s">
        <v>308</v>
      </c>
      <c r="J238" s="299"/>
      <c r="K238" s="259" t="str">
        <f>HYPERLINK("https://okcountyrecords.com/detail/roger+mills/1938-000632","OKCountyRecords: 1938-000632")</f>
        <v>OKCountyRecords: 1938-000632</v>
      </c>
    </row>
    <row r="239" spans="1:11" s="8" customFormat="1" ht="32.1" customHeight="1" x14ac:dyDescent="0.25">
      <c r="A239" s="278"/>
      <c r="B239" s="266"/>
      <c r="C239" s="266" t="s">
        <v>969</v>
      </c>
      <c r="D239" s="283" t="s">
        <v>6055</v>
      </c>
      <c r="E239" s="291"/>
      <c r="F239" s="295">
        <v>14289</v>
      </c>
      <c r="G239" s="287" t="s">
        <v>1260</v>
      </c>
      <c r="H239" s="266" t="s">
        <v>1240</v>
      </c>
      <c r="I239" s="268" t="s">
        <v>313</v>
      </c>
      <c r="J239" s="299"/>
      <c r="K239" s="259" t="str">
        <f>HYPERLINK("https://okcountyrecords.com/detail/roger+mills/1939-001120","OKCountyRecords: 1939-001120")</f>
        <v>OKCountyRecords: 1939-001120</v>
      </c>
    </row>
    <row r="240" spans="1:11" s="8" customFormat="1" ht="32.1" customHeight="1" x14ac:dyDescent="0.25">
      <c r="A240" s="278"/>
      <c r="B240" s="266"/>
      <c r="C240" s="266" t="s">
        <v>1274</v>
      </c>
      <c r="D240" s="283" t="s">
        <v>6072</v>
      </c>
      <c r="E240" s="291"/>
      <c r="F240" s="295">
        <v>15490</v>
      </c>
      <c r="G240" s="287" t="s">
        <v>1276</v>
      </c>
      <c r="H240" s="266" t="s">
        <v>1110</v>
      </c>
      <c r="I240" s="268" t="s">
        <v>308</v>
      </c>
      <c r="J240" s="299"/>
      <c r="K240" s="259" t="str">
        <f>HYPERLINK("https://okcountyrecords.com/detail/roger+mills/1942-000630","OKCountyRecords: 1942-000630")</f>
        <v>OKCountyRecords: 1942-000630</v>
      </c>
    </row>
    <row r="241" spans="1:11" s="8" customFormat="1" ht="32.1" customHeight="1" x14ac:dyDescent="0.25">
      <c r="A241" s="278"/>
      <c r="B241" s="266"/>
      <c r="C241" s="266" t="s">
        <v>1274</v>
      </c>
      <c r="D241" s="283" t="s">
        <v>6078</v>
      </c>
      <c r="E241" s="291"/>
      <c r="F241" s="295">
        <v>16439</v>
      </c>
      <c r="G241" s="287" t="s">
        <v>1282</v>
      </c>
      <c r="H241" s="266" t="s">
        <v>1110</v>
      </c>
      <c r="I241" s="268" t="s">
        <v>313</v>
      </c>
      <c r="J241" s="299"/>
      <c r="K241" s="259" t="str">
        <f>HYPERLINK("https://okcountyrecords.com/detail/roger+mills/1945-000816","OKCountyRecords: 1945-000816")</f>
        <v>OKCountyRecords: 1945-000816</v>
      </c>
    </row>
    <row r="242" spans="1:11" s="8" customFormat="1" ht="32.1" customHeight="1" x14ac:dyDescent="0.25">
      <c r="A242" s="278"/>
      <c r="B242" s="266"/>
      <c r="C242" s="266" t="s">
        <v>969</v>
      </c>
      <c r="D242" s="283" t="s">
        <v>6086</v>
      </c>
      <c r="E242" s="291"/>
      <c r="F242" s="295">
        <v>16508</v>
      </c>
      <c r="G242" s="287" t="s">
        <v>8458</v>
      </c>
      <c r="H242" s="266" t="s">
        <v>1243</v>
      </c>
      <c r="I242" s="268" t="s">
        <v>313</v>
      </c>
      <c r="J242" s="299"/>
      <c r="K242" s="259" t="str">
        <f>HYPERLINK("https://okcountyrecords.com/detail/roger+mills/1945-000171","OKCountyRecords: 1945-000171")</f>
        <v>OKCountyRecords: 1945-000171</v>
      </c>
    </row>
    <row r="243" spans="1:11" s="8" customFormat="1" ht="32.1" customHeight="1" x14ac:dyDescent="0.25">
      <c r="A243" s="278"/>
      <c r="B243" s="266"/>
      <c r="C243" s="266" t="s">
        <v>969</v>
      </c>
      <c r="D243" s="283" t="s">
        <v>6129</v>
      </c>
      <c r="E243" s="291"/>
      <c r="F243" s="295">
        <v>18084</v>
      </c>
      <c r="G243" s="287" t="s">
        <v>1333</v>
      </c>
      <c r="H243" s="266" t="s">
        <v>1324</v>
      </c>
      <c r="I243" s="268" t="s">
        <v>313</v>
      </c>
      <c r="J243" s="299"/>
      <c r="K243" s="259" t="str">
        <f>HYPERLINK("https://okcountyrecords.com/detail/roger+mills/1949-003394","OKCountyRecords: 1949-003394")</f>
        <v>OKCountyRecords: 1949-003394</v>
      </c>
    </row>
    <row r="244" spans="1:11" s="8" customFormat="1" ht="32.1" customHeight="1" x14ac:dyDescent="0.25">
      <c r="A244" s="278"/>
      <c r="B244" s="266"/>
      <c r="C244" s="266" t="s">
        <v>969</v>
      </c>
      <c r="D244" s="283" t="s">
        <v>6132</v>
      </c>
      <c r="E244" s="291"/>
      <c r="F244" s="295">
        <v>18095</v>
      </c>
      <c r="G244" s="287" t="s">
        <v>327</v>
      </c>
      <c r="H244" s="266" t="s">
        <v>353</v>
      </c>
      <c r="I244" s="268" t="s">
        <v>313</v>
      </c>
      <c r="J244" s="299"/>
      <c r="K244" s="259" t="str">
        <f>HYPERLINK("https://okcountyrecords.com/detail/roger+mills/1949-000809","OKCountyRecords: 1949-000809")</f>
        <v>OKCountyRecords: 1949-000809</v>
      </c>
    </row>
    <row r="245" spans="1:11" s="8" customFormat="1" ht="32.1" customHeight="1" x14ac:dyDescent="0.25">
      <c r="A245" s="278"/>
      <c r="B245" s="266"/>
      <c r="C245" s="266" t="s">
        <v>969</v>
      </c>
      <c r="D245" s="283" t="s">
        <v>6135</v>
      </c>
      <c r="E245" s="291"/>
      <c r="F245" s="295">
        <v>18112</v>
      </c>
      <c r="G245" s="287" t="s">
        <v>1338</v>
      </c>
      <c r="H245" s="266" t="s">
        <v>353</v>
      </c>
      <c r="I245" s="268" t="s">
        <v>308</v>
      </c>
      <c r="J245" s="299"/>
      <c r="K245" s="259" t="str">
        <f>HYPERLINK("https://okcountyrecords.com/detail/roger+mills/1949-000814","OKCountyRecords: 1949-000814")</f>
        <v>OKCountyRecords: 1949-000814</v>
      </c>
    </row>
    <row r="246" spans="1:11" s="8" customFormat="1" ht="32.1" customHeight="1" x14ac:dyDescent="0.25">
      <c r="A246" s="278"/>
      <c r="B246" s="266"/>
      <c r="C246" s="266" t="s">
        <v>969</v>
      </c>
      <c r="D246" s="283" t="s">
        <v>6151</v>
      </c>
      <c r="E246" s="291"/>
      <c r="F246" s="295">
        <v>18170</v>
      </c>
      <c r="G246" s="287" t="s">
        <v>335</v>
      </c>
      <c r="H246" s="266" t="s">
        <v>1355</v>
      </c>
      <c r="I246" s="268" t="s">
        <v>308</v>
      </c>
      <c r="J246" s="299"/>
      <c r="K246" s="259" t="str">
        <f>HYPERLINK("https://okcountyrecords.com/detail/roger+mills/1949-001867","OKCountyRecords: 1949-001867")</f>
        <v>OKCountyRecords: 1949-001867</v>
      </c>
    </row>
    <row r="247" spans="1:11" s="8" customFormat="1" ht="32.1" customHeight="1" x14ac:dyDescent="0.25">
      <c r="A247" s="278"/>
      <c r="B247" s="266"/>
      <c r="C247" s="266" t="s">
        <v>969</v>
      </c>
      <c r="D247" s="283" t="s">
        <v>6157</v>
      </c>
      <c r="E247" s="291"/>
      <c r="F247" s="295">
        <v>18420</v>
      </c>
      <c r="G247" s="287" t="s">
        <v>335</v>
      </c>
      <c r="H247" s="266" t="s">
        <v>353</v>
      </c>
      <c r="I247" s="268" t="s">
        <v>308</v>
      </c>
      <c r="J247" s="299"/>
      <c r="K247" s="259" t="str">
        <f>HYPERLINK("https://okcountyrecords.com/detail/roger+mills/1950-000383","OKCountyRecords: 1950-000383")</f>
        <v>OKCountyRecords: 1950-000383</v>
      </c>
    </row>
    <row r="248" spans="1:11" s="8" customFormat="1" ht="32.1" customHeight="1" x14ac:dyDescent="0.25">
      <c r="A248" s="278"/>
      <c r="B248" s="266"/>
      <c r="C248" s="266" t="s">
        <v>969</v>
      </c>
      <c r="D248" s="283" t="s">
        <v>6160</v>
      </c>
      <c r="E248" s="291"/>
      <c r="F248" s="295">
        <v>18680</v>
      </c>
      <c r="G248" s="287" t="s">
        <v>353</v>
      </c>
      <c r="H248" s="266" t="s">
        <v>1363</v>
      </c>
      <c r="I248" s="268" t="s">
        <v>308</v>
      </c>
      <c r="J248" s="299"/>
      <c r="K248" s="259" t="str">
        <f>HYPERLINK("https://okcountyrecords.com/detail/roger+mills/1951-001020","OKCountyRecords: 1951-001020")</f>
        <v>OKCountyRecords: 1951-001020</v>
      </c>
    </row>
    <row r="249" spans="1:11" s="8" customFormat="1" ht="32.1" customHeight="1" x14ac:dyDescent="0.25">
      <c r="A249" s="278"/>
      <c r="B249" s="266"/>
      <c r="C249" s="266" t="s">
        <v>969</v>
      </c>
      <c r="D249" s="283" t="s">
        <v>6168</v>
      </c>
      <c r="E249" s="291"/>
      <c r="F249" s="295">
        <v>19396</v>
      </c>
      <c r="G249" s="287" t="s">
        <v>1372</v>
      </c>
      <c r="H249" s="266" t="s">
        <v>1373</v>
      </c>
      <c r="I249" s="268" t="s">
        <v>308</v>
      </c>
      <c r="J249" s="299"/>
      <c r="K249" s="259" t="str">
        <f>HYPERLINK("https://okcountyrecords.com/detail/roger+mills/1953-000493","OKCountyRecords: 1953-000493")</f>
        <v>OKCountyRecords: 1953-000493</v>
      </c>
    </row>
    <row r="250" spans="1:11" s="8" customFormat="1" ht="32.1" customHeight="1" x14ac:dyDescent="0.25">
      <c r="A250" s="278"/>
      <c r="B250" s="266"/>
      <c r="C250" s="266" t="s">
        <v>969</v>
      </c>
      <c r="D250" s="283" t="s">
        <v>6174</v>
      </c>
      <c r="E250" s="291"/>
      <c r="F250" s="295">
        <v>19417</v>
      </c>
      <c r="G250" s="287" t="s">
        <v>353</v>
      </c>
      <c r="H250" s="266" t="s">
        <v>1378</v>
      </c>
      <c r="I250" s="268" t="s">
        <v>313</v>
      </c>
      <c r="J250" s="299"/>
      <c r="K250" s="259" t="str">
        <f>HYPERLINK("https://okcountyrecords.com/detail/roger+mills/1953-000498","OKCountyRecords: 1953-000498")</f>
        <v>OKCountyRecords: 1953-000498</v>
      </c>
    </row>
    <row r="251" spans="1:11" s="8" customFormat="1" ht="32.1" customHeight="1" x14ac:dyDescent="0.25">
      <c r="A251" s="278"/>
      <c r="B251" s="266"/>
      <c r="C251" s="266" t="s">
        <v>969</v>
      </c>
      <c r="D251" s="283" t="s">
        <v>6177</v>
      </c>
      <c r="E251" s="291"/>
      <c r="F251" s="295">
        <v>19417</v>
      </c>
      <c r="G251" s="287" t="s">
        <v>353</v>
      </c>
      <c r="H251" s="266" t="s">
        <v>1381</v>
      </c>
      <c r="I251" s="268" t="s">
        <v>308</v>
      </c>
      <c r="J251" s="299"/>
      <c r="K251" s="259" t="str">
        <f>HYPERLINK("https://okcountyrecords.com/detail/roger+mills/1953-000389","OKCountyRecords: 1953-000389")</f>
        <v>OKCountyRecords: 1953-000389</v>
      </c>
    </row>
    <row r="252" spans="1:11" s="8" customFormat="1" ht="32.1" customHeight="1" x14ac:dyDescent="0.25">
      <c r="A252" s="278"/>
      <c r="B252" s="266"/>
      <c r="C252" s="266" t="s">
        <v>969</v>
      </c>
      <c r="D252" s="283" t="s">
        <v>6223</v>
      </c>
      <c r="E252" s="291"/>
      <c r="F252" s="295">
        <v>22906</v>
      </c>
      <c r="G252" s="287" t="s">
        <v>1381</v>
      </c>
      <c r="H252" s="266" t="s">
        <v>346</v>
      </c>
      <c r="I252" s="268" t="s">
        <v>313</v>
      </c>
      <c r="J252" s="299"/>
      <c r="K252" s="259" t="str">
        <f>HYPERLINK("https://okcountyrecords.com/detail/roger+mills/1962-001141","OKCountyRecords: 1962-001141")</f>
        <v>OKCountyRecords: 1962-001141</v>
      </c>
    </row>
    <row r="253" spans="1:11" s="8" customFormat="1" ht="32.1" customHeight="1" x14ac:dyDescent="0.25">
      <c r="A253" s="278"/>
      <c r="B253" s="266"/>
      <c r="C253" s="266" t="s">
        <v>969</v>
      </c>
      <c r="D253" s="283" t="s">
        <v>6226</v>
      </c>
      <c r="E253" s="291"/>
      <c r="F253" s="295">
        <v>22906</v>
      </c>
      <c r="G253" s="287" t="s">
        <v>1381</v>
      </c>
      <c r="H253" s="266" t="s">
        <v>346</v>
      </c>
      <c r="I253" s="268" t="s">
        <v>308</v>
      </c>
      <c r="J253" s="299"/>
      <c r="K253" s="259" t="str">
        <f>HYPERLINK("https://okcountyrecords.com/detail/roger+mills/1962-001142","OKCountyRecords: 1962-001142")</f>
        <v>OKCountyRecords: 1962-001142</v>
      </c>
    </row>
    <row r="254" spans="1:11" s="8" customFormat="1" ht="32.1" customHeight="1" x14ac:dyDescent="0.25">
      <c r="A254" s="278"/>
      <c r="B254" s="266"/>
      <c r="C254" s="266" t="s">
        <v>969</v>
      </c>
      <c r="D254" s="283" t="s">
        <v>6229</v>
      </c>
      <c r="E254" s="291"/>
      <c r="F254" s="295">
        <v>22906</v>
      </c>
      <c r="G254" s="287" t="s">
        <v>358</v>
      </c>
      <c r="H254" s="266" t="s">
        <v>353</v>
      </c>
      <c r="I254" s="268" t="s">
        <v>313</v>
      </c>
      <c r="J254" s="299"/>
      <c r="K254" s="259" t="str">
        <f>HYPERLINK("https://okcountyrecords.com/detail/roger+mills/1962-001144","OKCountyRecords: 1962-001144")</f>
        <v>OKCountyRecords: 1962-001144</v>
      </c>
    </row>
    <row r="255" spans="1:11" s="8" customFormat="1" ht="32.1" customHeight="1" x14ac:dyDescent="0.25">
      <c r="A255" s="278"/>
      <c r="B255" s="266"/>
      <c r="C255" s="266" t="s">
        <v>969</v>
      </c>
      <c r="D255" s="283" t="s">
        <v>6231</v>
      </c>
      <c r="E255" s="291"/>
      <c r="F255" s="295">
        <v>22906</v>
      </c>
      <c r="G255" s="287" t="s">
        <v>358</v>
      </c>
      <c r="H255" s="266" t="s">
        <v>1441</v>
      </c>
      <c r="I255" s="268" t="s">
        <v>313</v>
      </c>
      <c r="J255" s="299"/>
      <c r="K255" s="259" t="str">
        <f>HYPERLINK("https://okcountyrecords.com/detail/roger+mills/1962-001145","OKCountyRecords: 1962-001145")</f>
        <v>OKCountyRecords: 1962-001145</v>
      </c>
    </row>
    <row r="256" spans="1:11" s="8" customFormat="1" ht="32.1" customHeight="1" x14ac:dyDescent="0.25">
      <c r="A256" s="278"/>
      <c r="B256" s="266"/>
      <c r="C256" s="266" t="s">
        <v>969</v>
      </c>
      <c r="D256" s="283" t="s">
        <v>6241</v>
      </c>
      <c r="E256" s="291"/>
      <c r="F256" s="295">
        <v>22938</v>
      </c>
      <c r="G256" s="287" t="s">
        <v>346</v>
      </c>
      <c r="H256" s="266" t="s">
        <v>446</v>
      </c>
      <c r="I256" s="268" t="s">
        <v>313</v>
      </c>
      <c r="J256" s="299"/>
      <c r="K256" s="259" t="str">
        <f>HYPERLINK("https://okcountyrecords.com/detail/roger+mills/1962-001389","OKCountyRecords: 1962-001389")</f>
        <v>OKCountyRecords: 1962-001389</v>
      </c>
    </row>
    <row r="257" spans="1:11" s="8" customFormat="1" ht="32.1" customHeight="1" x14ac:dyDescent="0.25">
      <c r="A257" s="278"/>
      <c r="B257" s="266"/>
      <c r="C257" s="266" t="s">
        <v>969</v>
      </c>
      <c r="D257" s="283" t="s">
        <v>6244</v>
      </c>
      <c r="E257" s="291"/>
      <c r="F257" s="295">
        <v>22938</v>
      </c>
      <c r="G257" s="287" t="s">
        <v>346</v>
      </c>
      <c r="H257" s="266" t="s">
        <v>1453</v>
      </c>
      <c r="I257" s="268" t="s">
        <v>313</v>
      </c>
      <c r="J257" s="299"/>
      <c r="K257" s="259" t="str">
        <f>HYPERLINK("https://okcountyrecords.com/detail/roger+mills/1962-001390","OKCountyRecords: 1962-001390")</f>
        <v>OKCountyRecords: 1962-001390</v>
      </c>
    </row>
    <row r="258" spans="1:11" s="8" customFormat="1" ht="32.1" customHeight="1" x14ac:dyDescent="0.25">
      <c r="A258" s="278"/>
      <c r="B258" s="266"/>
      <c r="C258" s="266" t="s">
        <v>969</v>
      </c>
      <c r="D258" s="283" t="s">
        <v>6258</v>
      </c>
      <c r="E258" s="291"/>
      <c r="F258" s="295">
        <v>23890</v>
      </c>
      <c r="G258" s="287" t="s">
        <v>353</v>
      </c>
      <c r="H258" s="266" t="s">
        <v>1391</v>
      </c>
      <c r="I258" s="268" t="s">
        <v>308</v>
      </c>
      <c r="J258" s="299"/>
      <c r="K258" s="259" t="str">
        <f>HYPERLINK("https://okcountyrecords.com/detail/roger+mills/1965-000771","OKCountyRecords: 1965-000771")</f>
        <v>OKCountyRecords: 1965-000771</v>
      </c>
    </row>
    <row r="259" spans="1:11" s="8" customFormat="1" ht="32.1" customHeight="1" x14ac:dyDescent="0.25">
      <c r="A259" s="278"/>
      <c r="B259" s="266"/>
      <c r="C259" s="266" t="s">
        <v>1274</v>
      </c>
      <c r="D259" s="283" t="s">
        <v>6268</v>
      </c>
      <c r="E259" s="291"/>
      <c r="F259" s="295">
        <v>24750</v>
      </c>
      <c r="G259" s="287" t="s">
        <v>1441</v>
      </c>
      <c r="H259" s="266" t="s">
        <v>1478</v>
      </c>
      <c r="I259" s="268" t="s">
        <v>308</v>
      </c>
      <c r="J259" s="299"/>
      <c r="K259" s="259" t="str">
        <f>HYPERLINK("https://okcountyrecords.com/detail/roger+mills/1967-002816","OKCountyRecords: 1967-002816")</f>
        <v>OKCountyRecords: 1967-002816</v>
      </c>
    </row>
    <row r="260" spans="1:11" s="8" customFormat="1" ht="32.1" customHeight="1" x14ac:dyDescent="0.25">
      <c r="A260" s="278"/>
      <c r="B260" s="266"/>
      <c r="C260" s="266" t="s">
        <v>969</v>
      </c>
      <c r="D260" s="283" t="s">
        <v>5627</v>
      </c>
      <c r="E260" s="291"/>
      <c r="F260" s="295">
        <v>27121</v>
      </c>
      <c r="G260" s="287" t="s">
        <v>364</v>
      </c>
      <c r="H260" s="266" t="s">
        <v>1563</v>
      </c>
      <c r="I260" s="268" t="s">
        <v>313</v>
      </c>
      <c r="J260" s="299"/>
      <c r="K260" s="259" t="str">
        <f>HYPERLINK("https://okcountyrecords.com/detail/roger+mills/1974-001152","OKCountyRecords: 1974-001152")</f>
        <v>OKCountyRecords: 1974-001152</v>
      </c>
    </row>
    <row r="261" spans="1:11" s="8" customFormat="1" ht="32.1" customHeight="1" x14ac:dyDescent="0.25">
      <c r="A261" s="278"/>
      <c r="B261" s="266"/>
      <c r="C261" s="266" t="s">
        <v>969</v>
      </c>
      <c r="D261" s="283" t="s">
        <v>5628</v>
      </c>
      <c r="E261" s="291"/>
      <c r="F261" s="295">
        <v>27163</v>
      </c>
      <c r="G261" s="287" t="s">
        <v>1568</v>
      </c>
      <c r="H261" s="266" t="s">
        <v>1569</v>
      </c>
      <c r="I261" s="268" t="s">
        <v>308</v>
      </c>
      <c r="J261" s="299"/>
      <c r="K261" s="259" t="str">
        <f>HYPERLINK("https://okcountyrecords.com/detail/roger+mills/1974-001639","OKCountyRecords: 1974-001639")</f>
        <v>OKCountyRecords: 1974-001639</v>
      </c>
    </row>
    <row r="262" spans="1:11" s="8" customFormat="1" ht="32.1" customHeight="1" x14ac:dyDescent="0.25">
      <c r="A262" s="278"/>
      <c r="B262" s="266"/>
      <c r="C262" s="266" t="s">
        <v>969</v>
      </c>
      <c r="D262" s="283" t="s">
        <v>5629</v>
      </c>
      <c r="E262" s="291"/>
      <c r="F262" s="295">
        <v>27171</v>
      </c>
      <c r="G262" s="287" t="s">
        <v>1569</v>
      </c>
      <c r="H262" s="266" t="s">
        <v>1572</v>
      </c>
      <c r="I262" s="268" t="s">
        <v>308</v>
      </c>
      <c r="J262" s="299"/>
      <c r="K262" s="259" t="str">
        <f>HYPERLINK("https://okcountyrecords.com/detail/roger+mills/1974-001700","OKCountyRecords: 1974-001700")</f>
        <v>OKCountyRecords: 1974-001700</v>
      </c>
    </row>
    <row r="263" spans="1:11" s="8" customFormat="1" ht="32.1" customHeight="1" x14ac:dyDescent="0.25">
      <c r="A263" s="278"/>
      <c r="B263" s="266"/>
      <c r="C263" s="266" t="s">
        <v>969</v>
      </c>
      <c r="D263" s="283" t="s">
        <v>5630</v>
      </c>
      <c r="E263" s="291"/>
      <c r="F263" s="295">
        <v>27207</v>
      </c>
      <c r="G263" s="287" t="s">
        <v>1569</v>
      </c>
      <c r="H263" s="266" t="s">
        <v>5631</v>
      </c>
      <c r="I263" s="268" t="s">
        <v>308</v>
      </c>
      <c r="J263" s="299"/>
      <c r="K263" s="259" t="str">
        <f>HYPERLINK("https://okcountyrecords.com/detail/roger+mills/1974-002044","OKCountyRecords: 1974-002044")</f>
        <v>OKCountyRecords: 1974-002044</v>
      </c>
    </row>
    <row r="264" spans="1:11" s="8" customFormat="1" ht="32.1" customHeight="1" x14ac:dyDescent="0.25">
      <c r="A264" s="278"/>
      <c r="B264" s="266"/>
      <c r="C264" s="266" t="s">
        <v>969</v>
      </c>
      <c r="D264" s="283" t="s">
        <v>5632</v>
      </c>
      <c r="E264" s="291"/>
      <c r="F264" s="295">
        <v>27481</v>
      </c>
      <c r="G264" s="287" t="s">
        <v>1569</v>
      </c>
      <c r="H264" s="266" t="s">
        <v>416</v>
      </c>
      <c r="I264" s="268" t="s">
        <v>308</v>
      </c>
      <c r="J264" s="299"/>
      <c r="K264" s="259" t="str">
        <f>HYPERLINK("https://okcountyrecords.com/detail/roger+mills/1975-000869","OKCountyRecords: 1975-000869")</f>
        <v>OKCountyRecords: 1975-000869</v>
      </c>
    </row>
    <row r="265" spans="1:11" s="8" customFormat="1" ht="32.1" customHeight="1" x14ac:dyDescent="0.25">
      <c r="A265" s="278"/>
      <c r="B265" s="266"/>
      <c r="C265" s="266" t="s">
        <v>969</v>
      </c>
      <c r="D265" s="283" t="s">
        <v>5633</v>
      </c>
      <c r="E265" s="291"/>
      <c r="F265" s="295">
        <v>28005</v>
      </c>
      <c r="G265" s="287" t="s">
        <v>1563</v>
      </c>
      <c r="H265" s="266" t="s">
        <v>1582</v>
      </c>
      <c r="I265" s="268" t="s">
        <v>313</v>
      </c>
      <c r="J265" s="299"/>
      <c r="K265" s="259" t="str">
        <f>HYPERLINK("https://okcountyrecords.com/detail/roger+mills/1976-003251","OKCountyRecords: 1976-003251")</f>
        <v>OKCountyRecords: 1976-003251</v>
      </c>
    </row>
    <row r="266" spans="1:11" s="8" customFormat="1" ht="32.1" customHeight="1" x14ac:dyDescent="0.25">
      <c r="A266" s="278"/>
      <c r="B266" s="266"/>
      <c r="C266" s="266" t="s">
        <v>969</v>
      </c>
      <c r="D266" s="283" t="s">
        <v>5634</v>
      </c>
      <c r="E266" s="291"/>
      <c r="F266" s="295">
        <v>28445</v>
      </c>
      <c r="G266" s="287" t="s">
        <v>1582</v>
      </c>
      <c r="H266" s="266" t="s">
        <v>411</v>
      </c>
      <c r="I266" s="268" t="s">
        <v>313</v>
      </c>
      <c r="J266" s="299"/>
      <c r="K266" s="259" t="str">
        <f>HYPERLINK("https://okcountyrecords.com/detail/roger+mills/1977-007503","OKCountyRecords: 1977-007503")</f>
        <v>OKCountyRecords: 1977-007503</v>
      </c>
    </row>
    <row r="267" spans="1:11" s="8" customFormat="1" ht="32.1" customHeight="1" x14ac:dyDescent="0.25">
      <c r="A267" s="278"/>
      <c r="B267" s="266"/>
      <c r="C267" s="266" t="s">
        <v>969</v>
      </c>
      <c r="D267" s="283" t="s">
        <v>5635</v>
      </c>
      <c r="E267" s="291"/>
      <c r="F267" s="295">
        <v>28583</v>
      </c>
      <c r="G267" s="287" t="s">
        <v>1603</v>
      </c>
      <c r="H267" s="266" t="s">
        <v>396</v>
      </c>
      <c r="I267" s="268" t="s">
        <v>308</v>
      </c>
      <c r="J267" s="299"/>
      <c r="K267" s="259" t="str">
        <f>HYPERLINK("https://okcountyrecords.com/detail/roger+mills/1978-002580","OKCountyRecords: 1978-002580")</f>
        <v>OKCountyRecords: 1978-002580</v>
      </c>
    </row>
    <row r="268" spans="1:11" s="8" customFormat="1" ht="32.1" customHeight="1" x14ac:dyDescent="0.25">
      <c r="A268" s="278"/>
      <c r="B268" s="266"/>
      <c r="C268" s="266" t="s">
        <v>969</v>
      </c>
      <c r="D268" s="283" t="s">
        <v>5636</v>
      </c>
      <c r="E268" s="291"/>
      <c r="F268" s="295">
        <v>28583</v>
      </c>
      <c r="G268" s="287" t="s">
        <v>1603</v>
      </c>
      <c r="H268" s="266" t="s">
        <v>397</v>
      </c>
      <c r="I268" s="268" t="s">
        <v>308</v>
      </c>
      <c r="J268" s="299"/>
      <c r="K268" s="259" t="str">
        <f>HYPERLINK("https://okcountyrecords.com/detail/roger+mills/1978-002581","OKCountyRecords: 1978-002581")</f>
        <v>OKCountyRecords: 1978-002581</v>
      </c>
    </row>
    <row r="269" spans="1:11" s="8" customFormat="1" ht="32.1" customHeight="1" x14ac:dyDescent="0.25">
      <c r="A269" s="278"/>
      <c r="B269" s="266"/>
      <c r="C269" s="266" t="s">
        <v>969</v>
      </c>
      <c r="D269" s="283" t="s">
        <v>5637</v>
      </c>
      <c r="E269" s="291"/>
      <c r="F269" s="295">
        <v>28583</v>
      </c>
      <c r="G269" s="287" t="s">
        <v>1603</v>
      </c>
      <c r="H269" s="266" t="s">
        <v>5638</v>
      </c>
      <c r="I269" s="268" t="s">
        <v>308</v>
      </c>
      <c r="J269" s="299"/>
      <c r="K269" s="259" t="str">
        <f>HYPERLINK("https://okcountyrecords.com/detail/roger+mills/1978-002576","OKCountyRecords: 1978-002576")</f>
        <v>OKCountyRecords: 1978-002576</v>
      </c>
    </row>
    <row r="270" spans="1:11" s="8" customFormat="1" ht="32.1" customHeight="1" x14ac:dyDescent="0.25">
      <c r="A270" s="278"/>
      <c r="B270" s="266"/>
      <c r="C270" s="266" t="s">
        <v>969</v>
      </c>
      <c r="D270" s="283" t="s">
        <v>4426</v>
      </c>
      <c r="E270" s="291"/>
      <c r="F270" s="295">
        <v>28583</v>
      </c>
      <c r="G270" s="287" t="s">
        <v>1603</v>
      </c>
      <c r="H270" s="266" t="s">
        <v>395</v>
      </c>
      <c r="I270" s="268" t="s">
        <v>308</v>
      </c>
      <c r="J270" s="299"/>
      <c r="K270" s="259" t="str">
        <f>HYPERLINK("https://okcountyrecords.com/detail/roger+mills/1978-002579","OKCountyRecords: 1978-002579")</f>
        <v>OKCountyRecords: 1978-002579</v>
      </c>
    </row>
    <row r="271" spans="1:11" s="8" customFormat="1" ht="32.1" customHeight="1" x14ac:dyDescent="0.25">
      <c r="A271" s="278"/>
      <c r="B271" s="266"/>
      <c r="C271" s="266" t="s">
        <v>969</v>
      </c>
      <c r="D271" s="283" t="s">
        <v>5639</v>
      </c>
      <c r="E271" s="291"/>
      <c r="F271" s="295">
        <v>28583</v>
      </c>
      <c r="G271" s="287" t="s">
        <v>1603</v>
      </c>
      <c r="H271" s="266" t="s">
        <v>392</v>
      </c>
      <c r="I271" s="268" t="s">
        <v>308</v>
      </c>
      <c r="J271" s="299"/>
      <c r="K271" s="259" t="str">
        <f>HYPERLINK("https://okcountyrecords.com/detail/roger+mills/1978-002582","OKCountyRecords: 1978-002582")</f>
        <v>OKCountyRecords: 1978-002582</v>
      </c>
    </row>
    <row r="272" spans="1:11" s="8" customFormat="1" ht="32.1" customHeight="1" x14ac:dyDescent="0.25">
      <c r="A272" s="278"/>
      <c r="B272" s="266"/>
      <c r="C272" s="266" t="s">
        <v>969</v>
      </c>
      <c r="D272" s="283" t="s">
        <v>5640</v>
      </c>
      <c r="E272" s="291"/>
      <c r="F272" s="295">
        <v>28583</v>
      </c>
      <c r="G272" s="287" t="s">
        <v>1603</v>
      </c>
      <c r="H272" s="266" t="s">
        <v>5641</v>
      </c>
      <c r="I272" s="268" t="s">
        <v>308</v>
      </c>
      <c r="J272" s="299"/>
      <c r="K272" s="259" t="str">
        <f>HYPERLINK("https://okcountyrecords.com/detail/roger+mills/1978-002583","OKCountyRecords: 1978-002583")</f>
        <v>OKCountyRecords: 1978-002583</v>
      </c>
    </row>
    <row r="273" spans="1:11" s="8" customFormat="1" ht="32.1" customHeight="1" x14ac:dyDescent="0.25">
      <c r="A273" s="278"/>
      <c r="B273" s="266"/>
      <c r="C273" s="266" t="s">
        <v>969</v>
      </c>
      <c r="D273" s="283" t="s">
        <v>5642</v>
      </c>
      <c r="E273" s="291"/>
      <c r="F273" s="295">
        <v>28583</v>
      </c>
      <c r="G273" s="287" t="s">
        <v>1603</v>
      </c>
      <c r="H273" s="266" t="s">
        <v>573</v>
      </c>
      <c r="I273" s="268" t="s">
        <v>308</v>
      </c>
      <c r="J273" s="299"/>
      <c r="K273" s="259" t="str">
        <f>HYPERLINK("https://okcountyrecords.com/detail/roger+mills/1978-002585","OKCountyRecords: 1978-002585")</f>
        <v>OKCountyRecords: 1978-002585</v>
      </c>
    </row>
    <row r="274" spans="1:11" s="8" customFormat="1" ht="32.1" customHeight="1" x14ac:dyDescent="0.25">
      <c r="A274" s="278"/>
      <c r="B274" s="266"/>
      <c r="C274" s="266" t="s">
        <v>969</v>
      </c>
      <c r="D274" s="283" t="s">
        <v>5643</v>
      </c>
      <c r="E274" s="291"/>
      <c r="F274" s="295">
        <v>28583</v>
      </c>
      <c r="G274" s="287" t="s">
        <v>1620</v>
      </c>
      <c r="H274" s="266" t="s">
        <v>1621</v>
      </c>
      <c r="I274" s="268" t="s">
        <v>308</v>
      </c>
      <c r="J274" s="299"/>
      <c r="K274" s="259" t="str">
        <f>HYPERLINK("https://okcountyrecords.com/detail/roger+mills/1978-002589","OKCountyRecords: 1978-002589")</f>
        <v>OKCountyRecords: 1978-002589</v>
      </c>
    </row>
    <row r="275" spans="1:11" s="8" customFormat="1" ht="32.1" customHeight="1" x14ac:dyDescent="0.25">
      <c r="A275" s="278"/>
      <c r="B275" s="266"/>
      <c r="C275" s="266" t="s">
        <v>1623</v>
      </c>
      <c r="D275" s="283" t="s">
        <v>5644</v>
      </c>
      <c r="E275" s="291"/>
      <c r="F275" s="295">
        <v>28584</v>
      </c>
      <c r="G275" s="287" t="s">
        <v>1603</v>
      </c>
      <c r="H275" s="266" t="s">
        <v>400</v>
      </c>
      <c r="I275" s="268" t="s">
        <v>308</v>
      </c>
      <c r="J275" s="299"/>
      <c r="K275" s="259" t="str">
        <f>HYPERLINK("https://okcountyrecords.com/detail/roger+mills/1978-002584","OKCountyRecords: 1978-002584")</f>
        <v>OKCountyRecords: 1978-002584</v>
      </c>
    </row>
    <row r="276" spans="1:11" s="8" customFormat="1" ht="32.1" customHeight="1" x14ac:dyDescent="0.25">
      <c r="A276" s="278"/>
      <c r="B276" s="266"/>
      <c r="C276" s="266" t="s">
        <v>969</v>
      </c>
      <c r="D276" s="283" t="s">
        <v>5645</v>
      </c>
      <c r="E276" s="291"/>
      <c r="F276" s="295">
        <v>28923</v>
      </c>
      <c r="G276" s="287" t="s">
        <v>1696</v>
      </c>
      <c r="H276" s="266" t="s">
        <v>1697</v>
      </c>
      <c r="I276" s="268" t="s">
        <v>313</v>
      </c>
      <c r="J276" s="299"/>
      <c r="K276" s="259" t="str">
        <f>HYPERLINK("https://okcountyrecords.com/detail/roger+mills/1979-001572","OKCountyRecords: 1979-001572")</f>
        <v>OKCountyRecords: 1979-001572</v>
      </c>
    </row>
    <row r="277" spans="1:11" s="8" customFormat="1" ht="32.1" customHeight="1" x14ac:dyDescent="0.25">
      <c r="A277" s="278"/>
      <c r="B277" s="266"/>
      <c r="C277" s="266" t="s">
        <v>1274</v>
      </c>
      <c r="D277" s="283" t="s">
        <v>5646</v>
      </c>
      <c r="E277" s="291"/>
      <c r="F277" s="295">
        <v>28961</v>
      </c>
      <c r="G277" s="287" t="s">
        <v>1700</v>
      </c>
      <c r="H277" s="266" t="s">
        <v>1701</v>
      </c>
      <c r="I277" s="268" t="s">
        <v>308</v>
      </c>
      <c r="J277" s="299"/>
      <c r="K277" s="259" t="str">
        <f>HYPERLINK("https://okcountyrecords.com/detail/roger+mills/1979-002206","OKCountyRecords: 1979-002206")</f>
        <v>OKCountyRecords: 1979-002206</v>
      </c>
    </row>
    <row r="278" spans="1:11" s="8" customFormat="1" ht="32.1" customHeight="1" x14ac:dyDescent="0.25">
      <c r="A278" s="278"/>
      <c r="B278" s="266"/>
      <c r="C278" s="266" t="s">
        <v>1274</v>
      </c>
      <c r="D278" s="283" t="s">
        <v>5647</v>
      </c>
      <c r="E278" s="291"/>
      <c r="F278" s="295">
        <v>29049</v>
      </c>
      <c r="G278" s="287" t="s">
        <v>1713</v>
      </c>
      <c r="H278" s="266" t="s">
        <v>1714</v>
      </c>
      <c r="I278" s="268" t="s">
        <v>313</v>
      </c>
      <c r="J278" s="299"/>
      <c r="K278" s="259" t="str">
        <f>HYPERLINK("https://okcountyrecords.com/detail/roger+mills/1979-004016","OKCountyRecords: 1979-004016")</f>
        <v>OKCountyRecords: 1979-004016</v>
      </c>
    </row>
    <row r="279" spans="1:11" s="8" customFormat="1" ht="32.1" customHeight="1" x14ac:dyDescent="0.25">
      <c r="A279" s="278"/>
      <c r="B279" s="266"/>
      <c r="C279" s="266" t="s">
        <v>969</v>
      </c>
      <c r="D279" s="283" t="s">
        <v>5648</v>
      </c>
      <c r="E279" s="291"/>
      <c r="F279" s="295">
        <v>29049</v>
      </c>
      <c r="G279" s="287" t="s">
        <v>1697</v>
      </c>
      <c r="H279" s="266" t="s">
        <v>1717</v>
      </c>
      <c r="I279" s="268" t="s">
        <v>313</v>
      </c>
      <c r="J279" s="299"/>
      <c r="K279" s="259" t="str">
        <f>HYPERLINK("https://okcountyrecords.com/detail/roger+mills/1979-004021","OKCountyRecords: 1979-004021")</f>
        <v>OKCountyRecords: 1979-004021</v>
      </c>
    </row>
    <row r="280" spans="1:11" s="8" customFormat="1" ht="32.1" customHeight="1" x14ac:dyDescent="0.25">
      <c r="A280" s="278"/>
      <c r="B280" s="266"/>
      <c r="C280" s="266" t="s">
        <v>969</v>
      </c>
      <c r="D280" s="283" t="s">
        <v>5649</v>
      </c>
      <c r="E280" s="291"/>
      <c r="F280" s="295">
        <v>29063</v>
      </c>
      <c r="G280" s="287" t="s">
        <v>1697</v>
      </c>
      <c r="H280" s="266" t="s">
        <v>1723</v>
      </c>
      <c r="I280" s="268" t="s">
        <v>313</v>
      </c>
      <c r="J280" s="299"/>
      <c r="K280" s="259" t="str">
        <f>HYPERLINK("https://okcountyrecords.com/detail/roger+mills/1979-004258","OKCountyRecords: 1979-004258")</f>
        <v>OKCountyRecords: 1979-004258</v>
      </c>
    </row>
    <row r="281" spans="1:11" s="8" customFormat="1" ht="32.1" customHeight="1" x14ac:dyDescent="0.25">
      <c r="A281" s="278"/>
      <c r="B281" s="266"/>
      <c r="C281" s="266" t="s">
        <v>1623</v>
      </c>
      <c r="D281" s="283" t="s">
        <v>5650</v>
      </c>
      <c r="E281" s="291"/>
      <c r="F281" s="295">
        <v>29094</v>
      </c>
      <c r="G281" s="287" t="s">
        <v>400</v>
      </c>
      <c r="H281" s="266" t="s">
        <v>1726</v>
      </c>
      <c r="I281" s="268" t="s">
        <v>308</v>
      </c>
      <c r="J281" s="299"/>
      <c r="K281" s="259" t="str">
        <f>HYPERLINK("https://okcountyrecords.com/detail/roger+mills/1979-004881","OKCountyRecords: 1979-004881")</f>
        <v>OKCountyRecords: 1979-004881</v>
      </c>
    </row>
    <row r="282" spans="1:11" s="8" customFormat="1" ht="32.1" customHeight="1" x14ac:dyDescent="0.25">
      <c r="A282" s="278"/>
      <c r="B282" s="266"/>
      <c r="C282" s="266" t="s">
        <v>1623</v>
      </c>
      <c r="D282" s="283" t="s">
        <v>5651</v>
      </c>
      <c r="E282" s="291">
        <v>29126</v>
      </c>
      <c r="F282" s="295">
        <v>29132</v>
      </c>
      <c r="G282" s="287" t="s">
        <v>5652</v>
      </c>
      <c r="H282" s="266" t="s">
        <v>5653</v>
      </c>
      <c r="I282" s="268" t="s">
        <v>308</v>
      </c>
      <c r="J282" s="299"/>
      <c r="K282" s="259" t="str">
        <f>HYPERLINK("https://okcountyrecords.com/detail/roger+mills/1979-005655","OKCountyRecords: 1979-005655")</f>
        <v>OKCountyRecords: 1979-005655</v>
      </c>
    </row>
    <row r="283" spans="1:11" s="8" customFormat="1" ht="32.1" customHeight="1" x14ac:dyDescent="0.25">
      <c r="A283" s="278"/>
      <c r="B283" s="266"/>
      <c r="C283" s="266" t="s">
        <v>969</v>
      </c>
      <c r="D283" s="283" t="s">
        <v>5654</v>
      </c>
      <c r="E283" s="291"/>
      <c r="F283" s="295">
        <v>29438</v>
      </c>
      <c r="G283" s="287" t="s">
        <v>1753</v>
      </c>
      <c r="H283" s="266" t="s">
        <v>1696</v>
      </c>
      <c r="I283" s="268" t="s">
        <v>313</v>
      </c>
      <c r="J283" s="299"/>
      <c r="K283" s="259" t="str">
        <f>HYPERLINK("https://okcountyrecords.com/detail/roger+mills/1980-006290","OKCountyRecords: 1980-006290")</f>
        <v>OKCountyRecords: 1980-006290</v>
      </c>
    </row>
    <row r="284" spans="1:11" s="8" customFormat="1" ht="32.1" customHeight="1" x14ac:dyDescent="0.25">
      <c r="A284" s="278"/>
      <c r="B284" s="266"/>
      <c r="C284" s="266" t="s">
        <v>969</v>
      </c>
      <c r="D284" s="283" t="s">
        <v>5655</v>
      </c>
      <c r="E284" s="291"/>
      <c r="F284" s="295">
        <v>29438</v>
      </c>
      <c r="G284" s="287" t="s">
        <v>1696</v>
      </c>
      <c r="H284" s="266" t="s">
        <v>1582</v>
      </c>
      <c r="I284" s="268" t="s">
        <v>313</v>
      </c>
      <c r="J284" s="299"/>
      <c r="K284" s="259" t="str">
        <f>HYPERLINK("https://okcountyrecords.com/detail/roger+mills/1980-006291","OKCountyRecords: 1980-006291")</f>
        <v>OKCountyRecords: 1980-006291</v>
      </c>
    </row>
    <row r="285" spans="1:11" s="8" customFormat="1" ht="32.1" customHeight="1" x14ac:dyDescent="0.25">
      <c r="A285" s="278"/>
      <c r="B285" s="266"/>
      <c r="C285" s="266" t="s">
        <v>969</v>
      </c>
      <c r="D285" s="283" t="s">
        <v>5656</v>
      </c>
      <c r="E285" s="291"/>
      <c r="F285" s="295">
        <v>29675</v>
      </c>
      <c r="G285" s="287" t="s">
        <v>372</v>
      </c>
      <c r="H285" s="266" t="s">
        <v>5657</v>
      </c>
      <c r="I285" s="268" t="s">
        <v>313</v>
      </c>
      <c r="J285" s="299"/>
      <c r="K285" s="259" t="str">
        <f>HYPERLINK("https://okcountyrecords.com/detail/roger+mills/1981-003445","OKCountyRecords: 1981-003445")</f>
        <v>OKCountyRecords: 1981-003445</v>
      </c>
    </row>
    <row r="286" spans="1:11" s="8" customFormat="1" ht="32.1" customHeight="1" x14ac:dyDescent="0.25">
      <c r="A286" s="278"/>
      <c r="B286" s="266"/>
      <c r="C286" s="266" t="s">
        <v>969</v>
      </c>
      <c r="D286" s="283" t="s">
        <v>5658</v>
      </c>
      <c r="E286" s="291"/>
      <c r="F286" s="295">
        <v>29714</v>
      </c>
      <c r="G286" s="287" t="s">
        <v>1765</v>
      </c>
      <c r="H286" s="266" t="s">
        <v>5659</v>
      </c>
      <c r="I286" s="268" t="s">
        <v>308</v>
      </c>
      <c r="J286" s="299"/>
      <c r="K286" s="259" t="str">
        <f>HYPERLINK("https://okcountyrecords.com/detail/roger+mills/1981-005180","OKCountyRecords: 1981-005180")</f>
        <v>OKCountyRecords: 1981-005180</v>
      </c>
    </row>
    <row r="287" spans="1:11" s="8" customFormat="1" ht="32.1" customHeight="1" x14ac:dyDescent="0.25">
      <c r="A287" s="278"/>
      <c r="B287" s="266"/>
      <c r="C287" s="266" t="s">
        <v>969</v>
      </c>
      <c r="D287" s="283" t="s">
        <v>5660</v>
      </c>
      <c r="E287" s="291"/>
      <c r="F287" s="295">
        <v>29714</v>
      </c>
      <c r="G287" s="287" t="s">
        <v>5659</v>
      </c>
      <c r="H287" s="266" t="s">
        <v>5661</v>
      </c>
      <c r="I287" s="268" t="s">
        <v>308</v>
      </c>
      <c r="J287" s="299"/>
      <c r="K287" s="259" t="str">
        <f>HYPERLINK("https://okcountyrecords.com/detail/roger+mills/1981-005181","OKCountyRecords: 1981-005181")</f>
        <v>OKCountyRecords: 1981-005181</v>
      </c>
    </row>
    <row r="288" spans="1:11" s="8" customFormat="1" ht="32.1" customHeight="1" x14ac:dyDescent="0.25">
      <c r="A288" s="278"/>
      <c r="B288" s="266"/>
      <c r="C288" s="266" t="s">
        <v>969</v>
      </c>
      <c r="D288" s="283" t="s">
        <v>5662</v>
      </c>
      <c r="E288" s="291"/>
      <c r="F288" s="295">
        <v>29767</v>
      </c>
      <c r="G288" s="287" t="s">
        <v>5657</v>
      </c>
      <c r="H288" s="266" t="s">
        <v>1772</v>
      </c>
      <c r="I288" s="268" t="s">
        <v>313</v>
      </c>
      <c r="J288" s="299"/>
      <c r="K288" s="259" t="str">
        <f>HYPERLINK("https://okcountyrecords.com/detail/roger+mills/1981-007481","OKCountyRecords: 1981-007481")</f>
        <v>OKCountyRecords: 1981-007481</v>
      </c>
    </row>
    <row r="289" spans="1:11" s="8" customFormat="1" ht="32.1" customHeight="1" x14ac:dyDescent="0.25">
      <c r="A289" s="278"/>
      <c r="B289" s="266"/>
      <c r="C289" s="266" t="s">
        <v>969</v>
      </c>
      <c r="D289" s="283" t="s">
        <v>5663</v>
      </c>
      <c r="E289" s="291"/>
      <c r="F289" s="295">
        <v>29812</v>
      </c>
      <c r="G289" s="287" t="s">
        <v>5657</v>
      </c>
      <c r="H289" s="266" t="s">
        <v>1775</v>
      </c>
      <c r="I289" s="268" t="s">
        <v>313</v>
      </c>
      <c r="J289" s="299"/>
      <c r="K289" s="259" t="str">
        <f>HYPERLINK("https://okcountyrecords.com/detail/roger+mills/1981-009501","OKCountyRecords: 1981-009501")</f>
        <v>OKCountyRecords: 1981-009501</v>
      </c>
    </row>
    <row r="290" spans="1:11" s="8" customFormat="1" ht="32.1" customHeight="1" x14ac:dyDescent="0.25">
      <c r="A290" s="278"/>
      <c r="B290" s="266"/>
      <c r="C290" s="266" t="s">
        <v>969</v>
      </c>
      <c r="D290" s="283" t="s">
        <v>5664</v>
      </c>
      <c r="E290" s="291"/>
      <c r="F290" s="295">
        <v>30015</v>
      </c>
      <c r="G290" s="287" t="s">
        <v>1582</v>
      </c>
      <c r="H290" s="266" t="s">
        <v>411</v>
      </c>
      <c r="I290" s="268" t="s">
        <v>313</v>
      </c>
      <c r="J290" s="299"/>
      <c r="K290" s="259" t="str">
        <f>HYPERLINK("https://okcountyrecords.com/detail/roger+mills/1982-002776","OKCountyRecords: 1982-002776")</f>
        <v>OKCountyRecords: 1982-002776</v>
      </c>
    </row>
    <row r="291" spans="1:11" s="8" customFormat="1" ht="32.1" customHeight="1" x14ac:dyDescent="0.25">
      <c r="A291" s="278"/>
      <c r="B291" s="266"/>
      <c r="C291" s="266" t="s">
        <v>969</v>
      </c>
      <c r="D291" s="283" t="s">
        <v>5665</v>
      </c>
      <c r="E291" s="291"/>
      <c r="F291" s="295">
        <v>30054</v>
      </c>
      <c r="G291" s="287" t="s">
        <v>1572</v>
      </c>
      <c r="H291" s="266" t="s">
        <v>5666</v>
      </c>
      <c r="I291" s="268" t="s">
        <v>313</v>
      </c>
      <c r="J291" s="299"/>
      <c r="K291" s="259" t="str">
        <f>HYPERLINK("https://okcountyrecords.com/detail/roger+mills/1982-004342","OKCountyRecords: 1982-004342")</f>
        <v>OKCountyRecords: 1982-004342</v>
      </c>
    </row>
    <row r="292" spans="1:11" s="8" customFormat="1" ht="32.1" customHeight="1" x14ac:dyDescent="0.25">
      <c r="A292" s="278"/>
      <c r="B292" s="266"/>
      <c r="C292" s="266" t="s">
        <v>969</v>
      </c>
      <c r="D292" s="283" t="s">
        <v>5667</v>
      </c>
      <c r="E292" s="291"/>
      <c r="F292" s="295">
        <v>30081</v>
      </c>
      <c r="G292" s="287" t="s">
        <v>410</v>
      </c>
      <c r="H292" s="266" t="s">
        <v>1772</v>
      </c>
      <c r="I292" s="268" t="s">
        <v>313</v>
      </c>
      <c r="J292" s="299"/>
      <c r="K292" s="259" t="str">
        <f>HYPERLINK("https://okcountyrecords.com/detail/roger+mills/1982-005352","OKCountyRecords: 1982-005352")</f>
        <v>OKCountyRecords: 1982-005352</v>
      </c>
    </row>
    <row r="293" spans="1:11" s="8" customFormat="1" ht="32.1" customHeight="1" x14ac:dyDescent="0.25">
      <c r="A293" s="278"/>
      <c r="B293" s="266"/>
      <c r="C293" s="266" t="s">
        <v>969</v>
      </c>
      <c r="D293" s="283" t="s">
        <v>5668</v>
      </c>
      <c r="E293" s="291"/>
      <c r="F293" s="295">
        <v>30088</v>
      </c>
      <c r="G293" s="287" t="s">
        <v>411</v>
      </c>
      <c r="H293" s="266" t="s">
        <v>436</v>
      </c>
      <c r="I293" s="268" t="s">
        <v>313</v>
      </c>
      <c r="J293" s="299"/>
      <c r="K293" s="259" t="str">
        <f>HYPERLINK("https://okcountyrecords.com/detail/roger+mills/1982-005721","OKCountyRecords: 1982-005721")</f>
        <v>OKCountyRecords: 1982-005721</v>
      </c>
    </row>
    <row r="294" spans="1:11" s="8" customFormat="1" ht="32.1" customHeight="1" x14ac:dyDescent="0.25">
      <c r="A294" s="278"/>
      <c r="B294" s="266"/>
      <c r="C294" s="266" t="s">
        <v>969</v>
      </c>
      <c r="D294" s="283" t="s">
        <v>5669</v>
      </c>
      <c r="E294" s="291"/>
      <c r="F294" s="295">
        <v>30124</v>
      </c>
      <c r="G294" s="287" t="s">
        <v>404</v>
      </c>
      <c r="H294" s="266" t="s">
        <v>286</v>
      </c>
      <c r="I294" s="268" t="s">
        <v>313</v>
      </c>
      <c r="J294" s="299"/>
      <c r="K294" s="259" t="str">
        <f>HYPERLINK("https://okcountyrecords.com/detail/roger+mills/1982-007158","OKCountyRecords: 1982-007158")</f>
        <v>OKCountyRecords: 1982-007158</v>
      </c>
    </row>
    <row r="295" spans="1:11" s="8" customFormat="1" ht="32.1" customHeight="1" x14ac:dyDescent="0.25">
      <c r="A295" s="278"/>
      <c r="B295" s="266"/>
      <c r="C295" s="266" t="s">
        <v>969</v>
      </c>
      <c r="D295" s="283" t="s">
        <v>5670</v>
      </c>
      <c r="E295" s="291"/>
      <c r="F295" s="295">
        <v>30250</v>
      </c>
      <c r="G295" s="287" t="s">
        <v>1845</v>
      </c>
      <c r="H295" s="266" t="s">
        <v>240</v>
      </c>
      <c r="I295" s="268" t="s">
        <v>308</v>
      </c>
      <c r="J295" s="299"/>
      <c r="K295" s="259" t="str">
        <f>HYPERLINK("https://okcountyrecords.com/detail/roger+mills/1982-011142","OKCountyRecords: 1982-011142")</f>
        <v>OKCountyRecords: 1982-011142</v>
      </c>
    </row>
    <row r="296" spans="1:11" s="8" customFormat="1" ht="32.1" customHeight="1" x14ac:dyDescent="0.25">
      <c r="A296" s="278"/>
      <c r="B296" s="266"/>
      <c r="C296" s="266" t="s">
        <v>969</v>
      </c>
      <c r="D296" s="283" t="s">
        <v>5671</v>
      </c>
      <c r="E296" s="291"/>
      <c r="F296" s="295">
        <v>30250</v>
      </c>
      <c r="G296" s="287" t="s">
        <v>1845</v>
      </c>
      <c r="H296" s="266" t="s">
        <v>263</v>
      </c>
      <c r="I296" s="268" t="s">
        <v>308</v>
      </c>
      <c r="J296" s="299"/>
      <c r="K296" s="259" t="str">
        <f>HYPERLINK("https://okcountyrecords.com/detail/roger+mills/1982-011143","OKCountyRecords: 1982-011143")</f>
        <v>OKCountyRecords: 1982-011143</v>
      </c>
    </row>
    <row r="297" spans="1:11" s="8" customFormat="1" ht="32.1" customHeight="1" x14ac:dyDescent="0.25">
      <c r="A297" s="278"/>
      <c r="B297" s="266"/>
      <c r="C297" s="266" t="s">
        <v>969</v>
      </c>
      <c r="D297" s="283" t="s">
        <v>5672</v>
      </c>
      <c r="E297" s="291"/>
      <c r="F297" s="295">
        <v>30250</v>
      </c>
      <c r="G297" s="287" t="s">
        <v>1845</v>
      </c>
      <c r="H297" s="266" t="s">
        <v>252</v>
      </c>
      <c r="I297" s="268" t="s">
        <v>308</v>
      </c>
      <c r="J297" s="299"/>
      <c r="K297" s="259" t="str">
        <f>HYPERLINK("https://okcountyrecords.com/detail/roger+mills/1982-011144","OKCountyRecords: 1982-011144")</f>
        <v>OKCountyRecords: 1982-011144</v>
      </c>
    </row>
    <row r="298" spans="1:11" s="8" customFormat="1" ht="32.1" customHeight="1" x14ac:dyDescent="0.25">
      <c r="A298" s="278"/>
      <c r="B298" s="266"/>
      <c r="C298" s="266" t="s">
        <v>1274</v>
      </c>
      <c r="D298" s="283" t="s">
        <v>5673</v>
      </c>
      <c r="E298" s="291"/>
      <c r="F298" s="295">
        <v>30369</v>
      </c>
      <c r="G298" s="287" t="s">
        <v>1858</v>
      </c>
      <c r="H298" s="266" t="s">
        <v>1859</v>
      </c>
      <c r="I298" s="268" t="s">
        <v>308</v>
      </c>
      <c r="J298" s="299"/>
      <c r="K298" s="259" t="str">
        <f>HYPERLINK("https://okcountyrecords.com/detail/roger+mills/1983-001671","OKCountyRecords: 1983-001671")</f>
        <v>OKCountyRecords: 1983-001671</v>
      </c>
    </row>
    <row r="299" spans="1:11" s="8" customFormat="1" ht="32.1" customHeight="1" x14ac:dyDescent="0.25">
      <c r="A299" s="278"/>
      <c r="B299" s="266"/>
      <c r="C299" s="266" t="s">
        <v>969</v>
      </c>
      <c r="D299" s="283" t="s">
        <v>5674</v>
      </c>
      <c r="E299" s="291"/>
      <c r="F299" s="295">
        <v>30369</v>
      </c>
      <c r="G299" s="287" t="s">
        <v>432</v>
      </c>
      <c r="H299" s="266" t="s">
        <v>5675</v>
      </c>
      <c r="I299" s="268" t="s">
        <v>308</v>
      </c>
      <c r="J299" s="299"/>
      <c r="K299" s="259" t="str">
        <f>HYPERLINK("https://okcountyrecords.com/detail/roger+mills/1983-001669","OKCountyRecords: 1983-001669")</f>
        <v>OKCountyRecords: 1983-001669</v>
      </c>
    </row>
    <row r="300" spans="1:11" s="8" customFormat="1" ht="32.1" customHeight="1" x14ac:dyDescent="0.25">
      <c r="A300" s="278"/>
      <c r="B300" s="266"/>
      <c r="C300" s="266" t="s">
        <v>969</v>
      </c>
      <c r="D300" s="283" t="s">
        <v>5676</v>
      </c>
      <c r="E300" s="291"/>
      <c r="F300" s="295">
        <v>30388</v>
      </c>
      <c r="G300" s="287" t="s">
        <v>5675</v>
      </c>
      <c r="H300" s="266" t="s">
        <v>438</v>
      </c>
      <c r="I300" s="268" t="s">
        <v>308</v>
      </c>
      <c r="J300" s="299"/>
      <c r="K300" s="259" t="str">
        <f>HYPERLINK("https://okcountyrecords.com/detail/roger+mills/1983-002348","OKCountyRecords: 1983-002348")</f>
        <v>OKCountyRecords: 1983-002348</v>
      </c>
    </row>
    <row r="301" spans="1:11" s="8" customFormat="1" ht="32.1" customHeight="1" x14ac:dyDescent="0.25">
      <c r="A301" s="278"/>
      <c r="B301" s="266"/>
      <c r="C301" s="266" t="s">
        <v>969</v>
      </c>
      <c r="D301" s="283" t="s">
        <v>5677</v>
      </c>
      <c r="E301" s="291"/>
      <c r="F301" s="295">
        <v>30388</v>
      </c>
      <c r="G301" s="287" t="s">
        <v>5675</v>
      </c>
      <c r="H301" s="266" t="s">
        <v>1866</v>
      </c>
      <c r="I301" s="268" t="s">
        <v>308</v>
      </c>
      <c r="J301" s="299"/>
      <c r="K301" s="259" t="str">
        <f>HYPERLINK("https://okcountyrecords.com/detail/roger+mills/1983-002349","OKCountyRecords: 1983-002349")</f>
        <v>OKCountyRecords: 1983-002349</v>
      </c>
    </row>
    <row r="302" spans="1:11" s="8" customFormat="1" ht="32.1" customHeight="1" x14ac:dyDescent="0.25">
      <c r="A302" s="278"/>
      <c r="B302" s="266"/>
      <c r="C302" s="266" t="s">
        <v>969</v>
      </c>
      <c r="D302" s="283" t="s">
        <v>5678</v>
      </c>
      <c r="E302" s="291"/>
      <c r="F302" s="295">
        <v>30388</v>
      </c>
      <c r="G302" s="287" t="s">
        <v>5675</v>
      </c>
      <c r="H302" s="266" t="s">
        <v>430</v>
      </c>
      <c r="I302" s="268" t="s">
        <v>308</v>
      </c>
      <c r="J302" s="299"/>
      <c r="K302" s="259" t="str">
        <f>HYPERLINK("https://okcountyrecords.com/detail/roger+mills/1983-002350","OKCountyRecords: 1983-002350")</f>
        <v>OKCountyRecords: 1983-002350</v>
      </c>
    </row>
    <row r="303" spans="1:11" s="8" customFormat="1" ht="32.1" customHeight="1" x14ac:dyDescent="0.25">
      <c r="A303" s="278"/>
      <c r="B303" s="266"/>
      <c r="C303" s="266" t="s">
        <v>969</v>
      </c>
      <c r="D303" s="283" t="s">
        <v>5679</v>
      </c>
      <c r="E303" s="291"/>
      <c r="F303" s="295">
        <v>30388</v>
      </c>
      <c r="G303" s="287" t="s">
        <v>5675</v>
      </c>
      <c r="H303" s="266" t="s">
        <v>427</v>
      </c>
      <c r="I303" s="268" t="s">
        <v>308</v>
      </c>
      <c r="J303" s="299"/>
      <c r="K303" s="259" t="str">
        <f>HYPERLINK("https://okcountyrecords.com/detail/roger+mills/1983-002351","OKCountyRecords: 1983-002351")</f>
        <v>OKCountyRecords: 1983-002351</v>
      </c>
    </row>
    <row r="304" spans="1:11" s="8" customFormat="1" ht="32.1" customHeight="1" x14ac:dyDescent="0.25">
      <c r="A304" s="278"/>
      <c r="B304" s="266"/>
      <c r="C304" s="266" t="s">
        <v>969</v>
      </c>
      <c r="D304" s="283" t="s">
        <v>5680</v>
      </c>
      <c r="E304" s="291"/>
      <c r="F304" s="295">
        <v>30388</v>
      </c>
      <c r="G304" s="287" t="s">
        <v>5675</v>
      </c>
      <c r="H304" s="266" t="s">
        <v>437</v>
      </c>
      <c r="I304" s="268" t="s">
        <v>308</v>
      </c>
      <c r="J304" s="299"/>
      <c r="K304" s="259" t="str">
        <f>HYPERLINK("https://okcountyrecords.com/detail/roger+mills/1983-002352","OKCountyRecords: 1983-002352")</f>
        <v>OKCountyRecords: 1983-002352</v>
      </c>
    </row>
    <row r="305" spans="1:11" s="8" customFormat="1" ht="32.1" customHeight="1" x14ac:dyDescent="0.25">
      <c r="A305" s="278"/>
      <c r="B305" s="266"/>
      <c r="C305" s="266" t="s">
        <v>1623</v>
      </c>
      <c r="D305" s="283" t="s">
        <v>5681</v>
      </c>
      <c r="E305" s="291">
        <v>30741</v>
      </c>
      <c r="F305" s="295">
        <v>30770</v>
      </c>
      <c r="G305" s="287" t="s">
        <v>1772</v>
      </c>
      <c r="H305" s="266" t="s">
        <v>5682</v>
      </c>
      <c r="I305" s="268" t="s">
        <v>4721</v>
      </c>
      <c r="J305" s="299"/>
      <c r="K305" s="259" t="str">
        <f>HYPERLINK("https://okcountyrecords.com/detail/roger+mills/1984-002943","OKCountyRecords: 1984-002943")</f>
        <v>OKCountyRecords: 1984-002943</v>
      </c>
    </row>
    <row r="306" spans="1:11" s="8" customFormat="1" ht="32.1" customHeight="1" x14ac:dyDescent="0.25">
      <c r="A306" s="278"/>
      <c r="B306" s="266"/>
      <c r="C306" s="266" t="s">
        <v>1623</v>
      </c>
      <c r="D306" s="283" t="s">
        <v>5683</v>
      </c>
      <c r="E306" s="291"/>
      <c r="F306" s="295">
        <v>30770</v>
      </c>
      <c r="G306" s="287" t="s">
        <v>1772</v>
      </c>
      <c r="H306" s="266" t="s">
        <v>5684</v>
      </c>
      <c r="I306" s="268" t="s">
        <v>4721</v>
      </c>
      <c r="J306" s="299"/>
      <c r="K306" s="259" t="str">
        <f>HYPERLINK("https://okcountyrecords.com/detail/roger+mills/1984-002948","OKCountyRecords: 1984-002948")</f>
        <v>OKCountyRecords: 1984-002948</v>
      </c>
    </row>
    <row r="307" spans="1:11" s="8" customFormat="1" ht="32.1" customHeight="1" x14ac:dyDescent="0.25">
      <c r="A307" s="278"/>
      <c r="B307" s="266"/>
      <c r="C307" s="266" t="s">
        <v>1623</v>
      </c>
      <c r="D307" s="283" t="s">
        <v>5685</v>
      </c>
      <c r="E307" s="291"/>
      <c r="F307" s="295">
        <v>30791</v>
      </c>
      <c r="G307" s="287" t="s">
        <v>400</v>
      </c>
      <c r="H307" s="266" t="s">
        <v>1986</v>
      </c>
      <c r="I307" s="268" t="s">
        <v>308</v>
      </c>
      <c r="J307" s="299"/>
      <c r="K307" s="259" t="str">
        <f>HYPERLINK("https://okcountyrecords.com/detail/roger+mills/1984-003786","OKCountyRecords: 1984-003786")</f>
        <v>OKCountyRecords: 1984-003786</v>
      </c>
    </row>
    <row r="308" spans="1:11" s="8" customFormat="1" ht="32.1" customHeight="1" x14ac:dyDescent="0.25">
      <c r="A308" s="278"/>
      <c r="B308" s="266"/>
      <c r="C308" s="266" t="s">
        <v>969</v>
      </c>
      <c r="D308" s="283" t="s">
        <v>5686</v>
      </c>
      <c r="E308" s="291"/>
      <c r="F308" s="295">
        <v>31100</v>
      </c>
      <c r="G308" s="287" t="s">
        <v>5687</v>
      </c>
      <c r="H308" s="266" t="s">
        <v>5688</v>
      </c>
      <c r="I308" s="268" t="s">
        <v>313</v>
      </c>
      <c r="J308" s="299"/>
      <c r="K308" s="259" t="str">
        <f>HYPERLINK("https://okcountyrecords.com/detail/roger+mills/1985-001211","OKCountyRecords: 1985-001211")</f>
        <v>OKCountyRecords: 1985-001211</v>
      </c>
    </row>
    <row r="309" spans="1:11" s="8" customFormat="1" ht="32.1" customHeight="1" x14ac:dyDescent="0.25">
      <c r="A309" s="278"/>
      <c r="B309" s="266"/>
      <c r="C309" s="266" t="s">
        <v>969</v>
      </c>
      <c r="D309" s="283" t="s">
        <v>5689</v>
      </c>
      <c r="E309" s="291"/>
      <c r="F309" s="295">
        <v>31158</v>
      </c>
      <c r="G309" s="287" t="s">
        <v>5661</v>
      </c>
      <c r="H309" s="266" t="s">
        <v>5690</v>
      </c>
      <c r="I309" s="268" t="s">
        <v>308</v>
      </c>
      <c r="J309" s="299"/>
      <c r="K309" s="259" t="str">
        <f>HYPERLINK("https://okcountyrecords.com/detail/roger+mills/1985-002650","OKCountyRecords: 1985-002650")</f>
        <v>OKCountyRecords: 1985-002650</v>
      </c>
    </row>
    <row r="310" spans="1:11" s="8" customFormat="1" ht="32.1" customHeight="1" x14ac:dyDescent="0.25">
      <c r="A310" s="278"/>
      <c r="B310" s="266"/>
      <c r="C310" s="266" t="s">
        <v>969</v>
      </c>
      <c r="D310" s="283" t="s">
        <v>5691</v>
      </c>
      <c r="E310" s="291"/>
      <c r="F310" s="295">
        <v>31279</v>
      </c>
      <c r="G310" s="287" t="s">
        <v>2047</v>
      </c>
      <c r="H310" s="266" t="s">
        <v>2048</v>
      </c>
      <c r="I310" s="268" t="s">
        <v>313</v>
      </c>
      <c r="J310" s="299"/>
      <c r="K310" s="259" t="str">
        <f>HYPERLINK("https://okcountyrecords.com/detail/roger+mills/1985-005895","OKCountyRecords: 1985-005895")</f>
        <v>OKCountyRecords: 1985-005895</v>
      </c>
    </row>
    <row r="311" spans="1:11" s="8" customFormat="1" ht="32.1" customHeight="1" x14ac:dyDescent="0.25">
      <c r="A311" s="278"/>
      <c r="B311" s="266"/>
      <c r="C311" s="266" t="s">
        <v>969</v>
      </c>
      <c r="D311" s="283" t="s">
        <v>5692</v>
      </c>
      <c r="E311" s="291"/>
      <c r="F311" s="295">
        <v>31308</v>
      </c>
      <c r="G311" s="287" t="s">
        <v>573</v>
      </c>
      <c r="H311" s="266" t="s">
        <v>249</v>
      </c>
      <c r="I311" s="268" t="s">
        <v>308</v>
      </c>
      <c r="J311" s="299"/>
      <c r="K311" s="259" t="str">
        <f>HYPERLINK("https://okcountyrecords.com/detail/roger+mills/1985-006556","OKCountyRecords: 1985-006556")</f>
        <v>OKCountyRecords: 1985-006556</v>
      </c>
    </row>
    <row r="312" spans="1:11" s="8" customFormat="1" ht="32.1" customHeight="1" x14ac:dyDescent="0.25">
      <c r="A312" s="278"/>
      <c r="B312" s="266"/>
      <c r="C312" s="266" t="s">
        <v>969</v>
      </c>
      <c r="D312" s="283" t="s">
        <v>5693</v>
      </c>
      <c r="E312" s="291"/>
      <c r="F312" s="295">
        <v>31329</v>
      </c>
      <c r="G312" s="287" t="s">
        <v>5694</v>
      </c>
      <c r="H312" s="266" t="s">
        <v>2054</v>
      </c>
      <c r="I312" s="268" t="s">
        <v>308</v>
      </c>
      <c r="J312" s="299"/>
      <c r="K312" s="259" t="str">
        <f>HYPERLINK("https://okcountyrecords.com/detail/roger+mills/1985-007068","OKCountyRecords: 1985-007068")</f>
        <v>OKCountyRecords: 1985-007068</v>
      </c>
    </row>
    <row r="313" spans="1:11" s="8" customFormat="1" ht="32.1" customHeight="1" x14ac:dyDescent="0.25">
      <c r="A313" s="278"/>
      <c r="B313" s="266"/>
      <c r="C313" s="266" t="s">
        <v>969</v>
      </c>
      <c r="D313" s="283" t="s">
        <v>5695</v>
      </c>
      <c r="E313" s="291"/>
      <c r="F313" s="295">
        <v>31330</v>
      </c>
      <c r="G313" s="287" t="s">
        <v>1582</v>
      </c>
      <c r="H313" s="266" t="s">
        <v>1723</v>
      </c>
      <c r="I313" s="268" t="s">
        <v>308</v>
      </c>
      <c r="J313" s="299"/>
      <c r="K313" s="259" t="str">
        <f>HYPERLINK("https://okcountyrecords.com/detail/roger+mills/1985-007096","OKCountyRecords: 1985-007096")</f>
        <v>OKCountyRecords: 1985-007096</v>
      </c>
    </row>
    <row r="314" spans="1:11" s="8" customFormat="1" ht="32.1" customHeight="1" x14ac:dyDescent="0.25">
      <c r="A314" s="278"/>
      <c r="B314" s="266"/>
      <c r="C314" s="266" t="s">
        <v>1623</v>
      </c>
      <c r="D314" s="283" t="s">
        <v>5696</v>
      </c>
      <c r="E314" s="291"/>
      <c r="F314" s="295">
        <v>31408</v>
      </c>
      <c r="G314" s="287" t="s">
        <v>400</v>
      </c>
      <c r="H314" s="266" t="s">
        <v>435</v>
      </c>
      <c r="I314" s="268" t="s">
        <v>308</v>
      </c>
      <c r="J314" s="299"/>
      <c r="K314" s="259" t="str">
        <f>HYPERLINK("https://okcountyrecords.com/detail/roger+mills/1985-000060","OKCountyRecords: 1985-000060")</f>
        <v>OKCountyRecords: 1985-000060</v>
      </c>
    </row>
    <row r="315" spans="1:11" s="8" customFormat="1" ht="32.1" customHeight="1" x14ac:dyDescent="0.25">
      <c r="A315" s="278"/>
      <c r="B315" s="266"/>
      <c r="C315" s="266" t="s">
        <v>1623</v>
      </c>
      <c r="D315" s="283" t="s">
        <v>5697</v>
      </c>
      <c r="E315" s="291"/>
      <c r="F315" s="295">
        <v>31408</v>
      </c>
      <c r="G315" s="287" t="s">
        <v>400</v>
      </c>
      <c r="H315" s="266" t="s">
        <v>434</v>
      </c>
      <c r="I315" s="268" t="s">
        <v>308</v>
      </c>
      <c r="J315" s="299"/>
      <c r="K315" s="259" t="str">
        <f>HYPERLINK("https://okcountyrecords.com/detail/roger+mills/1985-000061","OKCountyRecords: 1985-000061")</f>
        <v>OKCountyRecords: 1985-000061</v>
      </c>
    </row>
    <row r="316" spans="1:11" s="8" customFormat="1" ht="32.1" customHeight="1" x14ac:dyDescent="0.25">
      <c r="A316" s="278"/>
      <c r="B316" s="266"/>
      <c r="C316" s="266" t="s">
        <v>969</v>
      </c>
      <c r="D316" s="283" t="s">
        <v>5698</v>
      </c>
      <c r="E316" s="291"/>
      <c r="F316" s="295">
        <v>31418</v>
      </c>
      <c r="G316" s="287" t="s">
        <v>417</v>
      </c>
      <c r="H316" s="266" t="s">
        <v>2065</v>
      </c>
      <c r="I316" s="268" t="s">
        <v>308</v>
      </c>
      <c r="J316" s="299"/>
      <c r="K316" s="259" t="str">
        <f>HYPERLINK("https://okcountyrecords.com/detail/roger+mills/1986-000268","OKCountyRecords: 1986-000268")</f>
        <v>OKCountyRecords: 1986-000268</v>
      </c>
    </row>
    <row r="317" spans="1:11" s="8" customFormat="1" ht="32.1" customHeight="1" x14ac:dyDescent="0.25">
      <c r="A317" s="278"/>
      <c r="B317" s="266"/>
      <c r="C317" s="266" t="s">
        <v>969</v>
      </c>
      <c r="D317" s="283" t="s">
        <v>5699</v>
      </c>
      <c r="E317" s="291"/>
      <c r="F317" s="295">
        <v>31434</v>
      </c>
      <c r="G317" s="287" t="s">
        <v>5682</v>
      </c>
      <c r="H317" s="266" t="s">
        <v>2068</v>
      </c>
      <c r="I317" s="268" t="s">
        <v>313</v>
      </c>
      <c r="J317" s="299"/>
      <c r="K317" s="259" t="str">
        <f>HYPERLINK("https://okcountyrecords.com/detail/roger+mills/1986-000656","OKCountyRecords: 1986-000656")</f>
        <v>OKCountyRecords: 1986-000656</v>
      </c>
    </row>
    <row r="318" spans="1:11" s="8" customFormat="1" ht="32.1" customHeight="1" x14ac:dyDescent="0.25">
      <c r="A318" s="278"/>
      <c r="B318" s="266"/>
      <c r="C318" s="266" t="s">
        <v>969</v>
      </c>
      <c r="D318" s="283" t="s">
        <v>5700</v>
      </c>
      <c r="E318" s="291"/>
      <c r="F318" s="295">
        <v>31582</v>
      </c>
      <c r="G318" s="287" t="s">
        <v>573</v>
      </c>
      <c r="H318" s="266" t="s">
        <v>434</v>
      </c>
      <c r="I318" s="268" t="s">
        <v>308</v>
      </c>
      <c r="J318" s="299"/>
      <c r="K318" s="259" t="str">
        <f>HYPERLINK("https://okcountyrecords.com/detail/roger+mills/1986-003428","OKCountyRecords: 1986-003428")</f>
        <v>OKCountyRecords: 1986-003428</v>
      </c>
    </row>
    <row r="319" spans="1:11" s="8" customFormat="1" ht="32.1" customHeight="1" x14ac:dyDescent="0.25">
      <c r="A319" s="278"/>
      <c r="B319" s="266"/>
      <c r="C319" s="266" t="s">
        <v>969</v>
      </c>
      <c r="D319" s="283" t="s">
        <v>5701</v>
      </c>
      <c r="E319" s="291"/>
      <c r="F319" s="295">
        <v>31657</v>
      </c>
      <c r="G319" s="287" t="s">
        <v>573</v>
      </c>
      <c r="H319" s="266" t="s">
        <v>394</v>
      </c>
      <c r="I319" s="268" t="s">
        <v>308</v>
      </c>
      <c r="J319" s="299"/>
      <c r="K319" s="259" t="str">
        <f>HYPERLINK("https://okcountyrecords.com/detail/roger+mills/1986-004476","OKCountyRecords: 1986-004476")</f>
        <v>OKCountyRecords: 1986-004476</v>
      </c>
    </row>
    <row r="320" spans="1:11" s="8" customFormat="1" ht="32.1" customHeight="1" x14ac:dyDescent="0.25">
      <c r="A320" s="278"/>
      <c r="B320" s="266"/>
      <c r="C320" s="266" t="s">
        <v>969</v>
      </c>
      <c r="D320" s="283" t="s">
        <v>5702</v>
      </c>
      <c r="E320" s="291"/>
      <c r="F320" s="295">
        <v>31684</v>
      </c>
      <c r="G320" s="287" t="s">
        <v>433</v>
      </c>
      <c r="H320" s="266" t="s">
        <v>2079</v>
      </c>
      <c r="I320" s="268" t="s">
        <v>308</v>
      </c>
      <c r="J320" s="299"/>
      <c r="K320" s="259" t="str">
        <f>HYPERLINK("https://okcountyrecords.com/detail/roger+mills/1986-005223","OKCountyRecords: 1986-005223")</f>
        <v>OKCountyRecords: 1986-005223</v>
      </c>
    </row>
    <row r="321" spans="1:11" s="8" customFormat="1" ht="32.1" customHeight="1" x14ac:dyDescent="0.25">
      <c r="A321" s="278"/>
      <c r="B321" s="266"/>
      <c r="C321" s="266" t="s">
        <v>969</v>
      </c>
      <c r="D321" s="283" t="s">
        <v>5703</v>
      </c>
      <c r="E321" s="291"/>
      <c r="F321" s="295">
        <v>31723</v>
      </c>
      <c r="G321" s="287" t="s">
        <v>2068</v>
      </c>
      <c r="H321" s="266" t="s">
        <v>5704</v>
      </c>
      <c r="I321" s="268" t="s">
        <v>313</v>
      </c>
      <c r="J321" s="299"/>
      <c r="K321" s="259" t="str">
        <f>HYPERLINK("https://okcountyrecords.com/detail/roger+mills/1986-005341","OKCountyRecords: 1986-005341")</f>
        <v>OKCountyRecords: 1986-005341</v>
      </c>
    </row>
    <row r="322" spans="1:11" s="8" customFormat="1" ht="32.1" customHeight="1" x14ac:dyDescent="0.25">
      <c r="A322" s="278"/>
      <c r="B322" s="266"/>
      <c r="C322" s="266" t="s">
        <v>969</v>
      </c>
      <c r="D322" s="283" t="s">
        <v>5705</v>
      </c>
      <c r="E322" s="291"/>
      <c r="F322" s="295">
        <v>31917</v>
      </c>
      <c r="G322" s="287" t="s">
        <v>573</v>
      </c>
      <c r="H322" s="266" t="s">
        <v>2089</v>
      </c>
      <c r="I322" s="268" t="s">
        <v>308</v>
      </c>
      <c r="J322" s="299"/>
      <c r="K322" s="259" t="str">
        <f>HYPERLINK("https://okcountyrecords.com/detail/roger+mills/1987-002610","OKCountyRecords: 1987-002610")</f>
        <v>OKCountyRecords: 1987-002610</v>
      </c>
    </row>
    <row r="323" spans="1:11" s="8" customFormat="1" ht="32.1" customHeight="1" x14ac:dyDescent="0.25">
      <c r="A323" s="278"/>
      <c r="B323" s="266"/>
      <c r="C323" s="266" t="s">
        <v>969</v>
      </c>
      <c r="D323" s="283" t="s">
        <v>5706</v>
      </c>
      <c r="E323" s="291"/>
      <c r="F323" s="295">
        <v>32031</v>
      </c>
      <c r="G323" s="287" t="s">
        <v>2108</v>
      </c>
      <c r="H323" s="266" t="s">
        <v>2109</v>
      </c>
      <c r="I323" s="268" t="s">
        <v>308</v>
      </c>
      <c r="J323" s="299"/>
      <c r="K323" s="259" t="str">
        <f>HYPERLINK("https://okcountyrecords.com/detail/roger+mills/1987-005625","OKCountyRecords: 1987-005625")</f>
        <v>OKCountyRecords: 1987-005625</v>
      </c>
    </row>
    <row r="324" spans="1:11" s="8" customFormat="1" ht="32.1" customHeight="1" x14ac:dyDescent="0.25">
      <c r="A324" s="278"/>
      <c r="B324" s="266"/>
      <c r="C324" s="266" t="s">
        <v>1107</v>
      </c>
      <c r="D324" s="283" t="s">
        <v>5707</v>
      </c>
      <c r="E324" s="291"/>
      <c r="F324" s="295">
        <v>32072</v>
      </c>
      <c r="G324" s="287" t="s">
        <v>2112</v>
      </c>
      <c r="H324" s="266" t="s">
        <v>1110</v>
      </c>
      <c r="I324" s="268" t="s">
        <v>308</v>
      </c>
      <c r="J324" s="299"/>
      <c r="K324" s="259" t="str">
        <f>HYPERLINK("https://okcountyrecords.com/detail/roger+mills/1987-006730","OKCountyRecords: 1987-006730")</f>
        <v>OKCountyRecords: 1987-006730</v>
      </c>
    </row>
    <row r="325" spans="1:11" s="8" customFormat="1" ht="32.1" customHeight="1" x14ac:dyDescent="0.25">
      <c r="A325" s="278"/>
      <c r="B325" s="266"/>
      <c r="C325" s="266" t="s">
        <v>969</v>
      </c>
      <c r="D325" s="283" t="s">
        <v>5708</v>
      </c>
      <c r="E325" s="291"/>
      <c r="F325" s="295">
        <v>32072</v>
      </c>
      <c r="G325" s="287" t="s">
        <v>240</v>
      </c>
      <c r="H325" s="266" t="s">
        <v>2115</v>
      </c>
      <c r="I325" s="268" t="s">
        <v>308</v>
      </c>
      <c r="J325" s="299"/>
      <c r="K325" s="259" t="str">
        <f>HYPERLINK("https://okcountyrecords.com/detail/roger+mills/1987-006731","OKCountyRecords: 1987-006731")</f>
        <v>OKCountyRecords: 1987-006731</v>
      </c>
    </row>
    <row r="326" spans="1:11" s="8" customFormat="1" ht="32.1" customHeight="1" x14ac:dyDescent="0.25">
      <c r="A326" s="278"/>
      <c r="B326" s="266"/>
      <c r="C326" s="266" t="s">
        <v>969</v>
      </c>
      <c r="D326" s="283" t="s">
        <v>5709</v>
      </c>
      <c r="E326" s="291"/>
      <c r="F326" s="295">
        <v>32072</v>
      </c>
      <c r="G326" s="287" t="s">
        <v>240</v>
      </c>
      <c r="H326" s="266" t="s">
        <v>2115</v>
      </c>
      <c r="I326" s="268" t="s">
        <v>308</v>
      </c>
      <c r="J326" s="299"/>
      <c r="K326" s="259" t="str">
        <f>HYPERLINK("https://okcountyrecords.com/detail/roger+mills/1987-006732","OKCountyRecords: 1987-006732")</f>
        <v>OKCountyRecords: 1987-006732</v>
      </c>
    </row>
    <row r="327" spans="1:11" s="8" customFormat="1" ht="32.1" customHeight="1" x14ac:dyDescent="0.25">
      <c r="A327" s="278"/>
      <c r="B327" s="266"/>
      <c r="C327" s="266" t="s">
        <v>969</v>
      </c>
      <c r="D327" s="283" t="s">
        <v>5710</v>
      </c>
      <c r="E327" s="291"/>
      <c r="F327" s="295">
        <v>32118</v>
      </c>
      <c r="G327" s="287" t="s">
        <v>394</v>
      </c>
      <c r="H327" s="266" t="s">
        <v>433</v>
      </c>
      <c r="I327" s="268" t="s">
        <v>308</v>
      </c>
      <c r="J327" s="299"/>
      <c r="K327" s="259" t="str">
        <f>HYPERLINK("https://okcountyrecords.com/detail/roger+mills/1987-007680","OKCountyRecords: 1987-007680")</f>
        <v>OKCountyRecords: 1987-007680</v>
      </c>
    </row>
    <row r="328" spans="1:11" s="8" customFormat="1" ht="32.1" customHeight="1" x14ac:dyDescent="0.25">
      <c r="A328" s="278"/>
      <c r="B328" s="266"/>
      <c r="C328" s="266" t="s">
        <v>969</v>
      </c>
      <c r="D328" s="283" t="s">
        <v>5711</v>
      </c>
      <c r="E328" s="291"/>
      <c r="F328" s="295">
        <v>32177</v>
      </c>
      <c r="G328" s="287" t="s">
        <v>1775</v>
      </c>
      <c r="H328" s="266" t="s">
        <v>5712</v>
      </c>
      <c r="I328" s="268" t="s">
        <v>308</v>
      </c>
      <c r="J328" s="299"/>
      <c r="K328" s="259" t="str">
        <f>HYPERLINK("https://okcountyrecords.com/detail/roger+mills/1988-000762","OKCountyRecords: 1988-000762")</f>
        <v>OKCountyRecords: 1988-000762</v>
      </c>
    </row>
    <row r="329" spans="1:11" s="8" customFormat="1" ht="32.1" customHeight="1" x14ac:dyDescent="0.25">
      <c r="A329" s="278"/>
      <c r="B329" s="266"/>
      <c r="C329" s="266" t="s">
        <v>969</v>
      </c>
      <c r="D329" s="283" t="s">
        <v>5713</v>
      </c>
      <c r="E329" s="291">
        <v>32216</v>
      </c>
      <c r="F329" s="295">
        <v>32329</v>
      </c>
      <c r="G329" s="287" t="s">
        <v>5714</v>
      </c>
      <c r="H329" s="266" t="s">
        <v>5715</v>
      </c>
      <c r="I329" s="268" t="s">
        <v>5716</v>
      </c>
      <c r="J329" s="299"/>
      <c r="K329" s="259" t="str">
        <f>HYPERLINK("https://okcountyrecords.com/detail/roger+mills/1988-004185","OKCountyRecords: 1988-004185")</f>
        <v>OKCountyRecords: 1988-004185</v>
      </c>
    </row>
    <row r="330" spans="1:11" s="8" customFormat="1" ht="32.1" customHeight="1" x14ac:dyDescent="0.25">
      <c r="A330" s="278"/>
      <c r="B330" s="266"/>
      <c r="C330" s="266" t="s">
        <v>969</v>
      </c>
      <c r="D330" s="283" t="s">
        <v>5717</v>
      </c>
      <c r="E330" s="291"/>
      <c r="F330" s="295">
        <v>32255</v>
      </c>
      <c r="G330" s="287" t="s">
        <v>1391</v>
      </c>
      <c r="H330" s="266" t="s">
        <v>436</v>
      </c>
      <c r="I330" s="268" t="s">
        <v>308</v>
      </c>
      <c r="J330" s="299"/>
      <c r="K330" s="259" t="str">
        <f>HYPERLINK("https://okcountyrecords.com/detail/roger+mills/1988-002747","OKCountyRecords: 1988-002747")</f>
        <v>OKCountyRecords: 1988-002747</v>
      </c>
    </row>
    <row r="331" spans="1:11" s="8" customFormat="1" ht="32.1" customHeight="1" x14ac:dyDescent="0.25">
      <c r="A331" s="278"/>
      <c r="B331" s="266"/>
      <c r="C331" s="266" t="s">
        <v>969</v>
      </c>
      <c r="D331" s="283" t="s">
        <v>5718</v>
      </c>
      <c r="E331" s="291"/>
      <c r="F331" s="295">
        <v>32344</v>
      </c>
      <c r="G331" s="287" t="s">
        <v>394</v>
      </c>
      <c r="H331" s="266" t="s">
        <v>591</v>
      </c>
      <c r="I331" s="268" t="s">
        <v>308</v>
      </c>
      <c r="J331" s="299"/>
      <c r="K331" s="259" t="str">
        <f>HYPERLINK("https://okcountyrecords.com/detail/roger+mills/1988-004482","OKCountyRecords: 1988-004482")</f>
        <v>OKCountyRecords: 1988-004482</v>
      </c>
    </row>
    <row r="332" spans="1:11" s="8" customFormat="1" ht="32.1" customHeight="1" x14ac:dyDescent="0.25">
      <c r="A332" s="278"/>
      <c r="B332" s="266"/>
      <c r="C332" s="266" t="s">
        <v>969</v>
      </c>
      <c r="D332" s="283" t="s">
        <v>5719</v>
      </c>
      <c r="E332" s="291"/>
      <c r="F332" s="295">
        <v>32344</v>
      </c>
      <c r="G332" s="287" t="s">
        <v>394</v>
      </c>
      <c r="H332" s="266" t="s">
        <v>2157</v>
      </c>
      <c r="I332" s="268" t="s">
        <v>308</v>
      </c>
      <c r="J332" s="299"/>
      <c r="K332" s="259" t="str">
        <f>HYPERLINK("https://okcountyrecords.com/detail/roger+mills/1988-004483","OKCountyRecords: 1988-004483")</f>
        <v>OKCountyRecords: 1988-004483</v>
      </c>
    </row>
    <row r="333" spans="1:11" s="8" customFormat="1" ht="32.1" customHeight="1" x14ac:dyDescent="0.25">
      <c r="A333" s="278"/>
      <c r="B333" s="266"/>
      <c r="C333" s="266" t="s">
        <v>969</v>
      </c>
      <c r="D333" s="283" t="s">
        <v>5720</v>
      </c>
      <c r="E333" s="291"/>
      <c r="F333" s="295">
        <v>32344</v>
      </c>
      <c r="G333" s="287" t="s">
        <v>394</v>
      </c>
      <c r="H333" s="266" t="s">
        <v>589</v>
      </c>
      <c r="I333" s="268" t="s">
        <v>308</v>
      </c>
      <c r="J333" s="299"/>
      <c r="K333" s="259" t="str">
        <f>HYPERLINK("https://okcountyrecords.com/detail/roger+mills/1988-004480","OKCountyRecords: 1988-004480")</f>
        <v>OKCountyRecords: 1988-004480</v>
      </c>
    </row>
    <row r="334" spans="1:11" s="8" customFormat="1" ht="32.1" customHeight="1" x14ac:dyDescent="0.25">
      <c r="A334" s="278"/>
      <c r="B334" s="266"/>
      <c r="C334" s="266" t="s">
        <v>969</v>
      </c>
      <c r="D334" s="283" t="s">
        <v>5721</v>
      </c>
      <c r="E334" s="291"/>
      <c r="F334" s="295">
        <v>32344</v>
      </c>
      <c r="G334" s="287" t="s">
        <v>394</v>
      </c>
      <c r="H334" s="266" t="s">
        <v>2152</v>
      </c>
      <c r="I334" s="268" t="s">
        <v>308</v>
      </c>
      <c r="J334" s="299"/>
      <c r="K334" s="259" t="str">
        <f>HYPERLINK("https://okcountyrecords.com/detail/roger+mills/1988-004481","OKCountyRecords: 1988-004481")</f>
        <v>OKCountyRecords: 1988-004481</v>
      </c>
    </row>
    <row r="335" spans="1:11" s="8" customFormat="1" ht="32.1" customHeight="1" x14ac:dyDescent="0.25">
      <c r="A335" s="278"/>
      <c r="B335" s="266"/>
      <c r="C335" s="266" t="s">
        <v>1274</v>
      </c>
      <c r="D335" s="283" t="s">
        <v>5722</v>
      </c>
      <c r="E335" s="291"/>
      <c r="F335" s="295">
        <v>32350</v>
      </c>
      <c r="G335" s="287" t="s">
        <v>2160</v>
      </c>
      <c r="H335" s="266" t="s">
        <v>5723</v>
      </c>
      <c r="I335" s="268" t="s">
        <v>308</v>
      </c>
      <c r="J335" s="299"/>
      <c r="K335" s="259" t="str">
        <f>HYPERLINK("https://okcountyrecords.com/detail/roger+mills/1988-004635","OKCountyRecords: 1988-004635")</f>
        <v>OKCountyRecords: 1988-004635</v>
      </c>
    </row>
    <row r="336" spans="1:11" s="8" customFormat="1" ht="32.1" customHeight="1" x14ac:dyDescent="0.25">
      <c r="A336" s="278"/>
      <c r="B336" s="266"/>
      <c r="C336" s="266" t="s">
        <v>969</v>
      </c>
      <c r="D336" s="283" t="s">
        <v>5724</v>
      </c>
      <c r="E336" s="291"/>
      <c r="F336" s="295">
        <v>32405</v>
      </c>
      <c r="G336" s="287" t="s">
        <v>2170</v>
      </c>
      <c r="H336" s="266" t="s">
        <v>5725</v>
      </c>
      <c r="I336" s="268" t="s">
        <v>308</v>
      </c>
      <c r="J336" s="299"/>
      <c r="K336" s="259" t="str">
        <f>HYPERLINK("https://okcountyrecords.com/detail/roger+mills/1988-005620","OKCountyRecords: 1988-005620")</f>
        <v>OKCountyRecords: 1988-005620</v>
      </c>
    </row>
    <row r="337" spans="1:11" s="8" customFormat="1" ht="32.1" customHeight="1" x14ac:dyDescent="0.25">
      <c r="A337" s="278"/>
      <c r="B337" s="266"/>
      <c r="C337" s="266" t="s">
        <v>969</v>
      </c>
      <c r="D337" s="283" t="s">
        <v>6887</v>
      </c>
      <c r="E337" s="291"/>
      <c r="F337" s="295">
        <v>32449</v>
      </c>
      <c r="G337" s="287" t="s">
        <v>397</v>
      </c>
      <c r="H337" s="266" t="s">
        <v>463</v>
      </c>
      <c r="I337" s="268" t="s">
        <v>308</v>
      </c>
      <c r="J337" s="299"/>
      <c r="K337" s="259" t="str">
        <f>HYPERLINK("https://okcountyrecords.com/detail/roger+mills/1988-006565","OKCountyRecords: 1988-006565")</f>
        <v>OKCountyRecords: 1988-006565</v>
      </c>
    </row>
    <row r="338" spans="1:11" s="8" customFormat="1" ht="32.1" customHeight="1" x14ac:dyDescent="0.25">
      <c r="A338" s="278"/>
      <c r="B338" s="266"/>
      <c r="C338" s="266" t="s">
        <v>1107</v>
      </c>
      <c r="D338" s="283" t="s">
        <v>6910</v>
      </c>
      <c r="E338" s="291">
        <v>32531</v>
      </c>
      <c r="F338" s="295">
        <v>32601</v>
      </c>
      <c r="G338" s="287" t="s">
        <v>2202</v>
      </c>
      <c r="H338" s="266" t="s">
        <v>1110</v>
      </c>
      <c r="I338" s="268" t="s">
        <v>308</v>
      </c>
      <c r="J338" s="299"/>
      <c r="K338" s="259" t="str">
        <f>HYPERLINK("https://okcountyrecords.com/detail/roger+mills/1989-002065","OKCountyRecords: 1989-002065")</f>
        <v>OKCountyRecords: 1989-002065</v>
      </c>
    </row>
    <row r="339" spans="1:11" s="8" customFormat="1" ht="32.1" customHeight="1" x14ac:dyDescent="0.25">
      <c r="A339" s="278"/>
      <c r="B339" s="266"/>
      <c r="C339" s="266" t="s">
        <v>969</v>
      </c>
      <c r="D339" s="283" t="s">
        <v>6901</v>
      </c>
      <c r="E339" s="291"/>
      <c r="F339" s="295">
        <v>32566</v>
      </c>
      <c r="G339" s="287" t="s">
        <v>465</v>
      </c>
      <c r="H339" s="266" t="s">
        <v>2191</v>
      </c>
      <c r="I339" s="268" t="s">
        <v>308</v>
      </c>
      <c r="J339" s="299"/>
      <c r="K339" s="259" t="str">
        <f>HYPERLINK("https://okcountyrecords.com/detail/roger+mills/1989-001220","OKCountyRecords: 1989-001220")</f>
        <v>OKCountyRecords: 1989-001220</v>
      </c>
    </row>
    <row r="340" spans="1:11" s="8" customFormat="1" ht="32.1" customHeight="1" x14ac:dyDescent="0.25">
      <c r="A340" s="278"/>
      <c r="B340" s="266"/>
      <c r="C340" s="266" t="s">
        <v>1274</v>
      </c>
      <c r="D340" s="283" t="s">
        <v>6904</v>
      </c>
      <c r="E340" s="291"/>
      <c r="F340" s="295">
        <v>32579</v>
      </c>
      <c r="G340" s="287" t="s">
        <v>8459</v>
      </c>
      <c r="H340" s="266" t="s">
        <v>2195</v>
      </c>
      <c r="I340" s="268" t="s">
        <v>308</v>
      </c>
      <c r="J340" s="299"/>
      <c r="K340" s="259" t="str">
        <f>HYPERLINK("https://okcountyrecords.com/detail/roger+mills/1989-001559","OKCountyRecords: 1989-001559")</f>
        <v>OKCountyRecords: 1989-001559</v>
      </c>
    </row>
    <row r="341" spans="1:11" s="8" customFormat="1" ht="32.1" customHeight="1" x14ac:dyDescent="0.25">
      <c r="A341" s="278"/>
      <c r="B341" s="266"/>
      <c r="C341" s="266" t="s">
        <v>969</v>
      </c>
      <c r="D341" s="283" t="s">
        <v>6913</v>
      </c>
      <c r="E341" s="291"/>
      <c r="F341" s="295">
        <v>32612</v>
      </c>
      <c r="G341" s="287" t="s">
        <v>394</v>
      </c>
      <c r="H341" s="266" t="s">
        <v>589</v>
      </c>
      <c r="I341" s="268" t="s">
        <v>308</v>
      </c>
      <c r="J341" s="299"/>
      <c r="K341" s="259" t="str">
        <f>HYPERLINK("https://okcountyrecords.com/detail/roger+mills/1989-002320","OKCountyRecords: 1989-002320")</f>
        <v>OKCountyRecords: 1989-002320</v>
      </c>
    </row>
    <row r="342" spans="1:11" s="8" customFormat="1" ht="32.1" customHeight="1" x14ac:dyDescent="0.25">
      <c r="A342" s="278"/>
      <c r="B342" s="266"/>
      <c r="C342" s="266" t="s">
        <v>969</v>
      </c>
      <c r="D342" s="283" t="s">
        <v>6916</v>
      </c>
      <c r="E342" s="291"/>
      <c r="F342" s="295">
        <v>32612</v>
      </c>
      <c r="G342" s="287" t="s">
        <v>394</v>
      </c>
      <c r="H342" s="266" t="s">
        <v>591</v>
      </c>
      <c r="I342" s="268" t="s">
        <v>308</v>
      </c>
      <c r="J342" s="299"/>
      <c r="K342" s="259" t="str">
        <f>HYPERLINK("https://okcountyrecords.com/detail/roger+mills/1989-002321","OKCountyRecords: 1989-002321")</f>
        <v>OKCountyRecords: 1989-002321</v>
      </c>
    </row>
    <row r="343" spans="1:11" s="8" customFormat="1" ht="32.1" customHeight="1" x14ac:dyDescent="0.25">
      <c r="A343" s="278"/>
      <c r="B343" s="266"/>
      <c r="C343" s="266" t="s">
        <v>969</v>
      </c>
      <c r="D343" s="283" t="s">
        <v>6918</v>
      </c>
      <c r="E343" s="291"/>
      <c r="F343" s="295">
        <v>32612</v>
      </c>
      <c r="G343" s="287" t="s">
        <v>394</v>
      </c>
      <c r="H343" s="266" t="s">
        <v>2152</v>
      </c>
      <c r="I343" s="268" t="s">
        <v>308</v>
      </c>
      <c r="J343" s="299"/>
      <c r="K343" s="259" t="str">
        <f>HYPERLINK("https://okcountyrecords.com/detail/roger+mills/1989-002322","OKCountyRecords: 1989-002322")</f>
        <v>OKCountyRecords: 1989-002322</v>
      </c>
    </row>
    <row r="344" spans="1:11" s="8" customFormat="1" ht="32.1" customHeight="1" x14ac:dyDescent="0.25">
      <c r="A344" s="278"/>
      <c r="B344" s="266"/>
      <c r="C344" s="266" t="s">
        <v>969</v>
      </c>
      <c r="D344" s="283" t="s">
        <v>6920</v>
      </c>
      <c r="E344" s="291"/>
      <c r="F344" s="295">
        <v>32612</v>
      </c>
      <c r="G344" s="287" t="s">
        <v>394</v>
      </c>
      <c r="H344" s="266" t="s">
        <v>2157</v>
      </c>
      <c r="I344" s="268" t="s">
        <v>308</v>
      </c>
      <c r="J344" s="299"/>
      <c r="K344" s="259" t="str">
        <f>HYPERLINK("https://okcountyrecords.com/detail/roger+mills/1989-002323","OKCountyRecords: 1989-002323")</f>
        <v>OKCountyRecords: 1989-002323</v>
      </c>
    </row>
    <row r="345" spans="1:11" s="8" customFormat="1" ht="32.1" customHeight="1" x14ac:dyDescent="0.25">
      <c r="A345" s="278"/>
      <c r="B345" s="266"/>
      <c r="C345" s="266" t="s">
        <v>1623</v>
      </c>
      <c r="D345" s="283" t="s">
        <v>6932</v>
      </c>
      <c r="E345" s="291"/>
      <c r="F345" s="295">
        <v>32706</v>
      </c>
      <c r="G345" s="287" t="s">
        <v>8460</v>
      </c>
      <c r="H345" s="266" t="s">
        <v>2222</v>
      </c>
      <c r="I345" s="268" t="s">
        <v>308</v>
      </c>
      <c r="J345" s="299"/>
      <c r="K345" s="259" t="str">
        <f>HYPERLINK("https://okcountyrecords.com/detail/roger+mills/1989-004252","OKCountyRecords: 1989-004252")</f>
        <v>OKCountyRecords: 1989-004252</v>
      </c>
    </row>
    <row r="346" spans="1:11" s="8" customFormat="1" ht="32.1" customHeight="1" x14ac:dyDescent="0.25">
      <c r="A346" s="278"/>
      <c r="B346" s="266"/>
      <c r="C346" s="266" t="s">
        <v>969</v>
      </c>
      <c r="D346" s="283" t="s">
        <v>6939</v>
      </c>
      <c r="E346" s="291"/>
      <c r="F346" s="295">
        <v>32706</v>
      </c>
      <c r="G346" s="287" t="s">
        <v>8460</v>
      </c>
      <c r="H346" s="266" t="s">
        <v>2227</v>
      </c>
      <c r="I346" s="268" t="s">
        <v>308</v>
      </c>
      <c r="J346" s="299"/>
      <c r="K346" s="259" t="str">
        <f>HYPERLINK("https://okcountyrecords.com/detail/roger+mills/1989-004249","OKCountyRecords: 1989-004249")</f>
        <v>OKCountyRecords: 1989-004249</v>
      </c>
    </row>
    <row r="347" spans="1:11" s="8" customFormat="1" ht="32.1" customHeight="1" x14ac:dyDescent="0.25">
      <c r="A347" s="278"/>
      <c r="B347" s="266"/>
      <c r="C347" s="266" t="s">
        <v>969</v>
      </c>
      <c r="D347" s="283" t="s">
        <v>6941</v>
      </c>
      <c r="E347" s="291"/>
      <c r="F347" s="295">
        <v>32706</v>
      </c>
      <c r="G347" s="287" t="s">
        <v>8460</v>
      </c>
      <c r="H347" s="266" t="s">
        <v>2230</v>
      </c>
      <c r="I347" s="268" t="s">
        <v>308</v>
      </c>
      <c r="J347" s="299"/>
      <c r="K347" s="259" t="str">
        <f>HYPERLINK("https://okcountyrecords.com/detail/roger+mills/1989-004250","OKCountyRecords: 1989-004250")</f>
        <v>OKCountyRecords: 1989-004250</v>
      </c>
    </row>
    <row r="348" spans="1:11" s="8" customFormat="1" ht="32.1" customHeight="1" x14ac:dyDescent="0.25">
      <c r="A348" s="278"/>
      <c r="B348" s="266"/>
      <c r="C348" s="266" t="s">
        <v>969</v>
      </c>
      <c r="D348" s="283" t="s">
        <v>6943</v>
      </c>
      <c r="E348" s="291"/>
      <c r="F348" s="295">
        <v>32706</v>
      </c>
      <c r="G348" s="287" t="s">
        <v>8460</v>
      </c>
      <c r="H348" s="266" t="s">
        <v>431</v>
      </c>
      <c r="I348" s="268" t="s">
        <v>308</v>
      </c>
      <c r="J348" s="299"/>
      <c r="K348" s="259" t="str">
        <f>HYPERLINK("https://okcountyrecords.com/detail/roger+mills/1989-004251","OKCountyRecords: 1989-004251")</f>
        <v>OKCountyRecords: 1989-004251</v>
      </c>
    </row>
    <row r="349" spans="1:11" s="8" customFormat="1" ht="32.1" customHeight="1" x14ac:dyDescent="0.25">
      <c r="A349" s="278"/>
      <c r="B349" s="266"/>
      <c r="C349" s="266" t="s">
        <v>969</v>
      </c>
      <c r="D349" s="283" t="s">
        <v>6945</v>
      </c>
      <c r="E349" s="291"/>
      <c r="F349" s="295">
        <v>32706</v>
      </c>
      <c r="G349" s="287" t="s">
        <v>8460</v>
      </c>
      <c r="H349" s="266" t="s">
        <v>2235</v>
      </c>
      <c r="I349" s="268" t="s">
        <v>308</v>
      </c>
      <c r="J349" s="299"/>
      <c r="K349" s="259" t="str">
        <f>HYPERLINK("https://okcountyrecords.com/detail/roger+mills/1989-004253","OKCountyRecords: 1989-004253")</f>
        <v>OKCountyRecords: 1989-004253</v>
      </c>
    </row>
    <row r="350" spans="1:11" s="8" customFormat="1" ht="32.1" customHeight="1" x14ac:dyDescent="0.25">
      <c r="A350" s="278"/>
      <c r="B350" s="266"/>
      <c r="C350" s="266" t="s">
        <v>969</v>
      </c>
      <c r="D350" s="283" t="s">
        <v>6947</v>
      </c>
      <c r="E350" s="291"/>
      <c r="F350" s="295">
        <v>32706</v>
      </c>
      <c r="G350" s="287" t="s">
        <v>8460</v>
      </c>
      <c r="H350" s="266" t="s">
        <v>2238</v>
      </c>
      <c r="I350" s="268" t="s">
        <v>308</v>
      </c>
      <c r="J350" s="299"/>
      <c r="K350" s="259" t="str">
        <f>HYPERLINK("https://okcountyrecords.com/detail/roger+mills/1989-004254","OKCountyRecords: 1989-004254")</f>
        <v>OKCountyRecords: 1989-004254</v>
      </c>
    </row>
    <row r="351" spans="1:11" s="8" customFormat="1" ht="32.1" customHeight="1" x14ac:dyDescent="0.25">
      <c r="A351" s="278"/>
      <c r="B351" s="266"/>
      <c r="C351" s="266" t="s">
        <v>969</v>
      </c>
      <c r="D351" s="283" t="s">
        <v>6936</v>
      </c>
      <c r="E351" s="291"/>
      <c r="F351" s="295">
        <v>32706</v>
      </c>
      <c r="G351" s="287" t="s">
        <v>8461</v>
      </c>
      <c r="H351" s="266" t="s">
        <v>433</v>
      </c>
      <c r="I351" s="268" t="s">
        <v>308</v>
      </c>
      <c r="J351" s="299"/>
      <c r="K351" s="259" t="str">
        <f>HYPERLINK("https://okcountyrecords.com/detail/roger+mills/1989-004248","OKCountyRecords: 1989-004248")</f>
        <v>OKCountyRecords: 1989-004248</v>
      </c>
    </row>
    <row r="352" spans="1:11" s="8" customFormat="1" ht="32.1" customHeight="1" x14ac:dyDescent="0.25">
      <c r="A352" s="278"/>
      <c r="B352" s="266"/>
      <c r="C352" s="266" t="s">
        <v>969</v>
      </c>
      <c r="D352" s="283" t="s">
        <v>6949</v>
      </c>
      <c r="E352" s="291"/>
      <c r="F352" s="295">
        <v>32706</v>
      </c>
      <c r="G352" s="287" t="s">
        <v>8460</v>
      </c>
      <c r="H352" s="266" t="s">
        <v>2241</v>
      </c>
      <c r="I352" s="268" t="s">
        <v>308</v>
      </c>
      <c r="J352" s="299"/>
      <c r="K352" s="259" t="str">
        <f>HYPERLINK("https://okcountyrecords.com/detail/roger+mills/1989-004255","OKCountyRecords: 1989-004255")</f>
        <v>OKCountyRecords: 1989-004255</v>
      </c>
    </row>
    <row r="353" spans="1:11" s="8" customFormat="1" ht="32.1" customHeight="1" x14ac:dyDescent="0.25">
      <c r="A353" s="278"/>
      <c r="B353" s="266"/>
      <c r="C353" s="266" t="s">
        <v>969</v>
      </c>
      <c r="D353" s="283" t="s">
        <v>6951</v>
      </c>
      <c r="E353" s="291"/>
      <c r="F353" s="295">
        <v>32706</v>
      </c>
      <c r="G353" s="287" t="s">
        <v>8460</v>
      </c>
      <c r="H353" s="266" t="s">
        <v>2244</v>
      </c>
      <c r="I353" s="268" t="s">
        <v>308</v>
      </c>
      <c r="J353" s="299"/>
      <c r="K353" s="259" t="str">
        <f>HYPERLINK("https://okcountyrecords.com/detail/roger+mills/1989-004256","OKCountyRecords: 1989-004256")</f>
        <v>OKCountyRecords: 1989-004256</v>
      </c>
    </row>
    <row r="354" spans="1:11" s="8" customFormat="1" ht="32.1" customHeight="1" x14ac:dyDescent="0.25">
      <c r="A354" s="278"/>
      <c r="B354" s="266"/>
      <c r="C354" s="266" t="s">
        <v>1274</v>
      </c>
      <c r="D354" s="283" t="s">
        <v>6964</v>
      </c>
      <c r="E354" s="291"/>
      <c r="F354" s="295">
        <v>32794</v>
      </c>
      <c r="G354" s="287" t="s">
        <v>2261</v>
      </c>
      <c r="H354" s="266" t="s">
        <v>2262</v>
      </c>
      <c r="I354" s="268" t="s">
        <v>308</v>
      </c>
      <c r="J354" s="299"/>
      <c r="K354" s="259" t="str">
        <f>HYPERLINK("https://okcountyrecords.com/detail/roger+mills/1989-005656","OKCountyRecords: 1989-005656")</f>
        <v>OKCountyRecords: 1989-005656</v>
      </c>
    </row>
    <row r="355" spans="1:11" s="8" customFormat="1" ht="32.1" customHeight="1" x14ac:dyDescent="0.25">
      <c r="A355" s="278"/>
      <c r="B355" s="266"/>
      <c r="C355" s="266" t="s">
        <v>969</v>
      </c>
      <c r="D355" s="283" t="s">
        <v>6974</v>
      </c>
      <c r="E355" s="291"/>
      <c r="F355" s="295">
        <v>32847</v>
      </c>
      <c r="G355" s="287" t="s">
        <v>2065</v>
      </c>
      <c r="H355" s="266" t="s">
        <v>8462</v>
      </c>
      <c r="I355" s="268" t="s">
        <v>308</v>
      </c>
      <c r="J355" s="299"/>
      <c r="K355" s="259" t="str">
        <f>HYPERLINK("https://okcountyrecords.com/detail/roger+mills/1989-006590","OKCountyRecords: 1989-006590")</f>
        <v>OKCountyRecords: 1989-006590</v>
      </c>
    </row>
    <row r="356" spans="1:11" s="8" customFormat="1" ht="32.1" customHeight="1" x14ac:dyDescent="0.25">
      <c r="A356" s="278"/>
      <c r="B356" s="266"/>
      <c r="C356" s="266" t="s">
        <v>969</v>
      </c>
      <c r="D356" s="283" t="s">
        <v>6980</v>
      </c>
      <c r="E356" s="291"/>
      <c r="F356" s="295">
        <v>32869</v>
      </c>
      <c r="G356" s="287" t="s">
        <v>2279</v>
      </c>
      <c r="H356" s="266" t="s">
        <v>577</v>
      </c>
      <c r="I356" s="268" t="s">
        <v>308</v>
      </c>
      <c r="J356" s="299"/>
      <c r="K356" s="259" t="str">
        <f>HYPERLINK("https://okcountyrecords.com/detail/roger+mills/1989-007000","OKCountyRecords: 1989-007000")</f>
        <v>OKCountyRecords: 1989-007000</v>
      </c>
    </row>
    <row r="357" spans="1:11" s="8" customFormat="1" ht="32.1" customHeight="1" x14ac:dyDescent="0.25">
      <c r="A357" s="278"/>
      <c r="B357" s="266"/>
      <c r="C357" s="266" t="s">
        <v>969</v>
      </c>
      <c r="D357" s="283" t="s">
        <v>6983</v>
      </c>
      <c r="E357" s="291"/>
      <c r="F357" s="295">
        <v>32869</v>
      </c>
      <c r="G357" s="287" t="s">
        <v>2279</v>
      </c>
      <c r="H357" s="266" t="s">
        <v>571</v>
      </c>
      <c r="I357" s="268" t="s">
        <v>308</v>
      </c>
      <c r="J357" s="299"/>
      <c r="K357" s="259" t="str">
        <f>HYPERLINK("https://okcountyrecords.com/detail/roger+mills/1989-007001","OKCountyRecords: 1989-007001")</f>
        <v>OKCountyRecords: 1989-007001</v>
      </c>
    </row>
    <row r="358" spans="1:11" s="8" customFormat="1" ht="32.1" customHeight="1" x14ac:dyDescent="0.25">
      <c r="A358" s="278"/>
      <c r="B358" s="266"/>
      <c r="C358" s="266" t="s">
        <v>969</v>
      </c>
      <c r="D358" s="283" t="s">
        <v>7021</v>
      </c>
      <c r="E358" s="291"/>
      <c r="F358" s="295">
        <v>32920</v>
      </c>
      <c r="G358" s="287" t="s">
        <v>8463</v>
      </c>
      <c r="H358" s="266" t="s">
        <v>397</v>
      </c>
      <c r="I358" s="268" t="s">
        <v>308</v>
      </c>
      <c r="J358" s="299"/>
      <c r="K358" s="259" t="str">
        <f>HYPERLINK("https://okcountyrecords.com/detail/roger+mills/1990-000910","OKCountyRecords: 1990-000910")</f>
        <v>OKCountyRecords: 1990-000910</v>
      </c>
    </row>
    <row r="359" spans="1:11" s="8" customFormat="1" ht="32.1" customHeight="1" x14ac:dyDescent="0.25">
      <c r="A359" s="278"/>
      <c r="B359" s="266"/>
      <c r="C359" s="266" t="s">
        <v>969</v>
      </c>
      <c r="D359" s="283" t="s">
        <v>7023</v>
      </c>
      <c r="E359" s="291"/>
      <c r="F359" s="295">
        <v>32920</v>
      </c>
      <c r="G359" s="287" t="s">
        <v>8463</v>
      </c>
      <c r="H359" s="266" t="s">
        <v>573</v>
      </c>
      <c r="I359" s="268" t="s">
        <v>308</v>
      </c>
      <c r="J359" s="299"/>
      <c r="K359" s="259" t="str">
        <f>HYPERLINK("https://okcountyrecords.com/detail/roger+mills/1990-000911","OKCountyRecords: 1990-000911")</f>
        <v>OKCountyRecords: 1990-000911</v>
      </c>
    </row>
    <row r="360" spans="1:11" s="8" customFormat="1" ht="32.1" customHeight="1" x14ac:dyDescent="0.25">
      <c r="A360" s="278"/>
      <c r="B360" s="266"/>
      <c r="C360" s="266" t="s">
        <v>969</v>
      </c>
      <c r="D360" s="283" t="s">
        <v>7025</v>
      </c>
      <c r="E360" s="291"/>
      <c r="F360" s="295">
        <v>32920</v>
      </c>
      <c r="G360" s="287" t="s">
        <v>8463</v>
      </c>
      <c r="H360" s="266" t="s">
        <v>394</v>
      </c>
      <c r="I360" s="268" t="s">
        <v>308</v>
      </c>
      <c r="J360" s="299"/>
      <c r="K360" s="259" t="str">
        <f>HYPERLINK("https://okcountyrecords.com/detail/roger+mills/1990-000912","OKCountyRecords: 1990-000912")</f>
        <v>OKCountyRecords: 1990-000912</v>
      </c>
    </row>
    <row r="361" spans="1:11" s="8" customFormat="1" ht="32.1" customHeight="1" x14ac:dyDescent="0.25">
      <c r="A361" s="278"/>
      <c r="B361" s="266"/>
      <c r="C361" s="266" t="s">
        <v>969</v>
      </c>
      <c r="D361" s="283" t="s">
        <v>7027</v>
      </c>
      <c r="E361" s="291"/>
      <c r="F361" s="295">
        <v>32920</v>
      </c>
      <c r="G361" s="287" t="s">
        <v>8463</v>
      </c>
      <c r="H361" s="266" t="s">
        <v>396</v>
      </c>
      <c r="I361" s="268" t="s">
        <v>313</v>
      </c>
      <c r="J361" s="299"/>
      <c r="K361" s="259" t="str">
        <f>HYPERLINK("https://okcountyrecords.com/detail/roger+mills/1990-000913","OKCountyRecords: 1990-000913")</f>
        <v>OKCountyRecords: 1990-000913</v>
      </c>
    </row>
    <row r="362" spans="1:11" s="8" customFormat="1" ht="32.1" customHeight="1" x14ac:dyDescent="0.25">
      <c r="A362" s="278"/>
      <c r="B362" s="266"/>
      <c r="C362" s="266" t="s">
        <v>969</v>
      </c>
      <c r="D362" s="283" t="s">
        <v>7008</v>
      </c>
      <c r="E362" s="291"/>
      <c r="F362" s="295">
        <v>32920</v>
      </c>
      <c r="G362" s="287" t="s">
        <v>8463</v>
      </c>
      <c r="H362" s="266" t="s">
        <v>400</v>
      </c>
      <c r="I362" s="268" t="s">
        <v>308</v>
      </c>
      <c r="J362" s="299"/>
      <c r="K362" s="259" t="str">
        <f>HYPERLINK("https://okcountyrecords.com/detail/roger+mills/1990-000905","OKCountyRecords: 1990-000905")</f>
        <v>OKCountyRecords: 1990-000905</v>
      </c>
    </row>
    <row r="363" spans="1:11" s="8" customFormat="1" ht="32.1" customHeight="1" x14ac:dyDescent="0.25">
      <c r="A363" s="278"/>
      <c r="B363" s="266"/>
      <c r="C363" s="266" t="s">
        <v>969</v>
      </c>
      <c r="D363" s="283" t="s">
        <v>7012</v>
      </c>
      <c r="E363" s="291"/>
      <c r="F363" s="295">
        <v>32920</v>
      </c>
      <c r="G363" s="287" t="s">
        <v>8463</v>
      </c>
      <c r="H363" s="266" t="s">
        <v>8464</v>
      </c>
      <c r="I363" s="268" t="s">
        <v>308</v>
      </c>
      <c r="J363" s="299"/>
      <c r="K363" s="259" t="str">
        <f>HYPERLINK("https://okcountyrecords.com/detail/roger+mills/1990-000906","OKCountyRecords: 1990-000906")</f>
        <v>OKCountyRecords: 1990-000906</v>
      </c>
    </row>
    <row r="364" spans="1:11" s="8" customFormat="1" ht="32.1" customHeight="1" x14ac:dyDescent="0.25">
      <c r="A364" s="278"/>
      <c r="B364" s="266"/>
      <c r="C364" s="266" t="s">
        <v>969</v>
      </c>
      <c r="D364" s="283" t="s">
        <v>7014</v>
      </c>
      <c r="E364" s="291"/>
      <c r="F364" s="295">
        <v>32920</v>
      </c>
      <c r="G364" s="287" t="s">
        <v>8465</v>
      </c>
      <c r="H364" s="266" t="s">
        <v>395</v>
      </c>
      <c r="I364" s="268" t="s">
        <v>308</v>
      </c>
      <c r="J364" s="299"/>
      <c r="K364" s="259" t="str">
        <f>HYPERLINK("https://okcountyrecords.com/detail/roger+mills/1990-000907","OKCountyRecords: 1990-000907")</f>
        <v>OKCountyRecords: 1990-000907</v>
      </c>
    </row>
    <row r="365" spans="1:11" s="8" customFormat="1" ht="32.1" customHeight="1" x14ac:dyDescent="0.25">
      <c r="A365" s="278"/>
      <c r="B365" s="266"/>
      <c r="C365" s="266" t="s">
        <v>969</v>
      </c>
      <c r="D365" s="283" t="s">
        <v>7017</v>
      </c>
      <c r="E365" s="291"/>
      <c r="F365" s="295">
        <v>32920</v>
      </c>
      <c r="G365" s="287" t="s">
        <v>8463</v>
      </c>
      <c r="H365" s="266" t="s">
        <v>392</v>
      </c>
      <c r="I365" s="268" t="s">
        <v>308</v>
      </c>
      <c r="J365" s="299"/>
      <c r="K365" s="259" t="str">
        <f>HYPERLINK("https://okcountyrecords.com/detail/roger+mills/1990-000908","OKCountyRecords: 1990-000908")</f>
        <v>OKCountyRecords: 1990-000908</v>
      </c>
    </row>
    <row r="366" spans="1:11" s="8" customFormat="1" ht="32.1" customHeight="1" x14ac:dyDescent="0.25">
      <c r="A366" s="278"/>
      <c r="B366" s="266"/>
      <c r="C366" s="266" t="s">
        <v>969</v>
      </c>
      <c r="D366" s="283" t="s">
        <v>7019</v>
      </c>
      <c r="E366" s="291"/>
      <c r="F366" s="295">
        <v>32920</v>
      </c>
      <c r="G366" s="287" t="s">
        <v>8463</v>
      </c>
      <c r="H366" s="266" t="s">
        <v>5638</v>
      </c>
      <c r="I366" s="268" t="s">
        <v>308</v>
      </c>
      <c r="J366" s="299"/>
      <c r="K366" s="259" t="str">
        <f>HYPERLINK("https://okcountyrecords.com/detail/roger+mills/1990-000909","OKCountyRecords: 1990-000909")</f>
        <v>OKCountyRecords: 1990-000909</v>
      </c>
    </row>
    <row r="367" spans="1:11" s="8" customFormat="1" ht="32.1" customHeight="1" x14ac:dyDescent="0.25">
      <c r="A367" s="278"/>
      <c r="B367" s="266"/>
      <c r="C367" s="266" t="s">
        <v>1274</v>
      </c>
      <c r="D367" s="283" t="s">
        <v>7032</v>
      </c>
      <c r="E367" s="291"/>
      <c r="F367" s="295">
        <v>32952</v>
      </c>
      <c r="G367" s="287" t="s">
        <v>2338</v>
      </c>
      <c r="H367" s="266" t="s">
        <v>1110</v>
      </c>
      <c r="I367" s="268" t="s">
        <v>308</v>
      </c>
      <c r="J367" s="299"/>
      <c r="K367" s="259" t="str">
        <f>HYPERLINK("https://okcountyrecords.com/detail/roger+mills/1990-001592","OKCountyRecords: 1990-001592")</f>
        <v>OKCountyRecords: 1990-001592</v>
      </c>
    </row>
    <row r="368" spans="1:11" s="8" customFormat="1" ht="32.1" customHeight="1" x14ac:dyDescent="0.25">
      <c r="A368" s="278"/>
      <c r="B368" s="266"/>
      <c r="C368" s="266" t="s">
        <v>969</v>
      </c>
      <c r="D368" s="283" t="s">
        <v>7044</v>
      </c>
      <c r="E368" s="291"/>
      <c r="F368" s="295">
        <v>32957</v>
      </c>
      <c r="G368" s="287" t="s">
        <v>2279</v>
      </c>
      <c r="H368" s="266" t="s">
        <v>571</v>
      </c>
      <c r="I368" s="268" t="s">
        <v>308</v>
      </c>
      <c r="J368" s="299"/>
      <c r="K368" s="259" t="str">
        <f>HYPERLINK("https://okcountyrecords.com/detail/roger+mills/1990-001689","OKCountyRecords: 1990-001689")</f>
        <v>OKCountyRecords: 1990-001689</v>
      </c>
    </row>
    <row r="369" spans="1:11" s="8" customFormat="1" ht="32.1" customHeight="1" x14ac:dyDescent="0.25">
      <c r="A369" s="278"/>
      <c r="B369" s="266"/>
      <c r="C369" s="266" t="s">
        <v>969</v>
      </c>
      <c r="D369" s="283" t="s">
        <v>7046</v>
      </c>
      <c r="E369" s="291"/>
      <c r="F369" s="295">
        <v>32957</v>
      </c>
      <c r="G369" s="287" t="s">
        <v>2279</v>
      </c>
      <c r="H369" s="266" t="s">
        <v>577</v>
      </c>
      <c r="I369" s="268" t="s">
        <v>308</v>
      </c>
      <c r="J369" s="299"/>
      <c r="K369" s="259" t="str">
        <f>HYPERLINK("https://okcountyrecords.com/detail/roger+mills/1990-001690","OKCountyRecords: 1990-001690")</f>
        <v>OKCountyRecords: 1990-001690</v>
      </c>
    </row>
    <row r="370" spans="1:11" s="8" customFormat="1" ht="32.1" customHeight="1" x14ac:dyDescent="0.25">
      <c r="A370" s="278"/>
      <c r="B370" s="266"/>
      <c r="C370" s="266" t="s">
        <v>969</v>
      </c>
      <c r="D370" s="283" t="s">
        <v>7048</v>
      </c>
      <c r="E370" s="291"/>
      <c r="F370" s="295">
        <v>32960</v>
      </c>
      <c r="G370" s="287" t="s">
        <v>2235</v>
      </c>
      <c r="H370" s="266" t="s">
        <v>8466</v>
      </c>
      <c r="I370" s="268" t="s">
        <v>308</v>
      </c>
      <c r="J370" s="299"/>
      <c r="K370" s="259" t="str">
        <f>HYPERLINK("https://okcountyrecords.com/detail/roger+mills/1990-001750","OKCountyRecords: 1990-001750")</f>
        <v>OKCountyRecords: 1990-001750</v>
      </c>
    </row>
    <row r="371" spans="1:11" s="8" customFormat="1" ht="32.1" customHeight="1" x14ac:dyDescent="0.25">
      <c r="A371" s="278"/>
      <c r="B371" s="266"/>
      <c r="C371" s="266" t="s">
        <v>1274</v>
      </c>
      <c r="D371" s="283" t="s">
        <v>7055</v>
      </c>
      <c r="E371" s="291"/>
      <c r="F371" s="295">
        <v>32969</v>
      </c>
      <c r="G371" s="287" t="s">
        <v>2160</v>
      </c>
      <c r="H371" s="266" t="s">
        <v>5723</v>
      </c>
      <c r="I371" s="268" t="s">
        <v>308</v>
      </c>
      <c r="J371" s="299"/>
      <c r="K371" s="259" t="str">
        <f>HYPERLINK("https://okcountyrecords.com/detail/roger+mills/1990-001986","OKCountyRecords: 1990-001986")</f>
        <v>OKCountyRecords: 1990-001986</v>
      </c>
    </row>
    <row r="372" spans="1:11" s="8" customFormat="1" ht="32.1" customHeight="1" x14ac:dyDescent="0.25">
      <c r="A372" s="278"/>
      <c r="B372" s="266"/>
      <c r="C372" s="266" t="s">
        <v>1274</v>
      </c>
      <c r="D372" s="283" t="s">
        <v>7057</v>
      </c>
      <c r="E372" s="291"/>
      <c r="F372" s="295">
        <v>32969</v>
      </c>
      <c r="G372" s="287" t="s">
        <v>2160</v>
      </c>
      <c r="H372" s="266" t="s">
        <v>5723</v>
      </c>
      <c r="I372" s="268" t="s">
        <v>308</v>
      </c>
      <c r="J372" s="299"/>
      <c r="K372" s="259" t="str">
        <f>HYPERLINK("https://okcountyrecords.com/detail/roger+mills/1990-001987","OKCountyRecords: 1990-001987")</f>
        <v>OKCountyRecords: 1990-001987</v>
      </c>
    </row>
    <row r="373" spans="1:11" s="8" customFormat="1" ht="32.1" customHeight="1" x14ac:dyDescent="0.25">
      <c r="A373" s="278"/>
      <c r="B373" s="266"/>
      <c r="C373" s="266" t="s">
        <v>1274</v>
      </c>
      <c r="D373" s="283" t="s">
        <v>7059</v>
      </c>
      <c r="E373" s="291"/>
      <c r="F373" s="295">
        <v>32969</v>
      </c>
      <c r="G373" s="287" t="s">
        <v>2160</v>
      </c>
      <c r="H373" s="266" t="s">
        <v>5723</v>
      </c>
      <c r="I373" s="268" t="s">
        <v>313</v>
      </c>
      <c r="J373" s="299"/>
      <c r="K373" s="259" t="str">
        <f>HYPERLINK("https://okcountyrecords.com/detail/roger+mills/1990-001991","OKCountyRecords: 1990-001991")</f>
        <v>OKCountyRecords: 1990-001991</v>
      </c>
    </row>
    <row r="374" spans="1:11" s="8" customFormat="1" ht="32.1" customHeight="1" x14ac:dyDescent="0.25">
      <c r="A374" s="278"/>
      <c r="B374" s="266"/>
      <c r="C374" s="266" t="s">
        <v>1274</v>
      </c>
      <c r="D374" s="283" t="s">
        <v>7061</v>
      </c>
      <c r="E374" s="291"/>
      <c r="F374" s="295">
        <v>32969</v>
      </c>
      <c r="G374" s="287" t="s">
        <v>2160</v>
      </c>
      <c r="H374" s="266" t="s">
        <v>5723</v>
      </c>
      <c r="I374" s="268" t="s">
        <v>313</v>
      </c>
      <c r="J374" s="299"/>
      <c r="K374" s="259" t="str">
        <f>HYPERLINK("https://okcountyrecords.com/detail/roger+mills/1990-001992","OKCountyRecords: 1990-001992")</f>
        <v>OKCountyRecords: 1990-001992</v>
      </c>
    </row>
    <row r="375" spans="1:11" s="8" customFormat="1" ht="32.1" customHeight="1" x14ac:dyDescent="0.25">
      <c r="A375" s="278"/>
      <c r="B375" s="266"/>
      <c r="C375" s="266" t="s">
        <v>1274</v>
      </c>
      <c r="D375" s="283" t="s">
        <v>7063</v>
      </c>
      <c r="E375" s="291"/>
      <c r="F375" s="295">
        <v>32969</v>
      </c>
      <c r="G375" s="287" t="s">
        <v>2160</v>
      </c>
      <c r="H375" s="266" t="s">
        <v>5723</v>
      </c>
      <c r="I375" s="268" t="s">
        <v>313</v>
      </c>
      <c r="J375" s="299"/>
      <c r="K375" s="259" t="str">
        <f>HYPERLINK("https://okcountyrecords.com/detail/roger+mills/1990-001993","OKCountyRecords: 1990-001993")</f>
        <v>OKCountyRecords: 1990-001993</v>
      </c>
    </row>
    <row r="376" spans="1:11" s="8" customFormat="1" ht="32.1" customHeight="1" x14ac:dyDescent="0.25">
      <c r="A376" s="278"/>
      <c r="B376" s="266"/>
      <c r="C376" s="266" t="s">
        <v>1274</v>
      </c>
      <c r="D376" s="283" t="s">
        <v>7065</v>
      </c>
      <c r="E376" s="291"/>
      <c r="F376" s="295">
        <v>32969</v>
      </c>
      <c r="G376" s="287" t="s">
        <v>2160</v>
      </c>
      <c r="H376" s="266" t="s">
        <v>5723</v>
      </c>
      <c r="I376" s="268" t="s">
        <v>308</v>
      </c>
      <c r="J376" s="299"/>
      <c r="K376" s="259" t="str">
        <f>HYPERLINK("https://okcountyrecords.com/detail/roger+mills/1990-001996","OKCountyRecords: 1990-001996")</f>
        <v>OKCountyRecords: 1990-001996</v>
      </c>
    </row>
    <row r="377" spans="1:11" s="8" customFormat="1" ht="32.1" customHeight="1" x14ac:dyDescent="0.25">
      <c r="A377" s="278"/>
      <c r="B377" s="266"/>
      <c r="C377" s="266" t="s">
        <v>969</v>
      </c>
      <c r="D377" s="283" t="s">
        <v>7052</v>
      </c>
      <c r="E377" s="291"/>
      <c r="F377" s="295">
        <v>32969</v>
      </c>
      <c r="G377" s="287" t="s">
        <v>8290</v>
      </c>
      <c r="H377" s="266" t="s">
        <v>8467</v>
      </c>
      <c r="I377" s="268" t="s">
        <v>308</v>
      </c>
      <c r="J377" s="299"/>
      <c r="K377" s="259" t="str">
        <f>HYPERLINK("https://okcountyrecords.com/detail/roger+mills/1990-001925","OKCountyRecords: 1990-001925")</f>
        <v>OKCountyRecords: 1990-001925</v>
      </c>
    </row>
    <row r="378" spans="1:11" s="8" customFormat="1" ht="32.1" customHeight="1" x14ac:dyDescent="0.25">
      <c r="A378" s="278"/>
      <c r="B378" s="266"/>
      <c r="C378" s="266" t="s">
        <v>969</v>
      </c>
      <c r="D378" s="283" t="s">
        <v>7067</v>
      </c>
      <c r="E378" s="291"/>
      <c r="F378" s="295">
        <v>32975</v>
      </c>
      <c r="G378" s="287" t="s">
        <v>8468</v>
      </c>
      <c r="H378" s="266" t="s">
        <v>678</v>
      </c>
      <c r="I378" s="268" t="s">
        <v>308</v>
      </c>
      <c r="J378" s="299"/>
      <c r="K378" s="259" t="str">
        <f>HYPERLINK("https://okcountyrecords.com/detail/roger+mills/1990-002146","OKCountyRecords: 1990-002146")</f>
        <v>OKCountyRecords: 1990-002146</v>
      </c>
    </row>
    <row r="379" spans="1:11" s="8" customFormat="1" ht="32.1" customHeight="1" x14ac:dyDescent="0.25">
      <c r="A379" s="278"/>
      <c r="B379" s="266"/>
      <c r="C379" s="266" t="s">
        <v>969</v>
      </c>
      <c r="D379" s="283" t="s">
        <v>7070</v>
      </c>
      <c r="E379" s="291"/>
      <c r="F379" s="295">
        <v>32993</v>
      </c>
      <c r="G379" s="287" t="s">
        <v>678</v>
      </c>
      <c r="H379" s="266" t="s">
        <v>2376</v>
      </c>
      <c r="I379" s="268" t="s">
        <v>308</v>
      </c>
      <c r="J379" s="299"/>
      <c r="K379" s="259" t="str">
        <f>HYPERLINK("https://okcountyrecords.com/detail/roger+mills/1990-002451","OKCountyRecords: 1990-002451")</f>
        <v>OKCountyRecords: 1990-002451</v>
      </c>
    </row>
    <row r="380" spans="1:11" s="8" customFormat="1" ht="32.1" customHeight="1" x14ac:dyDescent="0.25">
      <c r="A380" s="278"/>
      <c r="B380" s="266"/>
      <c r="C380" s="266" t="s">
        <v>969</v>
      </c>
      <c r="D380" s="283" t="s">
        <v>7076</v>
      </c>
      <c r="E380" s="291"/>
      <c r="F380" s="295">
        <v>33000</v>
      </c>
      <c r="G380" s="287" t="s">
        <v>2383</v>
      </c>
      <c r="H380" s="266" t="s">
        <v>8469</v>
      </c>
      <c r="I380" s="268" t="s">
        <v>308</v>
      </c>
      <c r="J380" s="299"/>
      <c r="K380" s="259" t="str">
        <f>HYPERLINK("https://okcountyrecords.com/detail/roger+mills/1990-002606","OKCountyRecords: 1990-002606")</f>
        <v>OKCountyRecords: 1990-002606</v>
      </c>
    </row>
    <row r="381" spans="1:11" s="8" customFormat="1" ht="32.1" customHeight="1" x14ac:dyDescent="0.25">
      <c r="A381" s="278"/>
      <c r="B381" s="266"/>
      <c r="C381" s="266" t="s">
        <v>969</v>
      </c>
      <c r="D381" s="283" t="s">
        <v>7079</v>
      </c>
      <c r="E381" s="291"/>
      <c r="F381" s="295">
        <v>33025</v>
      </c>
      <c r="G381" s="287" t="s">
        <v>8467</v>
      </c>
      <c r="H381" s="266" t="s">
        <v>678</v>
      </c>
      <c r="I381" s="268" t="s">
        <v>308</v>
      </c>
      <c r="J381" s="299"/>
      <c r="K381" s="259" t="str">
        <f>HYPERLINK("https://okcountyrecords.com/detail/roger+mills/1990-003160","OKCountyRecords: 1990-003160")</f>
        <v>OKCountyRecords: 1990-003160</v>
      </c>
    </row>
    <row r="382" spans="1:11" s="8" customFormat="1" ht="32.1" customHeight="1" x14ac:dyDescent="0.25">
      <c r="A382" s="278"/>
      <c r="B382" s="266"/>
      <c r="C382" s="266" t="s">
        <v>969</v>
      </c>
      <c r="D382" s="283" t="s">
        <v>7085</v>
      </c>
      <c r="E382" s="291"/>
      <c r="F382" s="295">
        <v>33059</v>
      </c>
      <c r="G382" s="287" t="s">
        <v>678</v>
      </c>
      <c r="H382" s="266" t="s">
        <v>8470</v>
      </c>
      <c r="I382" s="268" t="s">
        <v>308</v>
      </c>
      <c r="J382" s="299"/>
      <c r="K382" s="259" t="str">
        <f>HYPERLINK("https://okcountyrecords.com/detail/roger+mills/1990-003924","OKCountyRecords: 1990-003924")</f>
        <v>OKCountyRecords: 1990-003924</v>
      </c>
    </row>
    <row r="383" spans="1:11" s="8" customFormat="1" ht="32.1" customHeight="1" x14ac:dyDescent="0.25">
      <c r="A383" s="278"/>
      <c r="B383" s="266"/>
      <c r="C383" s="266" t="s">
        <v>969</v>
      </c>
      <c r="D383" s="283" t="s">
        <v>7088</v>
      </c>
      <c r="E383" s="291"/>
      <c r="F383" s="295">
        <v>33073</v>
      </c>
      <c r="G383" s="287" t="s">
        <v>2394</v>
      </c>
      <c r="H383" s="266" t="s">
        <v>8471</v>
      </c>
      <c r="I383" s="268" t="s">
        <v>308</v>
      </c>
      <c r="J383" s="299"/>
      <c r="K383" s="259" t="str">
        <f>HYPERLINK("https://okcountyrecords.com/detail/roger+mills/1990-004213","OKCountyRecords: 1990-004213")</f>
        <v>OKCountyRecords: 1990-004213</v>
      </c>
    </row>
    <row r="384" spans="1:11" s="8" customFormat="1" ht="32.1" customHeight="1" x14ac:dyDescent="0.25">
      <c r="A384" s="278"/>
      <c r="B384" s="266"/>
      <c r="C384" s="266" t="s">
        <v>969</v>
      </c>
      <c r="D384" s="283" t="s">
        <v>7091</v>
      </c>
      <c r="E384" s="291"/>
      <c r="F384" s="295">
        <v>33114</v>
      </c>
      <c r="G384" s="287" t="s">
        <v>5725</v>
      </c>
      <c r="H384" s="266" t="s">
        <v>258</v>
      </c>
      <c r="I384" s="268" t="s">
        <v>308</v>
      </c>
      <c r="J384" s="299"/>
      <c r="K384" s="259" t="str">
        <f>HYPERLINK("https://okcountyrecords.com/detail/roger+mills/1990-005042","OKCountyRecords: 1990-005042")</f>
        <v>OKCountyRecords: 1990-005042</v>
      </c>
    </row>
    <row r="385" spans="1:11" s="8" customFormat="1" ht="32.1" customHeight="1" x14ac:dyDescent="0.25">
      <c r="A385" s="278"/>
      <c r="B385" s="266"/>
      <c r="C385" s="266" t="s">
        <v>969</v>
      </c>
      <c r="D385" s="283" t="s">
        <v>7094</v>
      </c>
      <c r="E385" s="291"/>
      <c r="F385" s="295">
        <v>33114</v>
      </c>
      <c r="G385" s="287" t="s">
        <v>304</v>
      </c>
      <c r="H385" s="266" t="s">
        <v>258</v>
      </c>
      <c r="I385" s="268" t="s">
        <v>308</v>
      </c>
      <c r="J385" s="299"/>
      <c r="K385" s="259" t="str">
        <f>HYPERLINK("https://okcountyrecords.com/detail/roger+mills/1990-005043","OKCountyRecords: 1990-005043")</f>
        <v>OKCountyRecords: 1990-005043</v>
      </c>
    </row>
    <row r="386" spans="1:11" s="8" customFormat="1" ht="32.1" customHeight="1" x14ac:dyDescent="0.25">
      <c r="A386" s="278"/>
      <c r="B386" s="266"/>
      <c r="C386" s="266" t="s">
        <v>969</v>
      </c>
      <c r="D386" s="283" t="s">
        <v>7099</v>
      </c>
      <c r="E386" s="291"/>
      <c r="F386" s="295">
        <v>33158</v>
      </c>
      <c r="G386" s="287" t="s">
        <v>2404</v>
      </c>
      <c r="H386" s="266" t="s">
        <v>8472</v>
      </c>
      <c r="I386" s="268" t="s">
        <v>308</v>
      </c>
      <c r="J386" s="299"/>
      <c r="K386" s="259" t="str">
        <f>HYPERLINK("https://okcountyrecords.com/detail/roger+mills/1990-005848","OKCountyRecords: 1990-005848")</f>
        <v>OKCountyRecords: 1990-005848</v>
      </c>
    </row>
    <row r="387" spans="1:11" s="8" customFormat="1" ht="32.1" customHeight="1" x14ac:dyDescent="0.25">
      <c r="A387" s="278"/>
      <c r="B387" s="266"/>
      <c r="C387" s="266" t="s">
        <v>1274</v>
      </c>
      <c r="D387" s="283" t="s">
        <v>7102</v>
      </c>
      <c r="E387" s="291"/>
      <c r="F387" s="295">
        <v>33205</v>
      </c>
      <c r="G387" s="287" t="s">
        <v>381</v>
      </c>
      <c r="H387" s="266" t="s">
        <v>2408</v>
      </c>
      <c r="I387" s="268" t="s">
        <v>308</v>
      </c>
      <c r="J387" s="299"/>
      <c r="K387" s="259" t="str">
        <f>HYPERLINK("https://okcountyrecords.com/detail/roger+mills/1990-006747","OKCountyRecords: 1990-006747")</f>
        <v>OKCountyRecords: 1990-006747</v>
      </c>
    </row>
    <row r="388" spans="1:11" s="8" customFormat="1" ht="32.1" customHeight="1" x14ac:dyDescent="0.25">
      <c r="A388" s="278"/>
      <c r="B388" s="266"/>
      <c r="C388" s="266" t="s">
        <v>969</v>
      </c>
      <c r="D388" s="283" t="s">
        <v>7105</v>
      </c>
      <c r="E388" s="291"/>
      <c r="F388" s="295">
        <v>33277</v>
      </c>
      <c r="G388" s="287" t="s">
        <v>8473</v>
      </c>
      <c r="H388" s="266" t="s">
        <v>2412</v>
      </c>
      <c r="I388" s="268" t="s">
        <v>308</v>
      </c>
      <c r="J388" s="299"/>
      <c r="K388" s="259" t="str">
        <f>HYPERLINK("https://okcountyrecords.com/detail/roger+mills/1991-000858","OKCountyRecords: 1991-000858")</f>
        <v>OKCountyRecords: 1991-000858</v>
      </c>
    </row>
    <row r="389" spans="1:11" s="8" customFormat="1" ht="32.1" customHeight="1" x14ac:dyDescent="0.25">
      <c r="A389" s="278"/>
      <c r="B389" s="266"/>
      <c r="C389" s="266" t="s">
        <v>1107</v>
      </c>
      <c r="D389" s="283" t="s">
        <v>7114</v>
      </c>
      <c r="E389" s="291">
        <v>33399</v>
      </c>
      <c r="F389" s="295">
        <v>33399</v>
      </c>
      <c r="G389" s="287" t="s">
        <v>8474</v>
      </c>
      <c r="H389" s="266" t="s">
        <v>8474</v>
      </c>
      <c r="I389" s="268" t="s">
        <v>308</v>
      </c>
      <c r="J389" s="299"/>
      <c r="K389" s="259" t="str">
        <f>HYPERLINK("https://okcountyrecords.com/detail/roger+mills/1991-002734","OKCountyRecords: 1991-002734")</f>
        <v>OKCountyRecords: 1991-002734</v>
      </c>
    </row>
    <row r="390" spans="1:11" s="8" customFormat="1" ht="32.1" customHeight="1" x14ac:dyDescent="0.25">
      <c r="A390" s="278"/>
      <c r="B390" s="266"/>
      <c r="C390" s="266" t="s">
        <v>2430</v>
      </c>
      <c r="D390" s="283" t="s">
        <v>7123</v>
      </c>
      <c r="E390" s="291"/>
      <c r="F390" s="295">
        <v>33456</v>
      </c>
      <c r="G390" s="287" t="s">
        <v>2432</v>
      </c>
      <c r="H390" s="266" t="s">
        <v>345</v>
      </c>
      <c r="I390" s="268" t="s">
        <v>308</v>
      </c>
      <c r="J390" s="299"/>
      <c r="K390" s="259" t="str">
        <f>HYPERLINK("https://okcountyrecords.com/detail/roger+mills/1991-003518","OKCountyRecords: 1991-003518")</f>
        <v>OKCountyRecords: 1991-003518</v>
      </c>
    </row>
    <row r="391" spans="1:11" s="8" customFormat="1" ht="32.1" customHeight="1" x14ac:dyDescent="0.25">
      <c r="A391" s="278"/>
      <c r="B391" s="266"/>
      <c r="C391" s="266" t="s">
        <v>2437</v>
      </c>
      <c r="D391" s="283" t="s">
        <v>7129</v>
      </c>
      <c r="E391" s="291"/>
      <c r="F391" s="295">
        <v>33522</v>
      </c>
      <c r="G391" s="287" t="s">
        <v>379</v>
      </c>
      <c r="H391" s="266" t="s">
        <v>8475</v>
      </c>
      <c r="I391" s="268" t="s">
        <v>308</v>
      </c>
      <c r="J391" s="299"/>
      <c r="K391" s="259" t="str">
        <f>HYPERLINK("https://okcountyrecords.com/detail/roger+mills/1991-004456","OKCountyRecords: 1991-004456")</f>
        <v>OKCountyRecords: 1991-004456</v>
      </c>
    </row>
    <row r="392" spans="1:11" s="8" customFormat="1" ht="32.1" customHeight="1" x14ac:dyDescent="0.25">
      <c r="A392" s="278"/>
      <c r="B392" s="266"/>
      <c r="C392" s="266" t="s">
        <v>2441</v>
      </c>
      <c r="D392" s="283" t="s">
        <v>7132</v>
      </c>
      <c r="E392" s="291"/>
      <c r="F392" s="295">
        <v>33528</v>
      </c>
      <c r="G392" s="287" t="s">
        <v>8476</v>
      </c>
      <c r="H392" s="266" t="s">
        <v>2444</v>
      </c>
      <c r="I392" s="268" t="s">
        <v>308</v>
      </c>
      <c r="J392" s="299"/>
      <c r="K392" s="259" t="str">
        <f>HYPERLINK("https://okcountyrecords.com/detail/roger+mills/1991-004543","OKCountyRecords: 1991-004543")</f>
        <v>OKCountyRecords: 1991-004543</v>
      </c>
    </row>
    <row r="393" spans="1:11" s="8" customFormat="1" ht="32.1" customHeight="1" x14ac:dyDescent="0.25">
      <c r="A393" s="278"/>
      <c r="B393" s="266"/>
      <c r="C393" s="266" t="s">
        <v>2441</v>
      </c>
      <c r="D393" s="283" t="s">
        <v>7135</v>
      </c>
      <c r="E393" s="291"/>
      <c r="F393" s="295">
        <v>33574</v>
      </c>
      <c r="G393" s="287" t="s">
        <v>8473</v>
      </c>
      <c r="H393" s="266" t="s">
        <v>8477</v>
      </c>
      <c r="I393" s="268" t="s">
        <v>308</v>
      </c>
      <c r="J393" s="299"/>
      <c r="K393" s="259" t="str">
        <f>HYPERLINK("https://okcountyrecords.com/detail/roger+mills/1991-005340","OKCountyRecords: 1991-005340")</f>
        <v>OKCountyRecords: 1991-005340</v>
      </c>
    </row>
    <row r="394" spans="1:11" s="8" customFormat="1" ht="32.1" customHeight="1" x14ac:dyDescent="0.25">
      <c r="A394" s="278"/>
      <c r="B394" s="266"/>
      <c r="C394" s="266" t="s">
        <v>1107</v>
      </c>
      <c r="D394" s="283" t="s">
        <v>7138</v>
      </c>
      <c r="E394" s="291"/>
      <c r="F394" s="295">
        <v>33682</v>
      </c>
      <c r="G394" s="287" t="s">
        <v>2376</v>
      </c>
      <c r="H394" s="266" t="s">
        <v>1110</v>
      </c>
      <c r="I394" s="268" t="s">
        <v>308</v>
      </c>
      <c r="J394" s="299"/>
      <c r="K394" s="259" t="str">
        <f>HYPERLINK("https://okcountyrecords.com/detail/roger+mills/1992-000943","OKCountyRecords: 1992-000943")</f>
        <v>OKCountyRecords: 1992-000943</v>
      </c>
    </row>
    <row r="395" spans="1:11" s="8" customFormat="1" ht="32.1" customHeight="1" x14ac:dyDescent="0.25">
      <c r="A395" s="278"/>
      <c r="B395" s="266"/>
      <c r="C395" s="266" t="s">
        <v>1623</v>
      </c>
      <c r="D395" s="283" t="s">
        <v>7141</v>
      </c>
      <c r="E395" s="291"/>
      <c r="F395" s="295">
        <v>33693</v>
      </c>
      <c r="G395" s="287" t="s">
        <v>2452</v>
      </c>
      <c r="H395" s="266" t="s">
        <v>492</v>
      </c>
      <c r="I395" s="268" t="s">
        <v>308</v>
      </c>
      <c r="J395" s="299"/>
      <c r="K395" s="259" t="str">
        <f>HYPERLINK("https://okcountyrecords.com/detail/roger+mills/1992-001067","OKCountyRecords: 1992-001067")</f>
        <v>OKCountyRecords: 1992-001067</v>
      </c>
    </row>
    <row r="396" spans="1:11" s="8" customFormat="1" ht="32.1" customHeight="1" x14ac:dyDescent="0.25">
      <c r="A396" s="278"/>
      <c r="B396" s="266"/>
      <c r="C396" s="266" t="s">
        <v>969</v>
      </c>
      <c r="D396" s="283" t="s">
        <v>7144</v>
      </c>
      <c r="E396" s="291"/>
      <c r="F396" s="295">
        <v>33737</v>
      </c>
      <c r="G396" s="287" t="s">
        <v>258</v>
      </c>
      <c r="H396" s="266" t="s">
        <v>507</v>
      </c>
      <c r="I396" s="268" t="s">
        <v>308</v>
      </c>
      <c r="J396" s="299"/>
      <c r="K396" s="259" t="str">
        <f>HYPERLINK("https://okcountyrecords.com/detail/roger+mills/1992-001682","OKCountyRecords: 1992-001682")</f>
        <v>OKCountyRecords: 1992-001682</v>
      </c>
    </row>
    <row r="397" spans="1:11" s="8" customFormat="1" ht="32.1" customHeight="1" x14ac:dyDescent="0.25">
      <c r="A397" s="278"/>
      <c r="B397" s="266"/>
      <c r="C397" s="266" t="s">
        <v>969</v>
      </c>
      <c r="D397" s="283" t="s">
        <v>7147</v>
      </c>
      <c r="E397" s="291"/>
      <c r="F397" s="295">
        <v>33750</v>
      </c>
      <c r="G397" s="287" t="s">
        <v>8478</v>
      </c>
      <c r="H397" s="266" t="s">
        <v>463</v>
      </c>
      <c r="I397" s="268" t="s">
        <v>308</v>
      </c>
      <c r="J397" s="299"/>
      <c r="K397" s="259" t="str">
        <f>HYPERLINK("https://okcountyrecords.com/detail/roger+mills/1992-001861","OKCountyRecords: 1992-001861")</f>
        <v>OKCountyRecords: 1992-001861</v>
      </c>
    </row>
    <row r="398" spans="1:11" s="8" customFormat="1" ht="32.1" customHeight="1" x14ac:dyDescent="0.25">
      <c r="A398" s="278"/>
      <c r="B398" s="266"/>
      <c r="C398" s="266" t="s">
        <v>969</v>
      </c>
      <c r="D398" s="283" t="s">
        <v>7150</v>
      </c>
      <c r="E398" s="291"/>
      <c r="F398" s="295">
        <v>33750</v>
      </c>
      <c r="G398" s="287" t="s">
        <v>8478</v>
      </c>
      <c r="H398" s="266" t="s">
        <v>2241</v>
      </c>
      <c r="I398" s="268" t="s">
        <v>308</v>
      </c>
      <c r="J398" s="299"/>
      <c r="K398" s="259" t="str">
        <f>HYPERLINK("https://okcountyrecords.com/detail/roger+mills/1992-001862","OKCountyRecords: 1992-001862")</f>
        <v>OKCountyRecords: 1992-001862</v>
      </c>
    </row>
    <row r="399" spans="1:11" s="8" customFormat="1" ht="32.1" customHeight="1" x14ac:dyDescent="0.25">
      <c r="A399" s="278"/>
      <c r="B399" s="266"/>
      <c r="C399" s="266" t="s">
        <v>969</v>
      </c>
      <c r="D399" s="283" t="s">
        <v>7152</v>
      </c>
      <c r="E399" s="291"/>
      <c r="F399" s="295">
        <v>33750</v>
      </c>
      <c r="G399" s="287" t="s">
        <v>8478</v>
      </c>
      <c r="H399" s="266" t="s">
        <v>2227</v>
      </c>
      <c r="I399" s="268" t="s">
        <v>308</v>
      </c>
      <c r="J399" s="299"/>
      <c r="K399" s="259" t="str">
        <f>HYPERLINK("https://okcountyrecords.com/detail/roger+mills/1992-001863","OKCountyRecords: 1992-001863")</f>
        <v>OKCountyRecords: 1992-001863</v>
      </c>
    </row>
    <row r="400" spans="1:11" s="8" customFormat="1" ht="32.1" customHeight="1" x14ac:dyDescent="0.25">
      <c r="A400" s="278"/>
      <c r="B400" s="266"/>
      <c r="C400" s="266" t="s">
        <v>969</v>
      </c>
      <c r="D400" s="283" t="s">
        <v>7154</v>
      </c>
      <c r="E400" s="291"/>
      <c r="F400" s="295">
        <v>33750</v>
      </c>
      <c r="G400" s="287" t="s">
        <v>8478</v>
      </c>
      <c r="H400" s="266" t="s">
        <v>2230</v>
      </c>
      <c r="I400" s="268" t="s">
        <v>308</v>
      </c>
      <c r="J400" s="299"/>
      <c r="K400" s="259" t="str">
        <f>HYPERLINK("https://okcountyrecords.com/detail/roger+mills/1992-001865","OKCountyRecords: 1992-001865")</f>
        <v>OKCountyRecords: 1992-001865</v>
      </c>
    </row>
    <row r="401" spans="1:11" s="8" customFormat="1" ht="32.1" customHeight="1" x14ac:dyDescent="0.25">
      <c r="A401" s="278"/>
      <c r="B401" s="266"/>
      <c r="C401" s="266" t="s">
        <v>969</v>
      </c>
      <c r="D401" s="283" t="s">
        <v>7156</v>
      </c>
      <c r="E401" s="291"/>
      <c r="F401" s="295">
        <v>33750</v>
      </c>
      <c r="G401" s="287" t="s">
        <v>8478</v>
      </c>
      <c r="H401" s="266" t="s">
        <v>2466</v>
      </c>
      <c r="I401" s="268" t="s">
        <v>308</v>
      </c>
      <c r="J401" s="299"/>
      <c r="K401" s="259" t="str">
        <f>HYPERLINK("https://okcountyrecords.com/detail/roger+mills/1992-001866","OKCountyRecords: 1992-001866")</f>
        <v>OKCountyRecords: 1992-001866</v>
      </c>
    </row>
    <row r="402" spans="1:11" s="8" customFormat="1" ht="32.1" customHeight="1" x14ac:dyDescent="0.25">
      <c r="A402" s="278"/>
      <c r="B402" s="266"/>
      <c r="C402" s="266" t="s">
        <v>969</v>
      </c>
      <c r="D402" s="283" t="s">
        <v>7158</v>
      </c>
      <c r="E402" s="291"/>
      <c r="F402" s="295">
        <v>33750</v>
      </c>
      <c r="G402" s="287" t="s">
        <v>8478</v>
      </c>
      <c r="H402" s="266" t="s">
        <v>2222</v>
      </c>
      <c r="I402" s="268" t="s">
        <v>308</v>
      </c>
      <c r="J402" s="299"/>
      <c r="K402" s="259" t="str">
        <f>HYPERLINK("https://okcountyrecords.com/detail/roger+mills/1992-001867","OKCountyRecords: 1992-001867")</f>
        <v>OKCountyRecords: 1992-001867</v>
      </c>
    </row>
    <row r="403" spans="1:11" s="8" customFormat="1" ht="32.1" customHeight="1" x14ac:dyDescent="0.25">
      <c r="A403" s="278"/>
      <c r="B403" s="266"/>
      <c r="C403" s="266" t="s">
        <v>969</v>
      </c>
      <c r="D403" s="283" t="s">
        <v>7160</v>
      </c>
      <c r="E403" s="291"/>
      <c r="F403" s="295">
        <v>33857</v>
      </c>
      <c r="G403" s="287" t="s">
        <v>472</v>
      </c>
      <c r="H403" s="266" t="s">
        <v>265</v>
      </c>
      <c r="I403" s="268" t="s">
        <v>308</v>
      </c>
      <c r="J403" s="299"/>
      <c r="K403" s="259" t="str">
        <f>HYPERLINK("https://okcountyrecords.com/detail/roger+mills/1992-003373","OKCountyRecords: 1992-003373")</f>
        <v>OKCountyRecords: 1992-003373</v>
      </c>
    </row>
    <row r="404" spans="1:11" s="8" customFormat="1" ht="32.1" customHeight="1" x14ac:dyDescent="0.25">
      <c r="A404" s="278"/>
      <c r="B404" s="266"/>
      <c r="C404" s="266" t="s">
        <v>969</v>
      </c>
      <c r="D404" s="283" t="s">
        <v>7163</v>
      </c>
      <c r="E404" s="291"/>
      <c r="F404" s="295">
        <v>33868</v>
      </c>
      <c r="G404" s="287" t="s">
        <v>2157</v>
      </c>
      <c r="H404" s="266" t="s">
        <v>394</v>
      </c>
      <c r="I404" s="268" t="s">
        <v>308</v>
      </c>
      <c r="J404" s="299"/>
      <c r="K404" s="259" t="str">
        <f>HYPERLINK("https://okcountyrecords.com/detail/roger+mills/1992-003494","OKCountyRecords: 1992-003494")</f>
        <v>OKCountyRecords: 1992-003494</v>
      </c>
    </row>
    <row r="405" spans="1:11" s="8" customFormat="1" ht="32.1" customHeight="1" x14ac:dyDescent="0.25">
      <c r="A405" s="278"/>
      <c r="B405" s="266"/>
      <c r="C405" s="266" t="s">
        <v>1274</v>
      </c>
      <c r="D405" s="283" t="s">
        <v>4349</v>
      </c>
      <c r="E405" s="291"/>
      <c r="F405" s="295">
        <v>34032</v>
      </c>
      <c r="G405" s="287" t="s">
        <v>8479</v>
      </c>
      <c r="H405" s="266" t="s">
        <v>2490</v>
      </c>
      <c r="I405" s="268" t="s">
        <v>8480</v>
      </c>
      <c r="J405" s="299"/>
      <c r="K405" s="259" t="str">
        <f>HYPERLINK("https://okcountyrecords.com/detail/roger+mills/1993-000918","OKCountyRecords: 1993-000918")</f>
        <v>OKCountyRecords: 1993-000918</v>
      </c>
    </row>
    <row r="406" spans="1:11" s="8" customFormat="1" ht="32.1" customHeight="1" x14ac:dyDescent="0.25">
      <c r="A406" s="278"/>
      <c r="B406" s="266"/>
      <c r="C406" s="266" t="s">
        <v>1107</v>
      </c>
      <c r="D406" s="283" t="s">
        <v>7181</v>
      </c>
      <c r="E406" s="291"/>
      <c r="F406" s="295">
        <v>34036</v>
      </c>
      <c r="G406" s="287" t="s">
        <v>566</v>
      </c>
      <c r="H406" s="266" t="s">
        <v>1110</v>
      </c>
      <c r="I406" s="268" t="s">
        <v>308</v>
      </c>
      <c r="J406" s="299"/>
      <c r="K406" s="259" t="str">
        <f>HYPERLINK("https://okcountyrecords.com/detail/roger+mills/1993-000978","OKCountyRecords: 1993-000978")</f>
        <v>OKCountyRecords: 1993-000978</v>
      </c>
    </row>
    <row r="407" spans="1:11" s="8" customFormat="1" ht="32.1" customHeight="1" x14ac:dyDescent="0.25">
      <c r="A407" s="278"/>
      <c r="B407" s="266"/>
      <c r="C407" s="266" t="s">
        <v>969</v>
      </c>
      <c r="D407" s="283" t="s">
        <v>7190</v>
      </c>
      <c r="E407" s="291"/>
      <c r="F407" s="295">
        <v>34199</v>
      </c>
      <c r="G407" s="287" t="s">
        <v>2504</v>
      </c>
      <c r="H407" s="266" t="s">
        <v>2428</v>
      </c>
      <c r="I407" s="268" t="s">
        <v>308</v>
      </c>
      <c r="J407" s="299"/>
      <c r="K407" s="259" t="str">
        <f>HYPERLINK("https://okcountyrecords.com/detail/roger+mills/1993-003365","OKCountyRecords: 1993-003365")</f>
        <v>OKCountyRecords: 1993-003365</v>
      </c>
    </row>
    <row r="408" spans="1:11" s="8" customFormat="1" ht="32.1" customHeight="1" x14ac:dyDescent="0.25">
      <c r="A408" s="278"/>
      <c r="B408" s="266"/>
      <c r="C408" s="266" t="s">
        <v>2506</v>
      </c>
      <c r="D408" s="283" t="s">
        <v>7193</v>
      </c>
      <c r="E408" s="291"/>
      <c r="F408" s="295">
        <v>34432</v>
      </c>
      <c r="G408" s="287" t="s">
        <v>568</v>
      </c>
      <c r="H408" s="266" t="s">
        <v>8481</v>
      </c>
      <c r="I408" s="268" t="s">
        <v>308</v>
      </c>
      <c r="J408" s="299"/>
      <c r="K408" s="259" t="str">
        <f>HYPERLINK("https://okcountyrecords.com/detail/roger+mills/1994-004578","OKCountyRecords: 1994-004578")</f>
        <v>OKCountyRecords: 1994-004578</v>
      </c>
    </row>
    <row r="409" spans="1:11" s="8" customFormat="1" ht="32.1" customHeight="1" x14ac:dyDescent="0.25">
      <c r="A409" s="278"/>
      <c r="B409" s="266"/>
      <c r="C409" s="266" t="s">
        <v>1274</v>
      </c>
      <c r="D409" s="283" t="s">
        <v>7196</v>
      </c>
      <c r="E409" s="291"/>
      <c r="F409" s="295">
        <v>34452</v>
      </c>
      <c r="G409" s="287" t="s">
        <v>2511</v>
      </c>
      <c r="H409" s="266" t="s">
        <v>1110</v>
      </c>
      <c r="I409" s="268" t="s">
        <v>308</v>
      </c>
      <c r="J409" s="299"/>
      <c r="K409" s="259" t="str">
        <f>HYPERLINK("https://okcountyrecords.com/detail/roger+mills/1994-004940","OKCountyRecords: 1994-004940")</f>
        <v>OKCountyRecords: 1994-004940</v>
      </c>
    </row>
    <row r="410" spans="1:11" s="8" customFormat="1" ht="32.1" customHeight="1" x14ac:dyDescent="0.25">
      <c r="A410" s="278"/>
      <c r="B410" s="266"/>
      <c r="C410" s="266" t="s">
        <v>1623</v>
      </c>
      <c r="D410" s="283" t="s">
        <v>4151</v>
      </c>
      <c r="E410" s="291"/>
      <c r="F410" s="295">
        <v>34542</v>
      </c>
      <c r="G410" s="287" t="s">
        <v>258</v>
      </c>
      <c r="H410" s="266" t="s">
        <v>8482</v>
      </c>
      <c r="I410" s="268" t="s">
        <v>8309</v>
      </c>
      <c r="J410" s="299"/>
      <c r="K410" s="259" t="str">
        <f>HYPERLINK("https://okcountyrecords.com/detail/roger+mills/1994-006415","OKCountyRecords: 1994-006415")</f>
        <v>OKCountyRecords: 1994-006415</v>
      </c>
    </row>
    <row r="411" spans="1:11" s="8" customFormat="1" ht="32.1" customHeight="1" x14ac:dyDescent="0.25">
      <c r="A411" s="278"/>
      <c r="B411" s="266"/>
      <c r="C411" s="266" t="s">
        <v>1623</v>
      </c>
      <c r="D411" s="283" t="s">
        <v>4152</v>
      </c>
      <c r="E411" s="291"/>
      <c r="F411" s="295">
        <v>34754</v>
      </c>
      <c r="G411" s="287" t="s">
        <v>8483</v>
      </c>
      <c r="H411" s="266" t="s">
        <v>2519</v>
      </c>
      <c r="I411" s="268" t="s">
        <v>8309</v>
      </c>
      <c r="J411" s="299"/>
      <c r="K411" s="259" t="str">
        <f>HYPERLINK("https://okcountyrecords.com/detail/roger+mills/1995-003404","OKCountyRecords: 1995-003404")</f>
        <v>OKCountyRecords: 1995-003404</v>
      </c>
    </row>
    <row r="412" spans="1:11" s="8" customFormat="1" ht="32.1" customHeight="1" x14ac:dyDescent="0.25">
      <c r="A412" s="278"/>
      <c r="B412" s="266"/>
      <c r="C412" s="266" t="s">
        <v>2506</v>
      </c>
      <c r="D412" s="283" t="s">
        <v>4350</v>
      </c>
      <c r="E412" s="291"/>
      <c r="F412" s="295">
        <v>34778</v>
      </c>
      <c r="G412" s="287" t="s">
        <v>566</v>
      </c>
      <c r="H412" s="266" t="s">
        <v>566</v>
      </c>
      <c r="I412" s="268" t="s">
        <v>8484</v>
      </c>
      <c r="J412" s="299"/>
      <c r="K412" s="259" t="str">
        <f>HYPERLINK("https://okcountyrecords.com/detail/roger+mills/1995-003767","OKCountyRecords: 1995-003767")</f>
        <v>OKCountyRecords: 1995-003767</v>
      </c>
    </row>
    <row r="413" spans="1:11" s="8" customFormat="1" ht="32.1" customHeight="1" x14ac:dyDescent="0.25">
      <c r="A413" s="278"/>
      <c r="B413" s="266"/>
      <c r="C413" s="266" t="s">
        <v>2506</v>
      </c>
      <c r="D413" s="283" t="s">
        <v>4218</v>
      </c>
      <c r="E413" s="291"/>
      <c r="F413" s="295">
        <v>34806</v>
      </c>
      <c r="G413" s="287" t="s">
        <v>2529</v>
      </c>
      <c r="H413" s="266" t="s">
        <v>568</v>
      </c>
      <c r="I413" s="268" t="s">
        <v>497</v>
      </c>
      <c r="J413" s="299"/>
      <c r="K413" s="259" t="str">
        <f>HYPERLINK("https://okcountyrecords.com/detail/roger+mills/1995-004151","OKCountyRecords: 1995-004151")</f>
        <v>OKCountyRecords: 1995-004151</v>
      </c>
    </row>
    <row r="414" spans="1:11" s="8" customFormat="1" ht="32.1" customHeight="1" x14ac:dyDescent="0.25">
      <c r="A414" s="278"/>
      <c r="B414" s="266"/>
      <c r="C414" s="266" t="s">
        <v>1623</v>
      </c>
      <c r="D414" s="283" t="s">
        <v>4219</v>
      </c>
      <c r="E414" s="291"/>
      <c r="F414" s="295">
        <v>34920</v>
      </c>
      <c r="G414" s="287" t="s">
        <v>8485</v>
      </c>
      <c r="H414" s="266" t="s">
        <v>525</v>
      </c>
      <c r="I414" s="268" t="s">
        <v>686</v>
      </c>
      <c r="J414" s="299"/>
      <c r="K414" s="259" t="str">
        <f>HYPERLINK("https://okcountyrecords.com/detail/roger+mills/1995-000396","OKCountyRecords: 1995-000396")</f>
        <v>OKCountyRecords: 1995-000396</v>
      </c>
    </row>
    <row r="415" spans="1:11" s="8" customFormat="1" ht="32.1" customHeight="1" x14ac:dyDescent="0.25">
      <c r="A415" s="278"/>
      <c r="B415" s="266"/>
      <c r="C415" s="266" t="s">
        <v>82</v>
      </c>
      <c r="D415" s="283" t="s">
        <v>4351</v>
      </c>
      <c r="E415" s="291"/>
      <c r="F415" s="295">
        <v>34950</v>
      </c>
      <c r="G415" s="287" t="s">
        <v>2537</v>
      </c>
      <c r="H415" s="266" t="s">
        <v>2538</v>
      </c>
      <c r="I415" s="268" t="s">
        <v>8355</v>
      </c>
      <c r="J415" s="299"/>
      <c r="K415" s="259" t="str">
        <f>HYPERLINK("https://okcountyrecords.com/detail/roger+mills/1995-000748","OKCountyRecords: 1995-000748")</f>
        <v>OKCountyRecords: 1995-000748</v>
      </c>
    </row>
    <row r="416" spans="1:11" s="8" customFormat="1" ht="32.1" customHeight="1" x14ac:dyDescent="0.25">
      <c r="A416" s="278"/>
      <c r="B416" s="266"/>
      <c r="C416" s="266" t="s">
        <v>1274</v>
      </c>
      <c r="D416" s="283" t="s">
        <v>4220</v>
      </c>
      <c r="E416" s="291"/>
      <c r="F416" s="295">
        <v>35038</v>
      </c>
      <c r="G416" s="287" t="s">
        <v>8486</v>
      </c>
      <c r="H416" s="266" t="s">
        <v>1110</v>
      </c>
      <c r="I416" s="268" t="s">
        <v>8487</v>
      </c>
      <c r="J416" s="299"/>
      <c r="K416" s="259" t="str">
        <f>HYPERLINK("https://okcountyrecords.com/detail/roger+mills/1995-001954","OKCountyRecords: 1995-001954")</f>
        <v>OKCountyRecords: 1995-001954</v>
      </c>
    </row>
    <row r="417" spans="1:11" s="8" customFormat="1" ht="32.1" customHeight="1" x14ac:dyDescent="0.25">
      <c r="A417" s="278"/>
      <c r="B417" s="266"/>
      <c r="C417" s="266" t="s">
        <v>2430</v>
      </c>
      <c r="D417" s="283" t="s">
        <v>4153</v>
      </c>
      <c r="E417" s="291"/>
      <c r="F417" s="295">
        <v>35429</v>
      </c>
      <c r="G417" s="287" t="s">
        <v>436</v>
      </c>
      <c r="H417" s="266" t="s">
        <v>2552</v>
      </c>
      <c r="I417" s="268" t="s">
        <v>8488</v>
      </c>
      <c r="J417" s="299"/>
      <c r="K417" s="259" t="str">
        <f>HYPERLINK("https://okcountyrecords.com/detail/roger+mills/1996-002352","OKCountyRecords: 1996-002352")</f>
        <v>OKCountyRecords: 1996-002352</v>
      </c>
    </row>
    <row r="418" spans="1:11" s="8" customFormat="1" ht="32.1" customHeight="1" x14ac:dyDescent="0.25">
      <c r="A418" s="278"/>
      <c r="B418" s="266"/>
      <c r="C418" s="266" t="s">
        <v>2506</v>
      </c>
      <c r="D418" s="283" t="s">
        <v>7231</v>
      </c>
      <c r="E418" s="291">
        <v>35430</v>
      </c>
      <c r="F418" s="295">
        <v>35432</v>
      </c>
      <c r="G418" s="287" t="s">
        <v>2556</v>
      </c>
      <c r="H418" s="266" t="s">
        <v>2557</v>
      </c>
      <c r="I418" s="268" t="s">
        <v>308</v>
      </c>
      <c r="J418" s="299"/>
      <c r="K418" s="259" t="str">
        <f>HYPERLINK("https://okcountyrecords.com/detail/roger+mills/1997-006370","OKCountyRecords: 1997-006370")</f>
        <v>OKCountyRecords: 1997-006370</v>
      </c>
    </row>
    <row r="419" spans="1:11" s="8" customFormat="1" ht="32.1" customHeight="1" x14ac:dyDescent="0.25">
      <c r="A419" s="278"/>
      <c r="B419" s="266"/>
      <c r="C419" s="266" t="s">
        <v>2506</v>
      </c>
      <c r="D419" s="283" t="s">
        <v>7234</v>
      </c>
      <c r="E419" s="291">
        <v>35432</v>
      </c>
      <c r="F419" s="295">
        <v>35433</v>
      </c>
      <c r="G419" s="287" t="s">
        <v>2556</v>
      </c>
      <c r="H419" s="266" t="s">
        <v>2557</v>
      </c>
      <c r="I419" s="268" t="s">
        <v>308</v>
      </c>
      <c r="J419" s="299"/>
      <c r="K419" s="259" t="str">
        <f>HYPERLINK("https://okcountyrecords.com/detail/roger+mills/1997-005183","OKCountyRecords: 1997-005183")</f>
        <v>OKCountyRecords: 1997-005183</v>
      </c>
    </row>
    <row r="420" spans="1:11" s="8" customFormat="1" ht="32.1" customHeight="1" x14ac:dyDescent="0.25">
      <c r="A420" s="278"/>
      <c r="B420" s="266"/>
      <c r="C420" s="266" t="s">
        <v>2430</v>
      </c>
      <c r="D420" s="283" t="s">
        <v>4352</v>
      </c>
      <c r="E420" s="291"/>
      <c r="F420" s="295">
        <v>35479</v>
      </c>
      <c r="G420" s="287" t="s">
        <v>436</v>
      </c>
      <c r="H420" s="266" t="s">
        <v>2567</v>
      </c>
      <c r="I420" s="268" t="s">
        <v>2568</v>
      </c>
      <c r="J420" s="299"/>
      <c r="K420" s="259" t="str">
        <f>HYPERLINK("https://okcountyrecords.com/detail/roger+mills/1997-003023","OKCountyRecords: 1997-003023")</f>
        <v>OKCountyRecords: 1997-003023</v>
      </c>
    </row>
    <row r="421" spans="1:11" s="8" customFormat="1" ht="32.1" customHeight="1" x14ac:dyDescent="0.25">
      <c r="A421" s="278"/>
      <c r="B421" s="266"/>
      <c r="C421" s="266" t="s">
        <v>1107</v>
      </c>
      <c r="D421" s="283" t="s">
        <v>7243</v>
      </c>
      <c r="E421" s="291"/>
      <c r="F421" s="295">
        <v>35549</v>
      </c>
      <c r="G421" s="287" t="s">
        <v>2572</v>
      </c>
      <c r="H421" s="266" t="s">
        <v>1110</v>
      </c>
      <c r="I421" s="268" t="s">
        <v>8355</v>
      </c>
      <c r="J421" s="299"/>
      <c r="K421" s="259" t="str">
        <f>HYPERLINK("https://okcountyrecords.com/detail/roger+mills/1997-004254","OKCountyRecords: 1997-004254")</f>
        <v>OKCountyRecords: 1997-004254</v>
      </c>
    </row>
    <row r="422" spans="1:11" s="8" customFormat="1" ht="32.1" customHeight="1" x14ac:dyDescent="0.25">
      <c r="A422" s="278"/>
      <c r="B422" s="266"/>
      <c r="C422" s="266" t="s">
        <v>82</v>
      </c>
      <c r="D422" s="283" t="s">
        <v>4221</v>
      </c>
      <c r="E422" s="291"/>
      <c r="F422" s="295">
        <v>36026</v>
      </c>
      <c r="G422" s="287" t="s">
        <v>511</v>
      </c>
      <c r="H422" s="266" t="s">
        <v>8489</v>
      </c>
      <c r="I422" s="268" t="s">
        <v>8487</v>
      </c>
      <c r="J422" s="299"/>
      <c r="K422" s="259" t="str">
        <f>HYPERLINK("https://okcountyrecords.com/detail/roger+mills/1998-000584","OKCountyRecords: 1998-000584")</f>
        <v>OKCountyRecords: 1998-000584</v>
      </c>
    </row>
    <row r="423" spans="1:11" s="8" customFormat="1" ht="32.1" customHeight="1" x14ac:dyDescent="0.25">
      <c r="A423" s="278"/>
      <c r="B423" s="266"/>
      <c r="C423" s="266" t="s">
        <v>82</v>
      </c>
      <c r="D423" s="283" t="s">
        <v>4222</v>
      </c>
      <c r="E423" s="291"/>
      <c r="F423" s="295">
        <v>36059</v>
      </c>
      <c r="G423" s="287" t="s">
        <v>688</v>
      </c>
      <c r="H423" s="266" t="s">
        <v>688</v>
      </c>
      <c r="I423" s="268" t="s">
        <v>8487</v>
      </c>
      <c r="J423" s="299"/>
      <c r="K423" s="259" t="str">
        <f>HYPERLINK("https://okcountyrecords.com/detail/roger+mills/1998-000907","OKCountyRecords: 1998-000907")</f>
        <v>OKCountyRecords: 1998-000907</v>
      </c>
    </row>
    <row r="424" spans="1:11" s="8" customFormat="1" ht="32.1" customHeight="1" x14ac:dyDescent="0.25">
      <c r="A424" s="278"/>
      <c r="B424" s="266"/>
      <c r="C424" s="266" t="s">
        <v>1623</v>
      </c>
      <c r="D424" s="283" t="s">
        <v>4223</v>
      </c>
      <c r="E424" s="291"/>
      <c r="F424" s="295">
        <v>36175</v>
      </c>
      <c r="G424" s="287" t="s">
        <v>2115</v>
      </c>
      <c r="H424" s="266" t="s">
        <v>288</v>
      </c>
      <c r="I424" s="268" t="s">
        <v>8487</v>
      </c>
      <c r="J424" s="299"/>
      <c r="K424" s="259" t="str">
        <f>HYPERLINK("https://okcountyrecords.com/detail/roger+mills/1999-002219","OKCountyRecords: 1999-002219")</f>
        <v>OKCountyRecords: 1999-002219</v>
      </c>
    </row>
    <row r="425" spans="1:11" s="8" customFormat="1" ht="32.1" customHeight="1" x14ac:dyDescent="0.25">
      <c r="A425" s="278"/>
      <c r="B425" s="266"/>
      <c r="C425" s="266" t="s">
        <v>1623</v>
      </c>
      <c r="D425" s="283" t="s">
        <v>4224</v>
      </c>
      <c r="E425" s="291"/>
      <c r="F425" s="295">
        <v>36175</v>
      </c>
      <c r="G425" s="287" t="s">
        <v>2115</v>
      </c>
      <c r="H425" s="266" t="s">
        <v>288</v>
      </c>
      <c r="I425" s="268" t="s">
        <v>8487</v>
      </c>
      <c r="J425" s="299"/>
      <c r="K425" s="259" t="str">
        <f>HYPERLINK("https://okcountyrecords.com/detail/roger+mills/1999-002220","OKCountyRecords: 1999-002220")</f>
        <v>OKCountyRecords: 1999-002220</v>
      </c>
    </row>
    <row r="426" spans="1:11" s="8" customFormat="1" ht="32.1" customHeight="1" x14ac:dyDescent="0.25">
      <c r="A426" s="278"/>
      <c r="B426" s="266"/>
      <c r="C426" s="266" t="s">
        <v>1623</v>
      </c>
      <c r="D426" s="283" t="s">
        <v>4225</v>
      </c>
      <c r="E426" s="291"/>
      <c r="F426" s="295">
        <v>36215</v>
      </c>
      <c r="G426" s="287" t="s">
        <v>525</v>
      </c>
      <c r="H426" s="266" t="s">
        <v>1110</v>
      </c>
      <c r="I426" s="268" t="s">
        <v>8487</v>
      </c>
      <c r="J426" s="299"/>
      <c r="K426" s="259" t="str">
        <f>HYPERLINK("https://okcountyrecords.com/detail/roger+mills/1999-002739","OKCountyRecords: 1999-002739")</f>
        <v>OKCountyRecords: 1999-002739</v>
      </c>
    </row>
    <row r="427" spans="1:11" s="8" customFormat="1" ht="32.1" customHeight="1" x14ac:dyDescent="0.25">
      <c r="A427" s="278"/>
      <c r="B427" s="266"/>
      <c r="C427" s="266" t="s">
        <v>2594</v>
      </c>
      <c r="D427" s="283" t="s">
        <v>7261</v>
      </c>
      <c r="E427" s="291"/>
      <c r="F427" s="295">
        <v>36250</v>
      </c>
      <c r="G427" s="287" t="s">
        <v>730</v>
      </c>
      <c r="H427" s="266" t="s">
        <v>1110</v>
      </c>
      <c r="I427" s="268" t="s">
        <v>8490</v>
      </c>
      <c r="J427" s="299"/>
      <c r="K427" s="259" t="str">
        <f>HYPERLINK("https://okcountyrecords.com/detail/roger+mills/1999-003117","OKCountyRecords: 1999-003117")</f>
        <v>OKCountyRecords: 1999-003117</v>
      </c>
    </row>
    <row r="428" spans="1:11" s="8" customFormat="1" ht="32.1" customHeight="1" x14ac:dyDescent="0.25">
      <c r="A428" s="278"/>
      <c r="B428" s="266"/>
      <c r="C428" s="266" t="s">
        <v>1107</v>
      </c>
      <c r="D428" s="283" t="s">
        <v>7265</v>
      </c>
      <c r="E428" s="291"/>
      <c r="F428" s="295">
        <v>36270</v>
      </c>
      <c r="G428" s="287" t="s">
        <v>2238</v>
      </c>
      <c r="H428" s="266" t="s">
        <v>1110</v>
      </c>
      <c r="I428" s="268" t="s">
        <v>8487</v>
      </c>
      <c r="J428" s="299"/>
      <c r="K428" s="259" t="str">
        <f>HYPERLINK("https://okcountyrecords.com/detail/roger+mills/1999-003362","OKCountyRecords: 1999-003362")</f>
        <v>OKCountyRecords: 1999-003362</v>
      </c>
    </row>
    <row r="429" spans="1:11" s="8" customFormat="1" ht="32.1" customHeight="1" x14ac:dyDescent="0.25">
      <c r="A429" s="278"/>
      <c r="B429" s="266"/>
      <c r="C429" s="266" t="s">
        <v>1623</v>
      </c>
      <c r="D429" s="283" t="s">
        <v>4226</v>
      </c>
      <c r="E429" s="291"/>
      <c r="F429" s="295">
        <v>36270</v>
      </c>
      <c r="G429" s="287" t="s">
        <v>2601</v>
      </c>
      <c r="H429" s="266" t="s">
        <v>2602</v>
      </c>
      <c r="I429" s="268" t="s">
        <v>8487</v>
      </c>
      <c r="J429" s="299"/>
      <c r="K429" s="259" t="str">
        <f>HYPERLINK("https://okcountyrecords.com/detail/roger+mills/1999-003363","OKCountyRecords: 1999-003363")</f>
        <v>OKCountyRecords: 1999-003363</v>
      </c>
    </row>
    <row r="430" spans="1:11" s="8" customFormat="1" ht="32.1" customHeight="1" x14ac:dyDescent="0.25">
      <c r="A430" s="278"/>
      <c r="B430" s="266"/>
      <c r="C430" s="266" t="s">
        <v>1623</v>
      </c>
      <c r="D430" s="283" t="s">
        <v>4227</v>
      </c>
      <c r="E430" s="291"/>
      <c r="F430" s="295">
        <v>36270</v>
      </c>
      <c r="G430" s="287" t="s">
        <v>2601</v>
      </c>
      <c r="H430" s="266" t="s">
        <v>8491</v>
      </c>
      <c r="I430" s="268" t="s">
        <v>8487</v>
      </c>
      <c r="J430" s="299"/>
      <c r="K430" s="259" t="str">
        <f>HYPERLINK("https://okcountyrecords.com/detail/roger+mills/1999-003368","OKCountyRecords: 1999-003368")</f>
        <v>OKCountyRecords: 1999-003368</v>
      </c>
    </row>
    <row r="431" spans="1:11" s="8" customFormat="1" ht="32.1" customHeight="1" x14ac:dyDescent="0.25">
      <c r="A431" s="278"/>
      <c r="B431" s="266"/>
      <c r="C431" s="266" t="s">
        <v>1623</v>
      </c>
      <c r="D431" s="283" t="s">
        <v>4228</v>
      </c>
      <c r="E431" s="291"/>
      <c r="F431" s="295">
        <v>36270</v>
      </c>
      <c r="G431" s="287" t="s">
        <v>2601</v>
      </c>
      <c r="H431" s="266" t="s">
        <v>527</v>
      </c>
      <c r="I431" s="268" t="s">
        <v>8487</v>
      </c>
      <c r="J431" s="299"/>
      <c r="K431" s="259" t="str">
        <f>HYPERLINK("https://okcountyrecords.com/detail/roger+mills/1999-003364","OKCountyRecords: 1999-003364")</f>
        <v>OKCountyRecords: 1999-003364</v>
      </c>
    </row>
    <row r="432" spans="1:11" s="8" customFormat="1" ht="32.1" customHeight="1" x14ac:dyDescent="0.25">
      <c r="A432" s="278"/>
      <c r="B432" s="266"/>
      <c r="C432" s="266" t="s">
        <v>1623</v>
      </c>
      <c r="D432" s="283" t="s">
        <v>4229</v>
      </c>
      <c r="E432" s="291"/>
      <c r="F432" s="295">
        <v>36270</v>
      </c>
      <c r="G432" s="287" t="s">
        <v>2601</v>
      </c>
      <c r="H432" s="266" t="s">
        <v>2610</v>
      </c>
      <c r="I432" s="268" t="s">
        <v>8487</v>
      </c>
      <c r="J432" s="299"/>
      <c r="K432" s="259" t="str">
        <f>HYPERLINK("https://okcountyrecords.com/detail/roger+mills/1999-003365","OKCountyRecords: 1999-003365")</f>
        <v>OKCountyRecords: 1999-003365</v>
      </c>
    </row>
    <row r="433" spans="1:11" s="8" customFormat="1" ht="32.1" customHeight="1" x14ac:dyDescent="0.25">
      <c r="A433" s="278"/>
      <c r="B433" s="266"/>
      <c r="C433" s="266" t="s">
        <v>1623</v>
      </c>
      <c r="D433" s="283" t="s">
        <v>4230</v>
      </c>
      <c r="E433" s="291"/>
      <c r="F433" s="295">
        <v>36270</v>
      </c>
      <c r="G433" s="287" t="s">
        <v>2601</v>
      </c>
      <c r="H433" s="266" t="s">
        <v>499</v>
      </c>
      <c r="I433" s="268" t="s">
        <v>8487</v>
      </c>
      <c r="J433" s="299"/>
      <c r="K433" s="259" t="str">
        <f>HYPERLINK("https://okcountyrecords.com/detail/roger+mills/1999-003366","OKCountyRecords: 1999-003366")</f>
        <v>OKCountyRecords: 1999-003366</v>
      </c>
    </row>
    <row r="434" spans="1:11" s="8" customFormat="1" ht="32.1" customHeight="1" x14ac:dyDescent="0.25">
      <c r="A434" s="278"/>
      <c r="B434" s="266"/>
      <c r="C434" s="266" t="s">
        <v>1623</v>
      </c>
      <c r="D434" s="283" t="s">
        <v>4231</v>
      </c>
      <c r="E434" s="291"/>
      <c r="F434" s="295">
        <v>36270</v>
      </c>
      <c r="G434" s="287" t="s">
        <v>2601</v>
      </c>
      <c r="H434" s="266" t="s">
        <v>495</v>
      </c>
      <c r="I434" s="268" t="s">
        <v>8487</v>
      </c>
      <c r="J434" s="299"/>
      <c r="K434" s="259" t="str">
        <f>HYPERLINK("https://okcountyrecords.com/detail/roger+mills/1999-003367","OKCountyRecords: 1999-003367")</f>
        <v>OKCountyRecords: 1999-003367</v>
      </c>
    </row>
    <row r="435" spans="1:11" s="8" customFormat="1" ht="32.1" customHeight="1" x14ac:dyDescent="0.25">
      <c r="A435" s="278"/>
      <c r="B435" s="266"/>
      <c r="C435" s="266" t="s">
        <v>2506</v>
      </c>
      <c r="D435" s="283" t="s">
        <v>7274</v>
      </c>
      <c r="E435" s="291"/>
      <c r="F435" s="295">
        <v>36481</v>
      </c>
      <c r="G435" s="287" t="s">
        <v>2480</v>
      </c>
      <c r="H435" s="266" t="s">
        <v>8492</v>
      </c>
      <c r="I435" s="268" t="s">
        <v>308</v>
      </c>
      <c r="J435" s="299"/>
      <c r="K435" s="259" t="str">
        <f>HYPERLINK("https://okcountyrecords.com/detail/roger+mills/1999-005522","OKCountyRecords: 1999-005522")</f>
        <v>OKCountyRecords: 1999-005522</v>
      </c>
    </row>
    <row r="436" spans="1:11" s="8" customFormat="1" ht="32.1" customHeight="1" x14ac:dyDescent="0.25">
      <c r="A436" s="278"/>
      <c r="B436" s="266"/>
      <c r="C436" s="266" t="s">
        <v>2619</v>
      </c>
      <c r="D436" s="283" t="s">
        <v>4353</v>
      </c>
      <c r="E436" s="291"/>
      <c r="F436" s="295">
        <v>36511</v>
      </c>
      <c r="G436" s="287" t="s">
        <v>8493</v>
      </c>
      <c r="H436" s="266" t="s">
        <v>1110</v>
      </c>
      <c r="I436" s="268" t="s">
        <v>8355</v>
      </c>
      <c r="J436" s="299"/>
      <c r="K436" s="259" t="str">
        <f>HYPERLINK("https://okcountyrecords.com/detail/roger+mills/1999-005936","OKCountyRecords: 1999-005936")</f>
        <v>OKCountyRecords: 1999-005936</v>
      </c>
    </row>
    <row r="437" spans="1:11" s="8" customFormat="1" ht="32.1" customHeight="1" x14ac:dyDescent="0.25">
      <c r="A437" s="278"/>
      <c r="B437" s="266"/>
      <c r="C437" s="266" t="s">
        <v>7314</v>
      </c>
      <c r="D437" s="283" t="s">
        <v>7315</v>
      </c>
      <c r="E437" s="291"/>
      <c r="F437" s="295">
        <v>36572</v>
      </c>
      <c r="G437" s="287" t="s">
        <v>2673</v>
      </c>
      <c r="H437" s="266" t="s">
        <v>2674</v>
      </c>
      <c r="I437" s="268" t="s">
        <v>502</v>
      </c>
      <c r="J437" s="299"/>
      <c r="K437" s="259" t="str">
        <f>HYPERLINK("https://okcountyrecords.com/detail/roger+mills/2000-006764","OKCountyRecords: 2000-006764")</f>
        <v>OKCountyRecords: 2000-006764</v>
      </c>
    </row>
    <row r="438" spans="1:11" s="8" customFormat="1" ht="32.1" customHeight="1" x14ac:dyDescent="0.25">
      <c r="A438" s="278"/>
      <c r="B438" s="266"/>
      <c r="C438" s="266" t="s">
        <v>1623</v>
      </c>
      <c r="D438" s="283" t="s">
        <v>4154</v>
      </c>
      <c r="E438" s="291"/>
      <c r="F438" s="295">
        <v>36647</v>
      </c>
      <c r="G438" s="287" t="s">
        <v>8308</v>
      </c>
      <c r="H438" s="266" t="s">
        <v>2721</v>
      </c>
      <c r="I438" s="268" t="s">
        <v>8309</v>
      </c>
      <c r="J438" s="299"/>
      <c r="K438" s="259" t="str">
        <f>HYPERLINK("https://okcountyrecords.com/detail/roger+mills/2000-007685","OKCountyRecords: 2000-007685")</f>
        <v>OKCountyRecords: 2000-007685</v>
      </c>
    </row>
    <row r="439" spans="1:11" s="8" customFormat="1" ht="32.1" customHeight="1" x14ac:dyDescent="0.25">
      <c r="A439" s="278"/>
      <c r="B439" s="266"/>
      <c r="C439" s="266" t="s">
        <v>2441</v>
      </c>
      <c r="D439" s="283" t="s">
        <v>7348</v>
      </c>
      <c r="E439" s="291"/>
      <c r="F439" s="295">
        <v>36679</v>
      </c>
      <c r="G439" s="287" t="s">
        <v>2726</v>
      </c>
      <c r="H439" s="266" t="s">
        <v>8494</v>
      </c>
      <c r="I439" s="268" t="s">
        <v>8495</v>
      </c>
      <c r="J439" s="299"/>
      <c r="K439" s="259" t="str">
        <f>HYPERLINK("https://okcountyrecords.com/detail/roger+mills/2000-008159","OKCountyRecords: 2000-008159")</f>
        <v>OKCountyRecords: 2000-008159</v>
      </c>
    </row>
    <row r="440" spans="1:11" s="8" customFormat="1" ht="32.1" customHeight="1" x14ac:dyDescent="0.25">
      <c r="A440" s="278"/>
      <c r="B440" s="266"/>
      <c r="C440" s="266" t="s">
        <v>82</v>
      </c>
      <c r="D440" s="283" t="s">
        <v>4232</v>
      </c>
      <c r="E440" s="291">
        <v>36802</v>
      </c>
      <c r="F440" s="295">
        <v>36815</v>
      </c>
      <c r="G440" s="287" t="s">
        <v>525</v>
      </c>
      <c r="H440" s="266" t="s">
        <v>529</v>
      </c>
      <c r="I440" s="268" t="s">
        <v>8487</v>
      </c>
      <c r="J440" s="299"/>
      <c r="K440" s="259" t="str">
        <f>HYPERLINK("https://okcountyrecords.com/detail/roger+mills/2000-010180","OKCountyRecords: 2000-010180")</f>
        <v>OKCountyRecords: 2000-010180</v>
      </c>
    </row>
    <row r="441" spans="1:11" s="8" customFormat="1" ht="32.1" customHeight="1" x14ac:dyDescent="0.25">
      <c r="A441" s="278"/>
      <c r="B441" s="266"/>
      <c r="C441" s="266" t="s">
        <v>2506</v>
      </c>
      <c r="D441" s="283" t="s">
        <v>7369</v>
      </c>
      <c r="E441" s="291">
        <v>36881</v>
      </c>
      <c r="F441" s="295">
        <v>36935</v>
      </c>
      <c r="G441" s="287" t="s">
        <v>2752</v>
      </c>
      <c r="H441" s="266" t="s">
        <v>8496</v>
      </c>
      <c r="I441" s="268" t="s">
        <v>8497</v>
      </c>
      <c r="J441" s="299"/>
      <c r="K441" s="259" t="str">
        <f>HYPERLINK("https://okcountyrecords.com/detail/roger+mills/2001-000619","OKCountyRecords: 2001-000619")</f>
        <v>OKCountyRecords: 2001-000619</v>
      </c>
    </row>
    <row r="442" spans="1:11" s="8" customFormat="1" ht="32.1" customHeight="1" x14ac:dyDescent="0.25">
      <c r="A442" s="278"/>
      <c r="B442" s="266"/>
      <c r="C442" s="266" t="s">
        <v>1623</v>
      </c>
      <c r="D442" s="283" t="s">
        <v>4233</v>
      </c>
      <c r="E442" s="291">
        <v>36896</v>
      </c>
      <c r="F442" s="295">
        <v>36899</v>
      </c>
      <c r="G442" s="287" t="s">
        <v>8498</v>
      </c>
      <c r="H442" s="266" t="s">
        <v>2744</v>
      </c>
      <c r="I442" s="268" t="s">
        <v>8487</v>
      </c>
      <c r="J442" s="299"/>
      <c r="K442" s="259" t="str">
        <f>HYPERLINK("https://okcountyrecords.com/detail/roger+mills/2001-000103","OKCountyRecords: 2001-000103")</f>
        <v>OKCountyRecords: 2001-000103</v>
      </c>
    </row>
    <row r="443" spans="1:11" s="8" customFormat="1" ht="32.1" customHeight="1" x14ac:dyDescent="0.25">
      <c r="A443" s="278"/>
      <c r="B443" s="266"/>
      <c r="C443" s="266" t="s">
        <v>1623</v>
      </c>
      <c r="D443" s="283" t="s">
        <v>4234</v>
      </c>
      <c r="E443" s="291">
        <v>36921</v>
      </c>
      <c r="F443" s="295">
        <v>36956</v>
      </c>
      <c r="G443" s="287" t="s">
        <v>397</v>
      </c>
      <c r="H443" s="266" t="s">
        <v>463</v>
      </c>
      <c r="I443" s="268" t="s">
        <v>488</v>
      </c>
      <c r="J443" s="299"/>
      <c r="K443" s="259" t="str">
        <f>HYPERLINK("https://okcountyrecords.com/detail/roger+mills/2001-000921","OKCountyRecords: 2001-000921")</f>
        <v>OKCountyRecords: 2001-000921</v>
      </c>
    </row>
    <row r="444" spans="1:11" s="8" customFormat="1" ht="32.1" customHeight="1" x14ac:dyDescent="0.25">
      <c r="A444" s="278"/>
      <c r="B444" s="266"/>
      <c r="C444" s="266" t="s">
        <v>1623</v>
      </c>
      <c r="D444" s="283" t="s">
        <v>4235</v>
      </c>
      <c r="E444" s="291">
        <v>36921</v>
      </c>
      <c r="F444" s="295">
        <v>36956</v>
      </c>
      <c r="G444" s="287" t="s">
        <v>463</v>
      </c>
      <c r="H444" s="266" t="s">
        <v>463</v>
      </c>
      <c r="I444" s="268" t="s">
        <v>8487</v>
      </c>
      <c r="J444" s="299"/>
      <c r="K444" s="259" t="str">
        <f>HYPERLINK("https://okcountyrecords.com/detail/roger+mills/2001-000926","OKCountyRecords: 2001-000926")</f>
        <v>OKCountyRecords: 2001-000926</v>
      </c>
    </row>
    <row r="445" spans="1:11" s="8" customFormat="1" ht="32.1" customHeight="1" x14ac:dyDescent="0.25">
      <c r="A445" s="278"/>
      <c r="B445" s="266"/>
      <c r="C445" s="266" t="s">
        <v>1623</v>
      </c>
      <c r="D445" s="283" t="s">
        <v>4236</v>
      </c>
      <c r="E445" s="291">
        <v>36921</v>
      </c>
      <c r="F445" s="295">
        <v>36956</v>
      </c>
      <c r="G445" s="287" t="s">
        <v>463</v>
      </c>
      <c r="H445" s="266" t="s">
        <v>463</v>
      </c>
      <c r="I445" s="268" t="s">
        <v>488</v>
      </c>
      <c r="J445" s="299"/>
      <c r="K445" s="259" t="str">
        <f>HYPERLINK("https://okcountyrecords.com/detail/roger+mills/2001-000927","OKCountyRecords: 2001-000927")</f>
        <v>OKCountyRecords: 2001-000927</v>
      </c>
    </row>
    <row r="446" spans="1:11" s="8" customFormat="1" ht="32.1" customHeight="1" x14ac:dyDescent="0.25">
      <c r="A446" s="278"/>
      <c r="B446" s="266"/>
      <c r="C446" s="266" t="s">
        <v>1623</v>
      </c>
      <c r="D446" s="283" t="s">
        <v>4155</v>
      </c>
      <c r="E446" s="291">
        <v>36922</v>
      </c>
      <c r="F446" s="295">
        <v>36957</v>
      </c>
      <c r="G446" s="287" t="s">
        <v>533</v>
      </c>
      <c r="H446" s="266" t="s">
        <v>678</v>
      </c>
      <c r="I446" s="268" t="s">
        <v>8309</v>
      </c>
      <c r="J446" s="299"/>
      <c r="K446" s="259" t="str">
        <f>HYPERLINK("https://okcountyrecords.com/detail/roger+mills/2001-000957","OKCountyRecords: 2001-000957")</f>
        <v>OKCountyRecords: 2001-000957</v>
      </c>
    </row>
    <row r="447" spans="1:11" s="8" customFormat="1" ht="32.1" customHeight="1" x14ac:dyDescent="0.25">
      <c r="A447" s="278"/>
      <c r="B447" s="266"/>
      <c r="C447" s="266" t="s">
        <v>1107</v>
      </c>
      <c r="D447" s="283" t="s">
        <v>7377</v>
      </c>
      <c r="E447" s="291">
        <v>36949</v>
      </c>
      <c r="F447" s="295">
        <v>36969</v>
      </c>
      <c r="G447" s="287" t="s">
        <v>2765</v>
      </c>
      <c r="H447" s="266" t="s">
        <v>1110</v>
      </c>
      <c r="I447" s="268" t="s">
        <v>8229</v>
      </c>
      <c r="J447" s="299"/>
      <c r="K447" s="259" t="str">
        <f>HYPERLINK("https://okcountyrecords.com/detail/roger+mills/2001-001091","OKCountyRecords: 2001-001091")</f>
        <v>OKCountyRecords: 2001-001091</v>
      </c>
    </row>
    <row r="448" spans="1:11" s="8" customFormat="1" ht="32.1" customHeight="1" x14ac:dyDescent="0.25">
      <c r="A448" s="278"/>
      <c r="B448" s="266"/>
      <c r="C448" s="266" t="s">
        <v>2506</v>
      </c>
      <c r="D448" s="283" t="s">
        <v>4156</v>
      </c>
      <c r="E448" s="291">
        <v>36955</v>
      </c>
      <c r="F448" s="295">
        <v>36969</v>
      </c>
      <c r="G448" s="287" t="s">
        <v>8499</v>
      </c>
      <c r="H448" s="266" t="s">
        <v>2769</v>
      </c>
      <c r="I448" s="268" t="s">
        <v>8229</v>
      </c>
      <c r="J448" s="299"/>
      <c r="K448" s="259" t="str">
        <f>HYPERLINK("https://okcountyrecords.com/detail/roger+mills/2001-001092","OKCountyRecords: 2001-001092")</f>
        <v>OKCountyRecords: 2001-001092</v>
      </c>
    </row>
    <row r="449" spans="1:11" s="8" customFormat="1" ht="32.1" customHeight="1" x14ac:dyDescent="0.25">
      <c r="A449" s="278"/>
      <c r="B449" s="266"/>
      <c r="C449" s="266" t="s">
        <v>1623</v>
      </c>
      <c r="D449" s="283" t="s">
        <v>4157</v>
      </c>
      <c r="E449" s="291">
        <v>36957</v>
      </c>
      <c r="F449" s="295">
        <v>36987</v>
      </c>
      <c r="G449" s="287" t="s">
        <v>2792</v>
      </c>
      <c r="H449" s="266" t="s">
        <v>678</v>
      </c>
      <c r="I449" s="268" t="s">
        <v>502</v>
      </c>
      <c r="J449" s="299"/>
      <c r="K449" s="259" t="str">
        <f>HYPERLINK("https://okcountyrecords.com/detail/roger+mills/2001-001414","OKCountyRecords: 2001-001414")</f>
        <v>OKCountyRecords: 2001-001414</v>
      </c>
    </row>
    <row r="450" spans="1:11" s="8" customFormat="1" ht="32.1" customHeight="1" x14ac:dyDescent="0.25">
      <c r="A450" s="278"/>
      <c r="B450" s="266"/>
      <c r="C450" s="266" t="s">
        <v>1623</v>
      </c>
      <c r="D450" s="283" t="s">
        <v>4158</v>
      </c>
      <c r="E450" s="291">
        <v>36963</v>
      </c>
      <c r="F450" s="295">
        <v>36991</v>
      </c>
      <c r="G450" s="287" t="s">
        <v>2795</v>
      </c>
      <c r="H450" s="266" t="s">
        <v>678</v>
      </c>
      <c r="I450" s="268" t="s">
        <v>8309</v>
      </c>
      <c r="J450" s="299"/>
      <c r="K450" s="259" t="str">
        <f>HYPERLINK("https://okcountyrecords.com/detail/roger+mills/2001-001463","OKCountyRecords: 2001-001463")</f>
        <v>OKCountyRecords: 2001-001463</v>
      </c>
    </row>
    <row r="451" spans="1:11" s="8" customFormat="1" ht="32.1" customHeight="1" x14ac:dyDescent="0.25">
      <c r="A451" s="278"/>
      <c r="B451" s="266"/>
      <c r="C451" s="266" t="s">
        <v>2619</v>
      </c>
      <c r="D451" s="283" t="s">
        <v>4159</v>
      </c>
      <c r="E451" s="291">
        <v>37014</v>
      </c>
      <c r="F451" s="295">
        <v>37034</v>
      </c>
      <c r="G451" s="287" t="s">
        <v>4190</v>
      </c>
      <c r="H451" s="266" t="s">
        <v>1110</v>
      </c>
      <c r="I451" s="268" t="s">
        <v>8309</v>
      </c>
      <c r="J451" s="299"/>
      <c r="K451" s="259" t="str">
        <f>HYPERLINK("https://okcountyrecords.com/detail/roger+mills/2001-002342","OKCountyRecords: 2001-002342")</f>
        <v>OKCountyRecords: 2001-002342</v>
      </c>
    </row>
    <row r="452" spans="1:11" s="8" customFormat="1" ht="32.1" customHeight="1" x14ac:dyDescent="0.25">
      <c r="A452" s="278"/>
      <c r="B452" s="266"/>
      <c r="C452" s="266" t="s">
        <v>2506</v>
      </c>
      <c r="D452" s="283" t="s">
        <v>4354</v>
      </c>
      <c r="E452" s="291">
        <v>37022</v>
      </c>
      <c r="F452" s="295">
        <v>37029</v>
      </c>
      <c r="G452" s="287" t="s">
        <v>2816</v>
      </c>
      <c r="H452" s="266" t="s">
        <v>2817</v>
      </c>
      <c r="I452" s="268" t="s">
        <v>2568</v>
      </c>
      <c r="J452" s="299"/>
      <c r="K452" s="259" t="str">
        <f>HYPERLINK("https://okcountyrecords.com/detail/roger+mills/2001-002190","OKCountyRecords: 2001-002190")</f>
        <v>OKCountyRecords: 2001-002190</v>
      </c>
    </row>
    <row r="453" spans="1:11" s="8" customFormat="1" ht="32.1" customHeight="1" x14ac:dyDescent="0.25">
      <c r="A453" s="278"/>
      <c r="B453" s="266"/>
      <c r="C453" s="266" t="s">
        <v>2827</v>
      </c>
      <c r="D453" s="283" t="s">
        <v>4355</v>
      </c>
      <c r="E453" s="291">
        <v>37034</v>
      </c>
      <c r="F453" s="295">
        <v>37041</v>
      </c>
      <c r="G453" s="287" t="s">
        <v>2816</v>
      </c>
      <c r="H453" s="266" t="s">
        <v>2829</v>
      </c>
      <c r="I453" s="268" t="s">
        <v>2568</v>
      </c>
      <c r="J453" s="299"/>
      <c r="K453" s="259" t="str">
        <f>HYPERLINK("https://okcountyrecords.com/detail/roger+mills/2001-002496","OKCountyRecords: 2001-002496")</f>
        <v>OKCountyRecords: 2001-002496</v>
      </c>
    </row>
    <row r="454" spans="1:11" s="8" customFormat="1" ht="32.1" customHeight="1" x14ac:dyDescent="0.25">
      <c r="A454" s="278"/>
      <c r="B454" s="266"/>
      <c r="C454" s="266" t="s">
        <v>969</v>
      </c>
      <c r="D454" s="283" t="s">
        <v>7438</v>
      </c>
      <c r="E454" s="291">
        <v>37406</v>
      </c>
      <c r="F454" s="295">
        <v>37407</v>
      </c>
      <c r="G454" s="287" t="s">
        <v>678</v>
      </c>
      <c r="H454" s="266" t="s">
        <v>8500</v>
      </c>
      <c r="I454" s="268" t="s">
        <v>308</v>
      </c>
      <c r="J454" s="299"/>
      <c r="K454" s="259" t="str">
        <f>HYPERLINK("https://okcountyrecords.com/detail/roger+mills/2002-002227","OKCountyRecords: 2002-002227")</f>
        <v>OKCountyRecords: 2002-002227</v>
      </c>
    </row>
    <row r="455" spans="1:11" s="8" customFormat="1" ht="32.1" customHeight="1" x14ac:dyDescent="0.25">
      <c r="A455" s="278"/>
      <c r="B455" s="266"/>
      <c r="C455" s="266" t="s">
        <v>1623</v>
      </c>
      <c r="D455" s="283" t="s">
        <v>4356</v>
      </c>
      <c r="E455" s="291">
        <v>37482</v>
      </c>
      <c r="F455" s="295">
        <v>37505</v>
      </c>
      <c r="G455" s="287" t="s">
        <v>2877</v>
      </c>
      <c r="H455" s="266" t="s">
        <v>678</v>
      </c>
      <c r="I455" s="268" t="s">
        <v>505</v>
      </c>
      <c r="J455" s="299"/>
      <c r="K455" s="259" t="str">
        <f>HYPERLINK("https://okcountyrecords.com/detail/roger+mills/2002-003563","OKCountyRecords: 2002-003563")</f>
        <v>OKCountyRecords: 2002-003563</v>
      </c>
    </row>
    <row r="456" spans="1:11" s="8" customFormat="1" ht="32.1" customHeight="1" x14ac:dyDescent="0.25">
      <c r="A456" s="278"/>
      <c r="B456" s="266"/>
      <c r="C456" s="266" t="s">
        <v>1623</v>
      </c>
      <c r="D456" s="283" t="s">
        <v>4237</v>
      </c>
      <c r="E456" s="291">
        <v>37536</v>
      </c>
      <c r="F456" s="295">
        <v>37573</v>
      </c>
      <c r="G456" s="287" t="s">
        <v>8501</v>
      </c>
      <c r="H456" s="266" t="s">
        <v>2897</v>
      </c>
      <c r="I456" s="268" t="s">
        <v>8487</v>
      </c>
      <c r="J456" s="299"/>
      <c r="K456" s="259" t="str">
        <f>HYPERLINK("https://okcountyrecords.com/detail/roger+mills/2002-004378","OKCountyRecords: 2002-004378")</f>
        <v>OKCountyRecords: 2002-004378</v>
      </c>
    </row>
    <row r="457" spans="1:11" s="8" customFormat="1" ht="32.1" customHeight="1" x14ac:dyDescent="0.25">
      <c r="A457" s="278"/>
      <c r="B457" s="266"/>
      <c r="C457" s="266" t="s">
        <v>1623</v>
      </c>
      <c r="D457" s="283" t="s">
        <v>4160</v>
      </c>
      <c r="E457" s="291">
        <v>37586</v>
      </c>
      <c r="F457" s="295">
        <v>37592</v>
      </c>
      <c r="G457" s="287" t="s">
        <v>258</v>
      </c>
      <c r="H457" s="266" t="s">
        <v>8502</v>
      </c>
      <c r="I457" s="268" t="s">
        <v>8309</v>
      </c>
      <c r="J457" s="299"/>
      <c r="K457" s="259" t="str">
        <f>HYPERLINK("https://okcountyrecords.com/detail/roger+mills/2002-004595","OKCountyRecords: 2002-004595")</f>
        <v>OKCountyRecords: 2002-004595</v>
      </c>
    </row>
    <row r="458" spans="1:11" s="8" customFormat="1" ht="32.1" customHeight="1" x14ac:dyDescent="0.25">
      <c r="A458" s="278"/>
      <c r="B458" s="266"/>
      <c r="C458" s="266" t="s">
        <v>2506</v>
      </c>
      <c r="D458" s="283" t="s">
        <v>4238</v>
      </c>
      <c r="E458" s="291">
        <v>37761</v>
      </c>
      <c r="F458" s="295">
        <v>37797</v>
      </c>
      <c r="G458" s="287" t="s">
        <v>654</v>
      </c>
      <c r="H458" s="266" t="s">
        <v>2227</v>
      </c>
      <c r="I458" s="268" t="s">
        <v>8487</v>
      </c>
      <c r="J458" s="299"/>
      <c r="K458" s="259" t="str">
        <f>HYPERLINK("https://okcountyrecords.com/detail/roger+mills/2003-003131","OKCountyRecords: 2003-003131")</f>
        <v>OKCountyRecords: 2003-003131</v>
      </c>
    </row>
    <row r="459" spans="1:11" s="8" customFormat="1" ht="32.1" customHeight="1" x14ac:dyDescent="0.25">
      <c r="A459" s="278"/>
      <c r="B459" s="266"/>
      <c r="C459" s="266" t="s">
        <v>1274</v>
      </c>
      <c r="D459" s="283" t="s">
        <v>4327</v>
      </c>
      <c r="E459" s="291">
        <v>37802</v>
      </c>
      <c r="F459" s="295">
        <v>37937</v>
      </c>
      <c r="G459" s="287" t="s">
        <v>4330</v>
      </c>
      <c r="H459" s="266" t="s">
        <v>1110</v>
      </c>
      <c r="I459" s="268" t="s">
        <v>8503</v>
      </c>
      <c r="J459" s="299"/>
      <c r="K459" s="259" t="str">
        <f>HYPERLINK("https://okcountyrecords.com/detail/roger+mills/2003-005699","OKCountyRecords: 2003-005699")</f>
        <v>OKCountyRecords: 2003-005699</v>
      </c>
    </row>
    <row r="460" spans="1:11" s="8" customFormat="1" ht="32.1" customHeight="1" x14ac:dyDescent="0.25">
      <c r="A460" s="278"/>
      <c r="B460" s="266"/>
      <c r="C460" s="266" t="s">
        <v>2430</v>
      </c>
      <c r="D460" s="283" t="s">
        <v>4161</v>
      </c>
      <c r="E460" s="291">
        <v>37848</v>
      </c>
      <c r="F460" s="295">
        <v>37897</v>
      </c>
      <c r="G460" s="287" t="s">
        <v>8462</v>
      </c>
      <c r="H460" s="266" t="s">
        <v>2926</v>
      </c>
      <c r="I460" s="268" t="s">
        <v>8309</v>
      </c>
      <c r="J460" s="299"/>
      <c r="K460" s="259" t="str">
        <f>HYPERLINK("https://okcountyrecords.com/detail/roger+mills/2003-004945","OKCountyRecords: 2003-004945")</f>
        <v>OKCountyRecords: 2003-004945</v>
      </c>
    </row>
    <row r="461" spans="1:11" s="8" customFormat="1" ht="32.1" customHeight="1" x14ac:dyDescent="0.25">
      <c r="A461" s="278"/>
      <c r="B461" s="266"/>
      <c r="C461" s="266" t="s">
        <v>2430</v>
      </c>
      <c r="D461" s="283" t="s">
        <v>4357</v>
      </c>
      <c r="E461" s="291">
        <v>37866</v>
      </c>
      <c r="F461" s="295">
        <v>37881</v>
      </c>
      <c r="G461" s="287" t="s">
        <v>2829</v>
      </c>
      <c r="H461" s="266" t="s">
        <v>2923</v>
      </c>
      <c r="I461" s="268" t="s">
        <v>2568</v>
      </c>
      <c r="J461" s="299"/>
      <c r="K461" s="259" t="str">
        <f>HYPERLINK("https://okcountyrecords.com/detail/roger+mills/2003-004685","OKCountyRecords: 2003-004685")</f>
        <v>OKCountyRecords: 2003-004685</v>
      </c>
    </row>
    <row r="462" spans="1:11" s="8" customFormat="1" ht="32.1" customHeight="1" x14ac:dyDescent="0.25">
      <c r="A462" s="278"/>
      <c r="B462" s="266"/>
      <c r="C462" s="266" t="s">
        <v>2506</v>
      </c>
      <c r="D462" s="283" t="s">
        <v>4358</v>
      </c>
      <c r="E462" s="291">
        <v>37959</v>
      </c>
      <c r="F462" s="295">
        <v>38008</v>
      </c>
      <c r="G462" s="287" t="s">
        <v>8504</v>
      </c>
      <c r="H462" s="266" t="s">
        <v>2923</v>
      </c>
      <c r="I462" s="268" t="s">
        <v>2568</v>
      </c>
      <c r="J462" s="299"/>
      <c r="K462" s="259" t="str">
        <f>HYPERLINK("https://okcountyrecords.com/detail/roger+mills/2004-000364","OKCountyRecords: 2004-000364")</f>
        <v>OKCountyRecords: 2004-000364</v>
      </c>
    </row>
    <row r="463" spans="1:11" s="8" customFormat="1" ht="32.1" customHeight="1" x14ac:dyDescent="0.25">
      <c r="A463" s="278"/>
      <c r="B463" s="266"/>
      <c r="C463" s="266" t="s">
        <v>1274</v>
      </c>
      <c r="D463" s="283" t="s">
        <v>4162</v>
      </c>
      <c r="E463" s="291">
        <v>37990</v>
      </c>
      <c r="F463" s="295">
        <v>37994</v>
      </c>
      <c r="G463" s="287" t="s">
        <v>4193</v>
      </c>
      <c r="H463" s="266" t="s">
        <v>1110</v>
      </c>
      <c r="I463" s="268" t="s">
        <v>8309</v>
      </c>
      <c r="J463" s="299"/>
      <c r="K463" s="259" t="str">
        <f>HYPERLINK("https://okcountyrecords.com/detail/roger+mills/2004-000099","OKCountyRecords: 2004-000099")</f>
        <v>OKCountyRecords: 2004-000099</v>
      </c>
    </row>
    <row r="464" spans="1:11" s="8" customFormat="1" ht="32.1" customHeight="1" x14ac:dyDescent="0.25">
      <c r="A464" s="278"/>
      <c r="B464" s="266"/>
      <c r="C464" s="266" t="s">
        <v>7314</v>
      </c>
      <c r="D464" s="283" t="s">
        <v>7510</v>
      </c>
      <c r="E464" s="291">
        <v>38014</v>
      </c>
      <c r="F464" s="295">
        <v>38027</v>
      </c>
      <c r="G464" s="287" t="s">
        <v>2963</v>
      </c>
      <c r="H464" s="266" t="s">
        <v>1110</v>
      </c>
      <c r="I464" s="268" t="s">
        <v>488</v>
      </c>
      <c r="J464" s="299"/>
      <c r="K464" s="259" t="str">
        <f>HYPERLINK("https://okcountyrecords.com/detail/roger+mills/2004-000691","OKCountyRecords: 2004-000691")</f>
        <v>OKCountyRecords: 2004-000691</v>
      </c>
    </row>
    <row r="465" spans="1:11" s="8" customFormat="1" ht="32.1" customHeight="1" x14ac:dyDescent="0.25">
      <c r="A465" s="278"/>
      <c r="B465" s="266"/>
      <c r="C465" s="266" t="s">
        <v>1107</v>
      </c>
      <c r="D465" s="283" t="s">
        <v>7533</v>
      </c>
      <c r="E465" s="291">
        <v>38078</v>
      </c>
      <c r="F465" s="295">
        <v>38084</v>
      </c>
      <c r="G465" s="287" t="s">
        <v>280</v>
      </c>
      <c r="H465" s="266" t="s">
        <v>1110</v>
      </c>
      <c r="I465" s="268" t="s">
        <v>8309</v>
      </c>
      <c r="J465" s="299"/>
      <c r="K465" s="259" t="str">
        <f>HYPERLINK("https://okcountyrecords.com/detail/roger+mills/2004-001735","OKCountyRecords: 2004-001735")</f>
        <v>OKCountyRecords: 2004-001735</v>
      </c>
    </row>
    <row r="466" spans="1:11" s="8" customFormat="1" ht="32.1" customHeight="1" x14ac:dyDescent="0.25">
      <c r="A466" s="278"/>
      <c r="B466" s="266"/>
      <c r="C466" s="266" t="s">
        <v>1107</v>
      </c>
      <c r="D466" s="283" t="s">
        <v>7540</v>
      </c>
      <c r="E466" s="291">
        <v>38112</v>
      </c>
      <c r="F466" s="295">
        <v>38121</v>
      </c>
      <c r="G466" s="287" t="s">
        <v>3001</v>
      </c>
      <c r="H466" s="266" t="s">
        <v>1110</v>
      </c>
      <c r="I466" s="268" t="s">
        <v>8487</v>
      </c>
      <c r="J466" s="299"/>
      <c r="K466" s="259" t="str">
        <f>HYPERLINK("https://okcountyrecords.com/detail/roger+mills/2004-002491","OKCountyRecords: 2004-002491")</f>
        <v>OKCountyRecords: 2004-002491</v>
      </c>
    </row>
    <row r="467" spans="1:11" s="8" customFormat="1" ht="32.1" customHeight="1" x14ac:dyDescent="0.25">
      <c r="A467" s="278"/>
      <c r="B467" s="266"/>
      <c r="C467" s="266" t="s">
        <v>1623</v>
      </c>
      <c r="D467" s="283" t="s">
        <v>4359</v>
      </c>
      <c r="E467" s="291">
        <v>38260</v>
      </c>
      <c r="F467" s="295">
        <v>38274</v>
      </c>
      <c r="G467" s="287" t="s">
        <v>3022</v>
      </c>
      <c r="H467" s="266" t="s">
        <v>3023</v>
      </c>
      <c r="I467" s="268" t="s">
        <v>561</v>
      </c>
      <c r="J467" s="299"/>
      <c r="K467" s="259" t="str">
        <f>HYPERLINK("https://okcountyrecords.com/detail/roger+mills/2004-005738","OKCountyRecords: 2004-005738")</f>
        <v>OKCountyRecords: 2004-005738</v>
      </c>
    </row>
    <row r="468" spans="1:11" s="8" customFormat="1" ht="32.1" customHeight="1" x14ac:dyDescent="0.25">
      <c r="A468" s="278"/>
      <c r="B468" s="266"/>
      <c r="C468" s="266" t="s">
        <v>1623</v>
      </c>
      <c r="D468" s="283" t="s">
        <v>4360</v>
      </c>
      <c r="E468" s="291">
        <v>38267</v>
      </c>
      <c r="F468" s="295">
        <v>38274</v>
      </c>
      <c r="G468" s="287" t="s">
        <v>3022</v>
      </c>
      <c r="H468" s="266" t="s">
        <v>3023</v>
      </c>
      <c r="I468" s="268" t="s">
        <v>561</v>
      </c>
      <c r="J468" s="299"/>
      <c r="K468" s="259" t="str">
        <f>HYPERLINK("https://okcountyrecords.com/detail/roger+mills/2004-005739","OKCountyRecords: 2004-005739")</f>
        <v>OKCountyRecords: 2004-005739</v>
      </c>
    </row>
    <row r="469" spans="1:11" s="8" customFormat="1" ht="32.1" customHeight="1" x14ac:dyDescent="0.25">
      <c r="A469" s="278"/>
      <c r="B469" s="266"/>
      <c r="C469" s="266" t="s">
        <v>1623</v>
      </c>
      <c r="D469" s="283" t="s">
        <v>4163</v>
      </c>
      <c r="E469" s="291">
        <v>38275</v>
      </c>
      <c r="F469" s="295">
        <v>38281</v>
      </c>
      <c r="G469" s="287" t="s">
        <v>8505</v>
      </c>
      <c r="H469" s="266" t="s">
        <v>3029</v>
      </c>
      <c r="I469" s="268" t="s">
        <v>8309</v>
      </c>
      <c r="J469" s="299"/>
      <c r="K469" s="259" t="str">
        <f>HYPERLINK("https://okcountyrecords.com/detail/roger+mills/2004-005901","OKCountyRecords: 2004-005901")</f>
        <v>OKCountyRecords: 2004-005901</v>
      </c>
    </row>
    <row r="470" spans="1:11" s="8" customFormat="1" ht="32.1" customHeight="1" x14ac:dyDescent="0.25">
      <c r="A470" s="278"/>
      <c r="B470" s="266"/>
      <c r="C470" s="266" t="s">
        <v>1623</v>
      </c>
      <c r="D470" s="283" t="s">
        <v>4367</v>
      </c>
      <c r="E470" s="291">
        <v>38286</v>
      </c>
      <c r="F470" s="295">
        <v>39748</v>
      </c>
      <c r="G470" s="287" t="s">
        <v>8506</v>
      </c>
      <c r="H470" s="266" t="s">
        <v>259</v>
      </c>
      <c r="I470" s="268" t="s">
        <v>8507</v>
      </c>
      <c r="J470" s="299"/>
      <c r="K470" s="259" t="str">
        <f>HYPERLINK("https://okcountyrecords.com/detail/roger+mills/2008-006536","OKCountyRecords: 2008-006536")</f>
        <v>OKCountyRecords: 2008-006536</v>
      </c>
    </row>
    <row r="471" spans="1:11" s="8" customFormat="1" ht="32.1" customHeight="1" x14ac:dyDescent="0.25">
      <c r="A471" s="278"/>
      <c r="B471" s="266"/>
      <c r="C471" s="266" t="s">
        <v>1623</v>
      </c>
      <c r="D471" s="283" t="s">
        <v>4361</v>
      </c>
      <c r="E471" s="291">
        <v>38292</v>
      </c>
      <c r="F471" s="295">
        <v>38308</v>
      </c>
      <c r="G471" s="287" t="s">
        <v>3032</v>
      </c>
      <c r="H471" s="266" t="s">
        <v>678</v>
      </c>
      <c r="I471" s="268" t="s">
        <v>8508</v>
      </c>
      <c r="J471" s="299"/>
      <c r="K471" s="259" t="str">
        <f>HYPERLINK("https://okcountyrecords.com/detail/roger+mills/2004-006577","OKCountyRecords: 2004-006577")</f>
        <v>OKCountyRecords: 2004-006577</v>
      </c>
    </row>
    <row r="472" spans="1:11" s="8" customFormat="1" ht="32.1" customHeight="1" x14ac:dyDescent="0.25">
      <c r="A472" s="278"/>
      <c r="B472" s="266"/>
      <c r="C472" s="266" t="s">
        <v>969</v>
      </c>
      <c r="D472" s="283" t="s">
        <v>4239</v>
      </c>
      <c r="E472" s="291">
        <v>38338</v>
      </c>
      <c r="F472" s="295">
        <v>38376</v>
      </c>
      <c r="G472" s="287" t="s">
        <v>8509</v>
      </c>
      <c r="H472" s="266" t="s">
        <v>8510</v>
      </c>
      <c r="I472" s="268" t="s">
        <v>8487</v>
      </c>
      <c r="J472" s="299"/>
      <c r="K472" s="259" t="str">
        <f>HYPERLINK("https://okcountyrecords.com/detail/roger+mills/2005-000347","OKCountyRecords: 2005-000347")</f>
        <v>OKCountyRecords: 2005-000347</v>
      </c>
    </row>
    <row r="473" spans="1:11" s="8" customFormat="1" ht="32.1" customHeight="1" x14ac:dyDescent="0.25">
      <c r="A473" s="278"/>
      <c r="B473" s="266"/>
      <c r="C473" s="266" t="s">
        <v>1623</v>
      </c>
      <c r="D473" s="283" t="s">
        <v>4164</v>
      </c>
      <c r="E473" s="291">
        <v>38362</v>
      </c>
      <c r="F473" s="295">
        <v>38365</v>
      </c>
      <c r="G473" s="287" t="s">
        <v>8511</v>
      </c>
      <c r="H473" s="266" t="s">
        <v>8512</v>
      </c>
      <c r="I473" s="268" t="s">
        <v>8309</v>
      </c>
      <c r="J473" s="299"/>
      <c r="K473" s="259" t="str">
        <f>HYPERLINK("https://okcountyrecords.com/detail/roger+mills/2005-000158","OKCountyRecords: 2005-000158")</f>
        <v>OKCountyRecords: 2005-000158</v>
      </c>
    </row>
    <row r="474" spans="1:11" s="8" customFormat="1" ht="32.1" customHeight="1" x14ac:dyDescent="0.25">
      <c r="A474" s="278"/>
      <c r="B474" s="266"/>
      <c r="C474" s="266" t="s">
        <v>1107</v>
      </c>
      <c r="D474" s="283" t="s">
        <v>7578</v>
      </c>
      <c r="E474" s="291">
        <v>38427</v>
      </c>
      <c r="F474" s="295">
        <v>38440</v>
      </c>
      <c r="G474" s="287" t="s">
        <v>2227</v>
      </c>
      <c r="H474" s="266" t="s">
        <v>1110</v>
      </c>
      <c r="I474" s="268" t="s">
        <v>686</v>
      </c>
      <c r="J474" s="299"/>
      <c r="K474" s="259" t="str">
        <f>HYPERLINK("https://okcountyrecords.com/detail/roger+mills/2005-001839","OKCountyRecords: 2005-001839")</f>
        <v>OKCountyRecords: 2005-001839</v>
      </c>
    </row>
    <row r="475" spans="1:11" s="8" customFormat="1" ht="32.1" customHeight="1" x14ac:dyDescent="0.25">
      <c r="A475" s="278"/>
      <c r="B475" s="266"/>
      <c r="C475" s="266" t="s">
        <v>1623</v>
      </c>
      <c r="D475" s="283" t="s">
        <v>4240</v>
      </c>
      <c r="E475" s="291">
        <v>38446</v>
      </c>
      <c r="F475" s="295">
        <v>38446</v>
      </c>
      <c r="G475" s="287" t="s">
        <v>3055</v>
      </c>
      <c r="H475" s="266" t="s">
        <v>8513</v>
      </c>
      <c r="I475" s="268" t="s">
        <v>8487</v>
      </c>
      <c r="J475" s="299"/>
      <c r="K475" s="259" t="str">
        <f>HYPERLINK("https://okcountyrecords.com/detail/roger+mills/2005-001909","OKCountyRecords: 2005-001909")</f>
        <v>OKCountyRecords: 2005-001909</v>
      </c>
    </row>
    <row r="476" spans="1:11" s="8" customFormat="1" ht="32.1" customHeight="1" x14ac:dyDescent="0.25">
      <c r="A476" s="278"/>
      <c r="B476" s="266"/>
      <c r="C476" s="266" t="s">
        <v>2619</v>
      </c>
      <c r="D476" s="283" t="s">
        <v>4362</v>
      </c>
      <c r="E476" s="291">
        <v>38455</v>
      </c>
      <c r="F476" s="295">
        <v>38455</v>
      </c>
      <c r="G476" s="287" t="s">
        <v>4396</v>
      </c>
      <c r="H476" s="266" t="s">
        <v>1110</v>
      </c>
      <c r="I476" s="268" t="s">
        <v>8514</v>
      </c>
      <c r="J476" s="299"/>
      <c r="K476" s="259" t="str">
        <f>HYPERLINK("https://okcountyrecords.com/detail/roger+mills/2005-002196","OKCountyRecords: 2005-002196")</f>
        <v>OKCountyRecords: 2005-002196</v>
      </c>
    </row>
    <row r="477" spans="1:11" s="8" customFormat="1" ht="32.1" customHeight="1" x14ac:dyDescent="0.25">
      <c r="A477" s="278"/>
      <c r="B477" s="266"/>
      <c r="C477" s="266" t="s">
        <v>1623</v>
      </c>
      <c r="D477" s="283" t="s">
        <v>4364</v>
      </c>
      <c r="E477" s="291">
        <v>38473</v>
      </c>
      <c r="F477" s="295">
        <v>38548</v>
      </c>
      <c r="G477" s="287" t="s">
        <v>678</v>
      </c>
      <c r="H477" s="266" t="s">
        <v>8515</v>
      </c>
      <c r="I477" s="268" t="s">
        <v>8516</v>
      </c>
      <c r="J477" s="299"/>
      <c r="K477" s="259" t="str">
        <f>HYPERLINK("https://okcountyrecords.com/detail/roger+mills/2005-004793","OKCountyRecords: 2005-004793")</f>
        <v>OKCountyRecords: 2005-004793</v>
      </c>
    </row>
    <row r="478" spans="1:11" s="8" customFormat="1" ht="32.1" customHeight="1" x14ac:dyDescent="0.25">
      <c r="A478" s="278"/>
      <c r="B478" s="266"/>
      <c r="C478" s="266" t="s">
        <v>1623</v>
      </c>
      <c r="D478" s="283" t="s">
        <v>4365</v>
      </c>
      <c r="E478" s="291">
        <v>38473</v>
      </c>
      <c r="F478" s="295">
        <v>38573</v>
      </c>
      <c r="G478" s="287" t="s">
        <v>678</v>
      </c>
      <c r="H478" s="266" t="s">
        <v>8517</v>
      </c>
      <c r="I478" s="268" t="s">
        <v>505</v>
      </c>
      <c r="J478" s="299"/>
      <c r="K478" s="259" t="str">
        <f>HYPERLINK("https://okcountyrecords.com/detail/roger+mills/2005-005251","OKCountyRecords: 2005-005251")</f>
        <v>OKCountyRecords: 2005-005251</v>
      </c>
    </row>
    <row r="479" spans="1:11" s="8" customFormat="1" ht="32.1" customHeight="1" x14ac:dyDescent="0.25">
      <c r="A479" s="278"/>
      <c r="B479" s="266"/>
      <c r="C479" s="266" t="s">
        <v>1623</v>
      </c>
      <c r="D479" s="283" t="s">
        <v>4241</v>
      </c>
      <c r="E479" s="291">
        <v>38483</v>
      </c>
      <c r="F479" s="295">
        <v>38490</v>
      </c>
      <c r="G479" s="287" t="s">
        <v>3079</v>
      </c>
      <c r="H479" s="266" t="s">
        <v>3080</v>
      </c>
      <c r="I479" s="268" t="s">
        <v>8487</v>
      </c>
      <c r="J479" s="299"/>
      <c r="K479" s="259" t="str">
        <f>HYPERLINK("https://okcountyrecords.com/detail/roger+mills/2005-003389","OKCountyRecords: 2005-003389")</f>
        <v>OKCountyRecords: 2005-003389</v>
      </c>
    </row>
    <row r="480" spans="1:11" s="8" customFormat="1" ht="32.1" customHeight="1" x14ac:dyDescent="0.25">
      <c r="A480" s="278"/>
      <c r="B480" s="266"/>
      <c r="C480" s="266" t="s">
        <v>1623</v>
      </c>
      <c r="D480" s="283" t="s">
        <v>4363</v>
      </c>
      <c r="E480" s="291">
        <v>38516</v>
      </c>
      <c r="F480" s="295">
        <v>38517</v>
      </c>
      <c r="G480" s="287" t="s">
        <v>3096</v>
      </c>
      <c r="H480" s="266" t="s">
        <v>3097</v>
      </c>
      <c r="I480" s="268" t="s">
        <v>8318</v>
      </c>
      <c r="J480" s="299"/>
      <c r="K480" s="259" t="str">
        <f>HYPERLINK("https://okcountyrecords.com/detail/roger+mills/2005-004044","OKCountyRecords: 2005-004044")</f>
        <v>OKCountyRecords: 2005-004044</v>
      </c>
    </row>
    <row r="481" spans="1:11" s="8" customFormat="1" ht="32.1" customHeight="1" x14ac:dyDescent="0.25">
      <c r="A481" s="278"/>
      <c r="B481" s="266"/>
      <c r="C481" s="266" t="s">
        <v>1623</v>
      </c>
      <c r="D481" s="283" t="s">
        <v>4246</v>
      </c>
      <c r="E481" s="291">
        <v>38608</v>
      </c>
      <c r="F481" s="295">
        <v>38658</v>
      </c>
      <c r="G481" s="287" t="s">
        <v>626</v>
      </c>
      <c r="H481" s="266" t="s">
        <v>8518</v>
      </c>
      <c r="I481" s="268" t="s">
        <v>8487</v>
      </c>
      <c r="J481" s="299"/>
      <c r="K481" s="259" t="str">
        <f>HYPERLINK("https://okcountyrecords.com/detail/roger+mills/2005-007540","OKCountyRecords: 2005-007540")</f>
        <v>OKCountyRecords: 2005-007540</v>
      </c>
    </row>
    <row r="482" spans="1:11" s="8" customFormat="1" ht="32.1" customHeight="1" x14ac:dyDescent="0.25">
      <c r="A482" s="278"/>
      <c r="B482" s="266"/>
      <c r="C482" s="266" t="s">
        <v>1623</v>
      </c>
      <c r="D482" s="283" t="s">
        <v>4242</v>
      </c>
      <c r="E482" s="291">
        <v>38624</v>
      </c>
      <c r="F482" s="295">
        <v>38642</v>
      </c>
      <c r="G482" s="287" t="s">
        <v>695</v>
      </c>
      <c r="H482" s="266" t="s">
        <v>3138</v>
      </c>
      <c r="I482" s="268" t="s">
        <v>488</v>
      </c>
      <c r="J482" s="299"/>
      <c r="K482" s="259" t="str">
        <f>HYPERLINK("https://okcountyrecords.com/detail/roger+mills/2005-007117","OKCountyRecords: 2005-007117")</f>
        <v>OKCountyRecords: 2005-007117</v>
      </c>
    </row>
    <row r="483" spans="1:11" s="8" customFormat="1" ht="32.1" customHeight="1" x14ac:dyDescent="0.25">
      <c r="A483" s="278"/>
      <c r="B483" s="266"/>
      <c r="C483" s="266" t="s">
        <v>1623</v>
      </c>
      <c r="D483" s="283" t="s">
        <v>4243</v>
      </c>
      <c r="E483" s="291">
        <v>38625</v>
      </c>
      <c r="F483" s="295">
        <v>38642</v>
      </c>
      <c r="G483" s="287" t="s">
        <v>278</v>
      </c>
      <c r="H483" s="266" t="s">
        <v>3138</v>
      </c>
      <c r="I483" s="268" t="s">
        <v>488</v>
      </c>
      <c r="J483" s="299"/>
      <c r="K483" s="259" t="str">
        <f>HYPERLINK("https://okcountyrecords.com/detail/roger+mills/2005-007116","OKCountyRecords: 2005-007116")</f>
        <v>OKCountyRecords: 2005-007116</v>
      </c>
    </row>
    <row r="484" spans="1:11" s="8" customFormat="1" ht="32.1" customHeight="1" x14ac:dyDescent="0.25">
      <c r="A484" s="278"/>
      <c r="B484" s="266"/>
      <c r="C484" s="266" t="s">
        <v>1623</v>
      </c>
      <c r="D484" s="283" t="s">
        <v>4244</v>
      </c>
      <c r="E484" s="291">
        <v>38626</v>
      </c>
      <c r="F484" s="295">
        <v>38642</v>
      </c>
      <c r="G484" s="287" t="s">
        <v>620</v>
      </c>
      <c r="H484" s="266" t="s">
        <v>3138</v>
      </c>
      <c r="I484" s="268" t="s">
        <v>488</v>
      </c>
      <c r="J484" s="299"/>
      <c r="K484" s="259" t="str">
        <f>HYPERLINK("https://okcountyrecords.com/detail/roger+mills/2005-007119","OKCountyRecords: 2005-007119")</f>
        <v>OKCountyRecords: 2005-007119</v>
      </c>
    </row>
    <row r="485" spans="1:11" s="8" customFormat="1" ht="32.1" customHeight="1" x14ac:dyDescent="0.25">
      <c r="A485" s="278"/>
      <c r="B485" s="266"/>
      <c r="C485" s="266" t="s">
        <v>1623</v>
      </c>
      <c r="D485" s="283" t="s">
        <v>4245</v>
      </c>
      <c r="E485" s="291">
        <v>38626</v>
      </c>
      <c r="F485" s="295">
        <v>38642</v>
      </c>
      <c r="G485" s="287" t="s">
        <v>620</v>
      </c>
      <c r="H485" s="266" t="s">
        <v>3138</v>
      </c>
      <c r="I485" s="268" t="s">
        <v>488</v>
      </c>
      <c r="J485" s="299"/>
      <c r="K485" s="259" t="str">
        <f>HYPERLINK("https://okcountyrecords.com/detail/roger+mills/2005-007120","OKCountyRecords: 2005-007120")</f>
        <v>OKCountyRecords: 2005-007120</v>
      </c>
    </row>
    <row r="486" spans="1:11" s="8" customFormat="1" ht="32.1" customHeight="1" x14ac:dyDescent="0.25">
      <c r="A486" s="278"/>
      <c r="B486" s="266"/>
      <c r="C486" s="266" t="s">
        <v>1623</v>
      </c>
      <c r="D486" s="283" t="s">
        <v>4165</v>
      </c>
      <c r="E486" s="291">
        <v>38650</v>
      </c>
      <c r="F486" s="295">
        <v>38658</v>
      </c>
      <c r="G486" s="287" t="s">
        <v>8483</v>
      </c>
      <c r="H486" s="266" t="s">
        <v>8512</v>
      </c>
      <c r="I486" s="268" t="s">
        <v>8309</v>
      </c>
      <c r="J486" s="299"/>
      <c r="K486" s="259" t="str">
        <f>HYPERLINK("https://okcountyrecords.com/detail/roger+mills/2005-007551","OKCountyRecords: 2005-007551")</f>
        <v>OKCountyRecords: 2005-007551</v>
      </c>
    </row>
    <row r="487" spans="1:11" s="8" customFormat="1" ht="32.1" customHeight="1" x14ac:dyDescent="0.25">
      <c r="A487" s="278"/>
      <c r="B487" s="266"/>
      <c r="C487" s="266" t="s">
        <v>1623</v>
      </c>
      <c r="D487" s="283" t="s">
        <v>4247</v>
      </c>
      <c r="E487" s="291">
        <v>38655</v>
      </c>
      <c r="F487" s="295">
        <v>38658</v>
      </c>
      <c r="G487" s="287" t="s">
        <v>8518</v>
      </c>
      <c r="H487" s="266" t="s">
        <v>8519</v>
      </c>
      <c r="I487" s="268" t="s">
        <v>8487</v>
      </c>
      <c r="J487" s="299"/>
      <c r="K487" s="259" t="str">
        <f>HYPERLINK("https://okcountyrecords.com/detail/roger+mills/2005-007541","OKCountyRecords: 2005-007541")</f>
        <v>OKCountyRecords: 2005-007541</v>
      </c>
    </row>
    <row r="488" spans="1:11" s="8" customFormat="1" ht="32.1" customHeight="1" x14ac:dyDescent="0.25">
      <c r="A488" s="278"/>
      <c r="B488" s="266"/>
      <c r="C488" s="266" t="s">
        <v>2441</v>
      </c>
      <c r="D488" s="283" t="s">
        <v>7692</v>
      </c>
      <c r="E488" s="291">
        <v>38733</v>
      </c>
      <c r="F488" s="295">
        <v>38751</v>
      </c>
      <c r="G488" s="287" t="s">
        <v>678</v>
      </c>
      <c r="H488" s="266" t="s">
        <v>8515</v>
      </c>
      <c r="I488" s="268" t="s">
        <v>505</v>
      </c>
      <c r="J488" s="299"/>
      <c r="K488" s="259" t="str">
        <f>HYPERLINK("https://okcountyrecords.com/detail/roger+mills/2006-000870","OKCountyRecords: 2006-000870")</f>
        <v>OKCountyRecords: 2006-000870</v>
      </c>
    </row>
    <row r="489" spans="1:11" s="8" customFormat="1" ht="32.1" customHeight="1" x14ac:dyDescent="0.25">
      <c r="A489" s="278"/>
      <c r="B489" s="266"/>
      <c r="C489" s="266" t="s">
        <v>2441</v>
      </c>
      <c r="D489" s="283" t="s">
        <v>7778</v>
      </c>
      <c r="E489" s="291">
        <v>38798</v>
      </c>
      <c r="F489" s="295">
        <v>39262</v>
      </c>
      <c r="G489" s="287" t="s">
        <v>487</v>
      </c>
      <c r="H489" s="266" t="s">
        <v>3324</v>
      </c>
      <c r="I489" s="268" t="s">
        <v>488</v>
      </c>
      <c r="J489" s="299"/>
      <c r="K489" s="259" t="str">
        <f>HYPERLINK("https://okcountyrecords.com/detail/roger+mills/2007-002804","OKCountyRecords: 2007-002804")</f>
        <v>OKCountyRecords: 2007-002804</v>
      </c>
    </row>
    <row r="490" spans="1:11" s="8" customFormat="1" ht="32.1" customHeight="1" x14ac:dyDescent="0.25">
      <c r="A490" s="278"/>
      <c r="B490" s="266"/>
      <c r="C490" s="266" t="s">
        <v>1623</v>
      </c>
      <c r="D490" s="283" t="s">
        <v>4248</v>
      </c>
      <c r="E490" s="291">
        <v>38855</v>
      </c>
      <c r="F490" s="295">
        <v>38856</v>
      </c>
      <c r="G490" s="287" t="s">
        <v>8513</v>
      </c>
      <c r="H490" s="266" t="s">
        <v>8520</v>
      </c>
      <c r="I490" s="268" t="s">
        <v>8487</v>
      </c>
      <c r="J490" s="299"/>
      <c r="K490" s="259" t="str">
        <f>HYPERLINK("https://okcountyrecords.com/detail/roger+mills/2006-003765","OKCountyRecords: 2006-003765")</f>
        <v>OKCountyRecords: 2006-003765</v>
      </c>
    </row>
    <row r="491" spans="1:11" s="8" customFormat="1" ht="32.1" customHeight="1" x14ac:dyDescent="0.25">
      <c r="A491" s="278"/>
      <c r="B491" s="266"/>
      <c r="C491" s="266" t="s">
        <v>2441</v>
      </c>
      <c r="D491" s="283" t="s">
        <v>7753</v>
      </c>
      <c r="E491" s="291">
        <v>38861</v>
      </c>
      <c r="F491" s="295">
        <v>38961</v>
      </c>
      <c r="G491" s="287" t="s">
        <v>3289</v>
      </c>
      <c r="H491" s="266" t="s">
        <v>3289</v>
      </c>
      <c r="I491" s="268" t="s">
        <v>8487</v>
      </c>
      <c r="J491" s="299"/>
      <c r="K491" s="259" t="str">
        <f>HYPERLINK("https://okcountyrecords.com/detail/roger+mills/2006-006122","OKCountyRecords: 2006-006122")</f>
        <v>OKCountyRecords: 2006-006122</v>
      </c>
    </row>
    <row r="492" spans="1:11" s="8" customFormat="1" ht="32.1" customHeight="1" x14ac:dyDescent="0.25">
      <c r="A492" s="278"/>
      <c r="B492" s="266"/>
      <c r="C492" s="266" t="s">
        <v>1623</v>
      </c>
      <c r="D492" s="283" t="s">
        <v>4249</v>
      </c>
      <c r="E492" s="291">
        <v>39160</v>
      </c>
      <c r="F492" s="295">
        <v>39167</v>
      </c>
      <c r="G492" s="287" t="s">
        <v>3315</v>
      </c>
      <c r="H492" s="266" t="s">
        <v>678</v>
      </c>
      <c r="I492" s="268" t="s">
        <v>8487</v>
      </c>
      <c r="J492" s="299"/>
      <c r="K492" s="259" t="str">
        <f>HYPERLINK("https://okcountyrecords.com/detail/roger+mills/2007-001374","OKCountyRecords: 2007-001374")</f>
        <v>OKCountyRecords: 2007-001374</v>
      </c>
    </row>
    <row r="493" spans="1:11" s="8" customFormat="1" ht="32.1" customHeight="1" x14ac:dyDescent="0.25">
      <c r="A493" s="278"/>
      <c r="B493" s="266"/>
      <c r="C493" s="266" t="s">
        <v>2506</v>
      </c>
      <c r="D493" s="283" t="s">
        <v>4167</v>
      </c>
      <c r="E493" s="291">
        <v>39162</v>
      </c>
      <c r="F493" s="295">
        <v>39197</v>
      </c>
      <c r="G493" s="287" t="s">
        <v>3319</v>
      </c>
      <c r="H493" s="266" t="s">
        <v>8521</v>
      </c>
      <c r="I493" s="268" t="s">
        <v>8522</v>
      </c>
      <c r="J493" s="299"/>
      <c r="K493" s="259" t="str">
        <f>HYPERLINK("https://okcountyrecords.com/detail/roger+mills/2007-001848","OKCountyRecords: 2007-001848")</f>
        <v>OKCountyRecords: 2007-001848</v>
      </c>
    </row>
    <row r="494" spans="1:11" s="8" customFormat="1" ht="32.1" customHeight="1" x14ac:dyDescent="0.25">
      <c r="A494" s="278"/>
      <c r="B494" s="266"/>
      <c r="C494" s="266" t="s">
        <v>2441</v>
      </c>
      <c r="D494" s="283" t="s">
        <v>7781</v>
      </c>
      <c r="E494" s="291">
        <v>39268</v>
      </c>
      <c r="F494" s="295">
        <v>39269</v>
      </c>
      <c r="G494" s="287" t="s">
        <v>2988</v>
      </c>
      <c r="H494" s="266" t="s">
        <v>250</v>
      </c>
      <c r="I494" s="268" t="s">
        <v>8523</v>
      </c>
      <c r="J494" s="299"/>
      <c r="K494" s="259" t="str">
        <f>HYPERLINK("https://okcountyrecords.com/detail/roger+mills/2007-002874","OKCountyRecords: 2007-002874")</f>
        <v>OKCountyRecords: 2007-002874</v>
      </c>
    </row>
    <row r="495" spans="1:11" ht="32.1" customHeight="1" x14ac:dyDescent="0.25">
      <c r="A495" s="278"/>
      <c r="B495" s="266"/>
      <c r="C495" s="266" t="s">
        <v>1274</v>
      </c>
      <c r="D495" s="283" t="s">
        <v>4250</v>
      </c>
      <c r="E495" s="291">
        <v>39400</v>
      </c>
      <c r="F495" s="295">
        <v>39400</v>
      </c>
      <c r="G495" s="287" t="s">
        <v>433</v>
      </c>
      <c r="H495" s="266" t="s">
        <v>1110</v>
      </c>
      <c r="I495" s="268" t="s">
        <v>8487</v>
      </c>
      <c r="J495" s="299"/>
      <c r="K495" s="259" t="str">
        <f>HYPERLINK("https://okcountyrecords.com/detail/roger+mills/2007-005167","OKCountyRecords: 2007-005167")</f>
        <v>OKCountyRecords: 2007-005167</v>
      </c>
    </row>
    <row r="496" spans="1:11" ht="32.1" customHeight="1" x14ac:dyDescent="0.25">
      <c r="A496" s="278"/>
      <c r="B496" s="266"/>
      <c r="C496" s="266" t="s">
        <v>2827</v>
      </c>
      <c r="D496" s="283" t="s">
        <v>4168</v>
      </c>
      <c r="E496" s="291">
        <v>39609</v>
      </c>
      <c r="F496" s="295">
        <v>39612</v>
      </c>
      <c r="G496" s="287" t="s">
        <v>8524</v>
      </c>
      <c r="H496" s="266" t="s">
        <v>3347</v>
      </c>
      <c r="I496" s="268" t="s">
        <v>3348</v>
      </c>
      <c r="J496" s="299"/>
      <c r="K496" s="259" t="str">
        <f>HYPERLINK("https://okcountyrecords.com/detail/roger+mills/2008-003157","OKCountyRecords: 2008-003157")</f>
        <v>OKCountyRecords: 2008-003157</v>
      </c>
    </row>
    <row r="497" spans="1:11" ht="32.1" customHeight="1" x14ac:dyDescent="0.25">
      <c r="A497" s="278"/>
      <c r="B497" s="266"/>
      <c r="C497" s="266" t="s">
        <v>82</v>
      </c>
      <c r="D497" s="283" t="s">
        <v>4366</v>
      </c>
      <c r="E497" s="291">
        <v>39645</v>
      </c>
      <c r="F497" s="295">
        <v>39652</v>
      </c>
      <c r="G497" s="287" t="s">
        <v>8525</v>
      </c>
      <c r="H497" s="266" t="s">
        <v>8525</v>
      </c>
      <c r="I497" s="268" t="s">
        <v>8484</v>
      </c>
      <c r="J497" s="299"/>
      <c r="K497" s="259" t="str">
        <f>HYPERLINK("https://okcountyrecords.com/detail/roger+mills/2008-004060","OKCountyRecords: 2008-004060")</f>
        <v>OKCountyRecords: 2008-004060</v>
      </c>
    </row>
    <row r="498" spans="1:11" ht="32.1" customHeight="1" x14ac:dyDescent="0.25">
      <c r="A498" s="278"/>
      <c r="B498" s="266"/>
      <c r="C498" s="266" t="s">
        <v>1623</v>
      </c>
      <c r="D498" s="283" t="s">
        <v>4251</v>
      </c>
      <c r="E498" s="291">
        <v>39751</v>
      </c>
      <c r="F498" s="295">
        <v>39783</v>
      </c>
      <c r="G498" s="287" t="s">
        <v>3361</v>
      </c>
      <c r="H498" s="266" t="s">
        <v>8526</v>
      </c>
      <c r="I498" s="268" t="s">
        <v>8487</v>
      </c>
      <c r="J498" s="299"/>
      <c r="K498" s="259" t="str">
        <f>HYPERLINK("https://okcountyrecords.com/detail/roger+mills/2008-007325","OKCountyRecords: 2008-007325")</f>
        <v>OKCountyRecords: 2008-007325</v>
      </c>
    </row>
    <row r="499" spans="1:11" ht="32.1" customHeight="1" x14ac:dyDescent="0.25">
      <c r="A499" s="278"/>
      <c r="B499" s="266"/>
      <c r="C499" s="266" t="s">
        <v>7822</v>
      </c>
      <c r="D499" s="283" t="s">
        <v>7823</v>
      </c>
      <c r="E499" s="291">
        <v>39854</v>
      </c>
      <c r="F499" s="295">
        <v>39861</v>
      </c>
      <c r="G499" s="287" t="s">
        <v>3381</v>
      </c>
      <c r="H499" s="266" t="s">
        <v>1110</v>
      </c>
      <c r="I499" s="268" t="s">
        <v>313</v>
      </c>
      <c r="J499" s="299"/>
      <c r="K499" s="259" t="str">
        <f>HYPERLINK("https://okcountyrecords.com/detail/roger+mills/2009-000702","OKCountyRecords: 2009-000702")</f>
        <v>OKCountyRecords: 2009-000702</v>
      </c>
    </row>
    <row r="500" spans="1:11" ht="32.1" customHeight="1" x14ac:dyDescent="0.25">
      <c r="A500" s="278"/>
      <c r="B500" s="266"/>
      <c r="C500" s="266" t="s">
        <v>1623</v>
      </c>
      <c r="D500" s="283" t="s">
        <v>4252</v>
      </c>
      <c r="E500" s="291">
        <v>39871</v>
      </c>
      <c r="F500" s="295">
        <v>39874</v>
      </c>
      <c r="G500" s="287" t="s">
        <v>3384</v>
      </c>
      <c r="H500" s="266" t="s">
        <v>3385</v>
      </c>
      <c r="I500" s="268" t="s">
        <v>8487</v>
      </c>
      <c r="J500" s="299"/>
      <c r="K500" s="259" t="str">
        <f>HYPERLINK("https://okcountyrecords.com/detail/roger+mills/2009-000895","OKCountyRecords: 2009-000895")</f>
        <v>OKCountyRecords: 2009-000895</v>
      </c>
    </row>
    <row r="501" spans="1:11" ht="32.1" customHeight="1" x14ac:dyDescent="0.25">
      <c r="A501" s="278"/>
      <c r="B501" s="266"/>
      <c r="C501" s="266" t="s">
        <v>2430</v>
      </c>
      <c r="D501" s="283" t="s">
        <v>4368</v>
      </c>
      <c r="E501" s="291">
        <v>39939</v>
      </c>
      <c r="F501" s="295">
        <v>39941</v>
      </c>
      <c r="G501" s="287" t="s">
        <v>8527</v>
      </c>
      <c r="H501" s="266" t="s">
        <v>8528</v>
      </c>
      <c r="I501" s="268" t="s">
        <v>3390</v>
      </c>
      <c r="J501" s="299"/>
      <c r="K501" s="259" t="str">
        <f>HYPERLINK("https://okcountyrecords.com/detail/roger+mills/2009-002005","OKCountyRecords: 2009-002005")</f>
        <v>OKCountyRecords: 2009-002005</v>
      </c>
    </row>
    <row r="502" spans="1:11" ht="32.1" customHeight="1" x14ac:dyDescent="0.25">
      <c r="A502" s="278"/>
      <c r="B502" s="266"/>
      <c r="C502" s="266" t="s">
        <v>3392</v>
      </c>
      <c r="D502" s="283" t="s">
        <v>4369</v>
      </c>
      <c r="E502" s="291">
        <v>39945</v>
      </c>
      <c r="F502" s="295">
        <v>39947</v>
      </c>
      <c r="G502" s="287" t="s">
        <v>8529</v>
      </c>
      <c r="H502" s="266" t="s">
        <v>3395</v>
      </c>
      <c r="I502" s="268" t="s">
        <v>2568</v>
      </c>
      <c r="J502" s="299"/>
      <c r="K502" s="259" t="str">
        <f>HYPERLINK("https://okcountyrecords.com/detail/roger+mills/2009-002096","OKCountyRecords: 2009-002096")</f>
        <v>OKCountyRecords: 2009-002096</v>
      </c>
    </row>
    <row r="503" spans="1:11" ht="32.1" customHeight="1" x14ac:dyDescent="0.25">
      <c r="A503" s="278"/>
      <c r="B503" s="266"/>
      <c r="C503" s="266" t="s">
        <v>2506</v>
      </c>
      <c r="D503" s="283" t="s">
        <v>4370</v>
      </c>
      <c r="E503" s="291">
        <v>39981</v>
      </c>
      <c r="F503" s="295">
        <v>40001</v>
      </c>
      <c r="G503" s="287" t="s">
        <v>3399</v>
      </c>
      <c r="H503" s="266" t="s">
        <v>8530</v>
      </c>
      <c r="I503" s="268" t="s">
        <v>8531</v>
      </c>
      <c r="J503" s="299"/>
      <c r="K503" s="259" t="str">
        <f>HYPERLINK("https://okcountyrecords.com/detail/roger+mills/2009-002872","OKCountyRecords: 2009-002872")</f>
        <v>OKCountyRecords: 2009-002872</v>
      </c>
    </row>
    <row r="504" spans="1:11" ht="32.1" customHeight="1" x14ac:dyDescent="0.25">
      <c r="A504" s="278"/>
      <c r="B504" s="266"/>
      <c r="C504" s="266" t="s">
        <v>2430</v>
      </c>
      <c r="D504" s="283" t="s">
        <v>4371</v>
      </c>
      <c r="E504" s="291">
        <v>40009</v>
      </c>
      <c r="F504" s="295">
        <v>40011</v>
      </c>
      <c r="G504" s="287" t="s">
        <v>8532</v>
      </c>
      <c r="H504" s="266" t="s">
        <v>3405</v>
      </c>
      <c r="I504" s="268" t="s">
        <v>3390</v>
      </c>
      <c r="J504" s="299"/>
      <c r="K504" s="259" t="str">
        <f>HYPERLINK("https://okcountyrecords.com/detail/roger+mills/2009-002996","OKCountyRecords: 2009-002996")</f>
        <v>OKCountyRecords: 2009-002996</v>
      </c>
    </row>
    <row r="505" spans="1:11" ht="32.1" customHeight="1" x14ac:dyDescent="0.25">
      <c r="A505" s="278"/>
      <c r="B505" s="266"/>
      <c r="C505" s="266" t="s">
        <v>82</v>
      </c>
      <c r="D505" s="283" t="s">
        <v>4253</v>
      </c>
      <c r="E505" s="291">
        <v>40067</v>
      </c>
      <c r="F505" s="295">
        <v>40238</v>
      </c>
      <c r="G505" s="287" t="s">
        <v>3415</v>
      </c>
      <c r="H505" s="266" t="s">
        <v>8533</v>
      </c>
      <c r="I505" s="268" t="s">
        <v>8487</v>
      </c>
      <c r="J505" s="299"/>
      <c r="K505" s="259" t="str">
        <f>HYPERLINK("https://okcountyrecords.com/detail/roger+mills/2010-002337","OKCountyRecords: 2010-002337")</f>
        <v>OKCountyRecords: 2010-002337</v>
      </c>
    </row>
    <row r="506" spans="1:11" ht="32.1" customHeight="1" x14ac:dyDescent="0.25">
      <c r="A506" s="278"/>
      <c r="B506" s="266"/>
      <c r="C506" s="266" t="s">
        <v>2441</v>
      </c>
      <c r="D506" s="283" t="s">
        <v>7858</v>
      </c>
      <c r="E506" s="291">
        <v>40318</v>
      </c>
      <c r="F506" s="295">
        <v>40357</v>
      </c>
      <c r="G506" s="287" t="s">
        <v>8534</v>
      </c>
      <c r="H506" s="266" t="s">
        <v>8526</v>
      </c>
      <c r="I506" s="268" t="s">
        <v>8487</v>
      </c>
      <c r="J506" s="299"/>
      <c r="K506" s="259" t="str">
        <f>HYPERLINK("https://okcountyrecords.com/detail/roger+mills/2010-006561","OKCountyRecords: 2010-006561")</f>
        <v>OKCountyRecords: 2010-006561</v>
      </c>
    </row>
    <row r="507" spans="1:11" ht="32.1" customHeight="1" x14ac:dyDescent="0.25">
      <c r="A507" s="278"/>
      <c r="B507" s="266"/>
      <c r="C507" s="266" t="s">
        <v>1623</v>
      </c>
      <c r="D507" s="283" t="s">
        <v>4254</v>
      </c>
      <c r="E507" s="291">
        <v>40333</v>
      </c>
      <c r="F507" s="295">
        <v>40336</v>
      </c>
      <c r="G507" s="287" t="s">
        <v>3423</v>
      </c>
      <c r="H507" s="266" t="s">
        <v>3424</v>
      </c>
      <c r="I507" s="268" t="s">
        <v>8487</v>
      </c>
      <c r="J507" s="299"/>
      <c r="K507" s="259" t="str">
        <f>HYPERLINK("https://okcountyrecords.com/detail/roger+mills/2010-005993","OKCountyRecords: 2010-005993")</f>
        <v>OKCountyRecords: 2010-005993</v>
      </c>
    </row>
    <row r="508" spans="1:11" ht="32.1" customHeight="1" x14ac:dyDescent="0.25">
      <c r="A508" s="278"/>
      <c r="B508" s="266"/>
      <c r="C508" s="266" t="s">
        <v>1623</v>
      </c>
      <c r="D508" s="283" t="s">
        <v>4255</v>
      </c>
      <c r="E508" s="291">
        <v>40357</v>
      </c>
      <c r="F508" s="295">
        <v>40374</v>
      </c>
      <c r="G508" s="287" t="s">
        <v>620</v>
      </c>
      <c r="H508" s="266" t="s">
        <v>3138</v>
      </c>
      <c r="I508" s="268" t="s">
        <v>488</v>
      </c>
      <c r="J508" s="299"/>
      <c r="K508" s="259" t="str">
        <f>HYPERLINK("https://okcountyrecords.com/detail/roger+mills/2010-007125","OKCountyRecords: 2010-007125")</f>
        <v>OKCountyRecords: 2010-007125</v>
      </c>
    </row>
    <row r="509" spans="1:11" ht="32.1" customHeight="1" x14ac:dyDescent="0.25">
      <c r="A509" s="278"/>
      <c r="B509" s="266"/>
      <c r="C509" s="266" t="s">
        <v>1623</v>
      </c>
      <c r="D509" s="283" t="s">
        <v>4256</v>
      </c>
      <c r="E509" s="291">
        <v>40416</v>
      </c>
      <c r="F509" s="295">
        <v>40438</v>
      </c>
      <c r="G509" s="287" t="s">
        <v>3442</v>
      </c>
      <c r="H509" s="266" t="s">
        <v>8535</v>
      </c>
      <c r="I509" s="268" t="s">
        <v>8487</v>
      </c>
      <c r="J509" s="299"/>
      <c r="K509" s="259" t="str">
        <f>HYPERLINK("https://okcountyrecords.com/detail/roger+mills/2010-008922","OKCountyRecords: 2010-008922")</f>
        <v>OKCountyRecords: 2010-008922</v>
      </c>
    </row>
    <row r="510" spans="1:11" ht="32.1" customHeight="1" x14ac:dyDescent="0.25">
      <c r="A510" s="278"/>
      <c r="B510" s="266"/>
      <c r="C510" s="266" t="s">
        <v>1623</v>
      </c>
      <c r="D510" s="283" t="s">
        <v>4342</v>
      </c>
      <c r="E510" s="291">
        <v>40437</v>
      </c>
      <c r="F510" s="295">
        <v>40441</v>
      </c>
      <c r="G510" s="287" t="s">
        <v>3446</v>
      </c>
      <c r="H510" s="266" t="s">
        <v>3447</v>
      </c>
      <c r="I510" s="268" t="s">
        <v>4721</v>
      </c>
      <c r="J510" s="299"/>
      <c r="K510" s="259" t="str">
        <f>HYPERLINK("https://okcountyrecords.com/detail/roger+mills/2010-008934","OKCountyRecords: 2010-008934")</f>
        <v>OKCountyRecords: 2010-008934</v>
      </c>
    </row>
    <row r="511" spans="1:11" ht="32.1" customHeight="1" x14ac:dyDescent="0.25">
      <c r="A511" s="278"/>
      <c r="B511" s="266"/>
      <c r="C511" s="266" t="s">
        <v>3392</v>
      </c>
      <c r="D511" s="283" t="s">
        <v>7873</v>
      </c>
      <c r="E511" s="291">
        <v>40513</v>
      </c>
      <c r="F511" s="295">
        <v>40549</v>
      </c>
      <c r="G511" s="287" t="s">
        <v>5742</v>
      </c>
      <c r="H511" s="266" t="s">
        <v>3454</v>
      </c>
      <c r="I511" s="268" t="s">
        <v>308</v>
      </c>
      <c r="J511" s="299"/>
      <c r="K511" s="259" t="str">
        <f>HYPERLINK("https://okcountyrecords.com/detail/roger+mills/2011-000110","OKCountyRecords: 2011-000110")</f>
        <v>OKCountyRecords: 2011-000110</v>
      </c>
    </row>
    <row r="512" spans="1:11" ht="32.1" customHeight="1" x14ac:dyDescent="0.25">
      <c r="A512" s="278"/>
      <c r="B512" s="266"/>
      <c r="C512" s="266" t="s">
        <v>3456</v>
      </c>
      <c r="D512" s="283" t="s">
        <v>4169</v>
      </c>
      <c r="E512" s="291">
        <v>40577</v>
      </c>
      <c r="F512" s="295">
        <v>40592</v>
      </c>
      <c r="G512" s="287" t="s">
        <v>3458</v>
      </c>
      <c r="H512" s="266" t="s">
        <v>8536</v>
      </c>
      <c r="I512" s="268" t="s">
        <v>8537</v>
      </c>
      <c r="J512" s="299"/>
      <c r="K512" s="259" t="str">
        <f>HYPERLINK("https://okcountyrecords.com/detail/roger+mills/2011-001007","OKCountyRecords: 2011-001007")</f>
        <v>OKCountyRecords: 2011-001007</v>
      </c>
    </row>
    <row r="513" spans="1:11" ht="32.1" customHeight="1" x14ac:dyDescent="0.25">
      <c r="A513" s="278"/>
      <c r="B513" s="266"/>
      <c r="C513" s="266" t="s">
        <v>3456</v>
      </c>
      <c r="D513" s="283" t="s">
        <v>4170</v>
      </c>
      <c r="E513" s="291">
        <v>40577</v>
      </c>
      <c r="F513" s="295">
        <v>40592</v>
      </c>
      <c r="G513" s="287" t="s">
        <v>8538</v>
      </c>
      <c r="H513" s="266" t="s">
        <v>8539</v>
      </c>
      <c r="I513" s="268" t="s">
        <v>8537</v>
      </c>
      <c r="J513" s="299"/>
      <c r="K513" s="259" t="str">
        <f>HYPERLINK("https://okcountyrecords.com/detail/roger+mills/2011-001008","OKCountyRecords: 2011-001008")</f>
        <v>OKCountyRecords: 2011-001008</v>
      </c>
    </row>
    <row r="514" spans="1:11" ht="32.1" customHeight="1" x14ac:dyDescent="0.25">
      <c r="A514" s="278"/>
      <c r="B514" s="266"/>
      <c r="C514" s="266" t="s">
        <v>3456</v>
      </c>
      <c r="D514" s="283" t="s">
        <v>4171</v>
      </c>
      <c r="E514" s="291">
        <v>40583</v>
      </c>
      <c r="F514" s="295">
        <v>40592</v>
      </c>
      <c r="G514" s="287" t="s">
        <v>8540</v>
      </c>
      <c r="H514" s="266" t="s">
        <v>8541</v>
      </c>
      <c r="I514" s="268" t="s">
        <v>8537</v>
      </c>
      <c r="J514" s="299"/>
      <c r="K514" s="259" t="str">
        <f>HYPERLINK("https://okcountyrecords.com/detail/roger+mills/2011-001009","OKCountyRecords: 2011-001009")</f>
        <v>OKCountyRecords: 2011-001009</v>
      </c>
    </row>
    <row r="515" spans="1:11" ht="32.1" customHeight="1" x14ac:dyDescent="0.25">
      <c r="A515" s="278"/>
      <c r="B515" s="266"/>
      <c r="C515" s="266" t="s">
        <v>1623</v>
      </c>
      <c r="D515" s="283" t="s">
        <v>4257</v>
      </c>
      <c r="E515" s="291">
        <v>40661</v>
      </c>
      <c r="F515" s="295">
        <v>40665</v>
      </c>
      <c r="G515" s="287" t="s">
        <v>8542</v>
      </c>
      <c r="H515" s="266" t="s">
        <v>8543</v>
      </c>
      <c r="I515" s="268" t="s">
        <v>8487</v>
      </c>
      <c r="J515" s="299"/>
      <c r="K515" s="259" t="str">
        <f>HYPERLINK("https://okcountyrecords.com/detail/roger+mills/2011-003023","OKCountyRecords: 2011-003023")</f>
        <v>OKCountyRecords: 2011-003023</v>
      </c>
    </row>
    <row r="516" spans="1:11" ht="32.1" customHeight="1" x14ac:dyDescent="0.25">
      <c r="A516" s="278"/>
      <c r="B516" s="266"/>
      <c r="C516" s="266" t="s">
        <v>1623</v>
      </c>
      <c r="D516" s="283" t="s">
        <v>7883</v>
      </c>
      <c r="E516" s="291">
        <v>40778</v>
      </c>
      <c r="F516" s="295">
        <v>40781</v>
      </c>
      <c r="G516" s="287" t="s">
        <v>8544</v>
      </c>
      <c r="H516" s="266" t="s">
        <v>8545</v>
      </c>
      <c r="I516" s="268" t="s">
        <v>313</v>
      </c>
      <c r="J516" s="299"/>
      <c r="K516" s="259" t="str">
        <f>HYPERLINK("https://okcountyrecords.com/detail/roger+mills/2011-005695","OKCountyRecords: 2011-005695")</f>
        <v>OKCountyRecords: 2011-005695</v>
      </c>
    </row>
    <row r="517" spans="1:11" ht="32.1" customHeight="1" x14ac:dyDescent="0.25">
      <c r="A517" s="278"/>
      <c r="B517" s="266"/>
      <c r="C517" s="266" t="s">
        <v>2506</v>
      </c>
      <c r="D517" s="283" t="s">
        <v>7887</v>
      </c>
      <c r="E517" s="291">
        <v>40788</v>
      </c>
      <c r="F517" s="295">
        <v>40793</v>
      </c>
      <c r="G517" s="287" t="s">
        <v>3479</v>
      </c>
      <c r="H517" s="266" t="s">
        <v>3480</v>
      </c>
      <c r="I517" s="268" t="s">
        <v>308</v>
      </c>
      <c r="J517" s="299"/>
      <c r="K517" s="259" t="str">
        <f>HYPERLINK("https://okcountyrecords.com/detail/roger+mills/2011-005926","OKCountyRecords: 2011-005926")</f>
        <v>OKCountyRecords: 2011-005926</v>
      </c>
    </row>
    <row r="518" spans="1:11" ht="32.1" customHeight="1" x14ac:dyDescent="0.25">
      <c r="A518" s="278"/>
      <c r="B518" s="266"/>
      <c r="C518" s="266" t="s">
        <v>969</v>
      </c>
      <c r="D518" s="283" t="s">
        <v>4258</v>
      </c>
      <c r="E518" s="291">
        <v>40839</v>
      </c>
      <c r="F518" s="295">
        <v>40869</v>
      </c>
      <c r="G518" s="287" t="s">
        <v>8546</v>
      </c>
      <c r="H518" s="266" t="s">
        <v>8547</v>
      </c>
      <c r="I518" s="268" t="s">
        <v>8495</v>
      </c>
      <c r="J518" s="299"/>
      <c r="K518" s="259" t="str">
        <f>HYPERLINK("https://okcountyrecords.com/detail/roger+mills/2011-007728","OKCountyRecords: 2011-007728")</f>
        <v>OKCountyRecords: 2011-007728</v>
      </c>
    </row>
    <row r="519" spans="1:11" ht="32.1" customHeight="1" x14ac:dyDescent="0.25">
      <c r="A519" s="278"/>
      <c r="B519" s="266"/>
      <c r="C519" s="266" t="s">
        <v>1107</v>
      </c>
      <c r="D519" s="283" t="s">
        <v>7893</v>
      </c>
      <c r="E519" s="291">
        <v>40839</v>
      </c>
      <c r="F519" s="295">
        <v>40869</v>
      </c>
      <c r="G519" s="287" t="s">
        <v>3489</v>
      </c>
      <c r="H519" s="266" t="s">
        <v>1110</v>
      </c>
      <c r="I519" s="268" t="s">
        <v>8487</v>
      </c>
      <c r="J519" s="299"/>
      <c r="K519" s="259" t="str">
        <f>HYPERLINK("https://okcountyrecords.com/detail/roger+mills/2011-007727","OKCountyRecords: 2011-007727")</f>
        <v>OKCountyRecords: 2011-007727</v>
      </c>
    </row>
    <row r="520" spans="1:11" ht="32.1" customHeight="1" x14ac:dyDescent="0.25">
      <c r="A520" s="278"/>
      <c r="B520" s="266"/>
      <c r="C520" s="266" t="s">
        <v>1623</v>
      </c>
      <c r="D520" s="283" t="s">
        <v>4259</v>
      </c>
      <c r="E520" s="291">
        <v>40839</v>
      </c>
      <c r="F520" s="295">
        <v>40869</v>
      </c>
      <c r="G520" s="287" t="s">
        <v>8546</v>
      </c>
      <c r="H520" s="266" t="s">
        <v>8547</v>
      </c>
      <c r="I520" s="268" t="s">
        <v>8487</v>
      </c>
      <c r="J520" s="299"/>
      <c r="K520" s="259" t="str">
        <f>HYPERLINK("https://okcountyrecords.com/detail/roger+mills/2011-007729","OKCountyRecords: 2011-007729")</f>
        <v>OKCountyRecords: 2011-007729</v>
      </c>
    </row>
    <row r="521" spans="1:11" ht="32.1" customHeight="1" x14ac:dyDescent="0.25">
      <c r="A521" s="278"/>
      <c r="B521" s="266"/>
      <c r="C521" s="266" t="s">
        <v>1623</v>
      </c>
      <c r="D521" s="283" t="s">
        <v>4372</v>
      </c>
      <c r="E521" s="291">
        <v>40855</v>
      </c>
      <c r="F521" s="295">
        <v>40876</v>
      </c>
      <c r="G521" s="287" t="s">
        <v>3492</v>
      </c>
      <c r="H521" s="266" t="s">
        <v>3493</v>
      </c>
      <c r="I521" s="268" t="s">
        <v>8548</v>
      </c>
      <c r="J521" s="299"/>
      <c r="K521" s="259" t="str">
        <f>HYPERLINK("https://okcountyrecords.com/detail/roger+mills/2011-007826","OKCountyRecords: 2011-007826")</f>
        <v>OKCountyRecords: 2011-007826</v>
      </c>
    </row>
    <row r="522" spans="1:11" ht="32.1" customHeight="1" x14ac:dyDescent="0.25">
      <c r="A522" s="278"/>
      <c r="B522" s="266"/>
      <c r="C522" s="266" t="s">
        <v>1623</v>
      </c>
      <c r="D522" s="283" t="s">
        <v>4328</v>
      </c>
      <c r="E522" s="291">
        <v>40876</v>
      </c>
      <c r="F522" s="295">
        <v>40886</v>
      </c>
      <c r="G522" s="287" t="s">
        <v>240</v>
      </c>
      <c r="H522" s="266" t="s">
        <v>3497</v>
      </c>
      <c r="I522" s="268" t="s">
        <v>8549</v>
      </c>
      <c r="J522" s="299"/>
      <c r="K522" s="259" t="str">
        <f>HYPERLINK("https://okcountyrecords.com/detail/roger+mills/2011-008134","OKCountyRecords: 2011-008134")</f>
        <v>OKCountyRecords: 2011-008134</v>
      </c>
    </row>
    <row r="523" spans="1:11" ht="32.1" customHeight="1" x14ac:dyDescent="0.25">
      <c r="A523" s="278"/>
      <c r="B523" s="266"/>
      <c r="C523" s="266" t="s">
        <v>1623</v>
      </c>
      <c r="D523" s="283" t="s">
        <v>4261</v>
      </c>
      <c r="E523" s="291">
        <v>40876</v>
      </c>
      <c r="F523" s="295">
        <v>41592</v>
      </c>
      <c r="G523" s="287" t="s">
        <v>240</v>
      </c>
      <c r="H523" s="266" t="s">
        <v>3497</v>
      </c>
      <c r="I523" s="268" t="s">
        <v>8487</v>
      </c>
      <c r="J523" s="299"/>
      <c r="K523" s="259" t="str">
        <f>HYPERLINK("https://okcountyrecords.com/detail/roger+mills/2013-006083","OKCountyRecords: 2013-006083")</f>
        <v>OKCountyRecords: 2013-006083</v>
      </c>
    </row>
    <row r="524" spans="1:11" ht="32.1" customHeight="1" x14ac:dyDescent="0.25">
      <c r="A524" s="278"/>
      <c r="B524" s="266"/>
      <c r="C524" s="266" t="s">
        <v>1623</v>
      </c>
      <c r="D524" s="283" t="s">
        <v>7901</v>
      </c>
      <c r="E524" s="291">
        <v>40892</v>
      </c>
      <c r="F524" s="295">
        <v>40896</v>
      </c>
      <c r="G524" s="287" t="s">
        <v>3501</v>
      </c>
      <c r="H524" s="266" t="s">
        <v>8550</v>
      </c>
      <c r="I524" s="268" t="s">
        <v>313</v>
      </c>
      <c r="J524" s="299"/>
      <c r="K524" s="259" t="str">
        <f>HYPERLINK("https://okcountyrecords.com/detail/roger+mills/2011-008366","OKCountyRecords: 2011-008366")</f>
        <v>OKCountyRecords: 2011-008366</v>
      </c>
    </row>
    <row r="525" spans="1:11" ht="32.1" customHeight="1" x14ac:dyDescent="0.25">
      <c r="A525" s="278"/>
      <c r="B525" s="266"/>
      <c r="C525" s="266" t="s">
        <v>1107</v>
      </c>
      <c r="D525" s="283" t="s">
        <v>7905</v>
      </c>
      <c r="E525" s="291">
        <v>40905</v>
      </c>
      <c r="F525" s="295">
        <v>40949</v>
      </c>
      <c r="G525" s="287" t="s">
        <v>3505</v>
      </c>
      <c r="H525" s="266" t="s">
        <v>1110</v>
      </c>
      <c r="I525" s="268" t="s">
        <v>313</v>
      </c>
      <c r="J525" s="299"/>
      <c r="K525" s="259" t="str">
        <f>HYPERLINK("https://okcountyrecords.com/detail/roger+mills/2012-000970","OKCountyRecords: 2012-000970")</f>
        <v>OKCountyRecords: 2012-000970</v>
      </c>
    </row>
    <row r="526" spans="1:11" ht="32.1" customHeight="1" x14ac:dyDescent="0.25">
      <c r="A526" s="278"/>
      <c r="B526" s="266"/>
      <c r="C526" s="266" t="s">
        <v>1274</v>
      </c>
      <c r="D526" s="283" t="s">
        <v>4373</v>
      </c>
      <c r="E526" s="291">
        <v>40988</v>
      </c>
      <c r="F526" s="295">
        <v>40990</v>
      </c>
      <c r="G526" s="287" t="s">
        <v>8551</v>
      </c>
      <c r="H526" s="266" t="s">
        <v>1110</v>
      </c>
      <c r="I526" s="268" t="s">
        <v>8484</v>
      </c>
      <c r="J526" s="299"/>
      <c r="K526" s="259" t="str">
        <f>HYPERLINK("https://okcountyrecords.com/detail/roger+mills/2012-002191","OKCountyRecords: 2012-002191")</f>
        <v>OKCountyRecords: 2012-002191</v>
      </c>
    </row>
    <row r="527" spans="1:11" ht="32.1" customHeight="1" x14ac:dyDescent="0.25">
      <c r="A527" s="278"/>
      <c r="B527" s="266"/>
      <c r="C527" s="266" t="s">
        <v>1623</v>
      </c>
      <c r="D527" s="283" t="s">
        <v>4260</v>
      </c>
      <c r="E527" s="291">
        <v>41011</v>
      </c>
      <c r="F527" s="295">
        <v>41015</v>
      </c>
      <c r="G527" s="287" t="s">
        <v>8552</v>
      </c>
      <c r="H527" s="266" t="s">
        <v>3521</v>
      </c>
      <c r="I527" s="268" t="s">
        <v>8487</v>
      </c>
      <c r="J527" s="299"/>
      <c r="K527" s="259" t="str">
        <f>HYPERLINK("https://okcountyrecords.com/detail/roger+mills/2012-002930","OKCountyRecords: 2012-002930")</f>
        <v>OKCountyRecords: 2012-002930</v>
      </c>
    </row>
    <row r="528" spans="1:11" ht="32.1" customHeight="1" x14ac:dyDescent="0.25">
      <c r="A528" s="278"/>
      <c r="B528" s="266"/>
      <c r="C528" s="266" t="s">
        <v>1623</v>
      </c>
      <c r="D528" s="283" t="s">
        <v>4329</v>
      </c>
      <c r="E528" s="291">
        <v>41059</v>
      </c>
      <c r="F528" s="295">
        <v>41061</v>
      </c>
      <c r="G528" s="287" t="s">
        <v>3524</v>
      </c>
      <c r="H528" s="266" t="s">
        <v>3525</v>
      </c>
      <c r="I528" s="268" t="s">
        <v>8549</v>
      </c>
      <c r="J528" s="299"/>
      <c r="K528" s="259" t="str">
        <f>HYPERLINK("https://okcountyrecords.com/detail/roger+mills/2012-004060","OKCountyRecords: 2012-004060")</f>
        <v>OKCountyRecords: 2012-004060</v>
      </c>
    </row>
    <row r="529" spans="1:11" ht="32.1" customHeight="1" x14ac:dyDescent="0.25">
      <c r="A529" s="278"/>
      <c r="B529" s="266"/>
      <c r="C529" s="266" t="s">
        <v>1274</v>
      </c>
      <c r="D529" s="283" t="s">
        <v>4172</v>
      </c>
      <c r="E529" s="291">
        <v>41290</v>
      </c>
      <c r="F529" s="295">
        <v>41304</v>
      </c>
      <c r="G529" s="287" t="s">
        <v>8553</v>
      </c>
      <c r="H529" s="266" t="s">
        <v>1110</v>
      </c>
      <c r="I529" s="268" t="s">
        <v>8554</v>
      </c>
      <c r="J529" s="299"/>
      <c r="K529" s="259" t="str">
        <f>HYPERLINK("https://okcountyrecords.com/detail/roger+mills/2013-000518","OKCountyRecords: 2013-000518")</f>
        <v>OKCountyRecords: 2013-000518</v>
      </c>
    </row>
    <row r="530" spans="1:11" ht="32.1" customHeight="1" x14ac:dyDescent="0.25">
      <c r="A530" s="278"/>
      <c r="B530" s="266"/>
      <c r="C530" s="266" t="s">
        <v>2441</v>
      </c>
      <c r="D530" s="283" t="s">
        <v>7939</v>
      </c>
      <c r="E530" s="291">
        <v>41340</v>
      </c>
      <c r="F530" s="295">
        <v>41346</v>
      </c>
      <c r="G530" s="287" t="s">
        <v>3097</v>
      </c>
      <c r="H530" s="266" t="s">
        <v>259</v>
      </c>
      <c r="I530" s="268" t="s">
        <v>5576</v>
      </c>
      <c r="J530" s="299"/>
      <c r="K530" s="259" t="str">
        <f>HYPERLINK("https://okcountyrecords.com/detail/roger+mills/2013-001272","OKCountyRecords: 2013-001272")</f>
        <v>OKCountyRecords: 2013-001272</v>
      </c>
    </row>
    <row r="531" spans="1:11" ht="32.1" customHeight="1" x14ac:dyDescent="0.25">
      <c r="A531" s="278"/>
      <c r="B531" s="266"/>
      <c r="C531" s="266" t="s">
        <v>82</v>
      </c>
      <c r="D531" s="283" t="s">
        <v>4374</v>
      </c>
      <c r="E531" s="291">
        <v>41368</v>
      </c>
      <c r="F531" s="295">
        <v>41372</v>
      </c>
      <c r="G531" s="287" t="s">
        <v>259</v>
      </c>
      <c r="H531" s="266" t="s">
        <v>3493</v>
      </c>
      <c r="I531" s="268" t="s">
        <v>5576</v>
      </c>
      <c r="J531" s="299"/>
      <c r="K531" s="259" t="str">
        <f>HYPERLINK("https://okcountyrecords.com/detail/roger+mills/2013-001724","OKCountyRecords: 2013-001724")</f>
        <v>OKCountyRecords: 2013-001724</v>
      </c>
    </row>
    <row r="532" spans="1:11" ht="32.1" customHeight="1" x14ac:dyDescent="0.25">
      <c r="A532" s="278"/>
      <c r="B532" s="266"/>
      <c r="C532" s="266" t="s">
        <v>1623</v>
      </c>
      <c r="D532" s="283" t="s">
        <v>4375</v>
      </c>
      <c r="E532" s="291">
        <v>41482</v>
      </c>
      <c r="F532" s="295">
        <v>41495</v>
      </c>
      <c r="G532" s="287" t="s">
        <v>259</v>
      </c>
      <c r="H532" s="266" t="s">
        <v>3493</v>
      </c>
      <c r="I532" s="268" t="s">
        <v>308</v>
      </c>
      <c r="J532" s="299"/>
      <c r="K532" s="259" t="str">
        <f>HYPERLINK("https://okcountyrecords.com/detail/roger+mills/2013-004163","OKCountyRecords: 2013-004163")</f>
        <v>OKCountyRecords: 2013-004163</v>
      </c>
    </row>
    <row r="533" spans="1:11" ht="32.1" customHeight="1" x14ac:dyDescent="0.25">
      <c r="A533" s="278"/>
      <c r="B533" s="266"/>
      <c r="C533" s="266" t="s">
        <v>1623</v>
      </c>
      <c r="D533" s="283" t="s">
        <v>4436</v>
      </c>
      <c r="E533" s="291">
        <v>41486</v>
      </c>
      <c r="F533" s="295">
        <v>41625</v>
      </c>
      <c r="G533" s="287" t="s">
        <v>8555</v>
      </c>
      <c r="H533" s="266" t="s">
        <v>3598</v>
      </c>
      <c r="I533" s="268" t="s">
        <v>8556</v>
      </c>
      <c r="J533" s="299"/>
      <c r="K533" s="259" t="str">
        <f>HYPERLINK("https://okcountyrecords.com/detail/roger+mills/2013-006585","OKCountyRecords: 2013-006585")</f>
        <v>OKCountyRecords: 2013-006585</v>
      </c>
    </row>
    <row r="534" spans="1:11" ht="32.1" customHeight="1" x14ac:dyDescent="0.25">
      <c r="A534" s="278"/>
      <c r="B534" s="266"/>
      <c r="C534" s="266" t="s">
        <v>82</v>
      </c>
      <c r="D534" s="283" t="s">
        <v>4376</v>
      </c>
      <c r="E534" s="291">
        <v>41505</v>
      </c>
      <c r="F534" s="295">
        <v>41596</v>
      </c>
      <c r="G534" s="287" t="s">
        <v>274</v>
      </c>
      <c r="H534" s="266" t="s">
        <v>8557</v>
      </c>
      <c r="I534" s="268" t="s">
        <v>8484</v>
      </c>
      <c r="J534" s="299"/>
      <c r="K534" s="259" t="str">
        <f>HYPERLINK("https://okcountyrecords.com/detail/roger+mills/2013-006129","OKCountyRecords: 2013-006129")</f>
        <v>OKCountyRecords: 2013-006129</v>
      </c>
    </row>
    <row r="535" spans="1:11" ht="32.1" customHeight="1" x14ac:dyDescent="0.25">
      <c r="A535" s="278"/>
      <c r="B535" s="266"/>
      <c r="C535" s="266" t="s">
        <v>1623</v>
      </c>
      <c r="D535" s="283" t="s">
        <v>7962</v>
      </c>
      <c r="E535" s="291">
        <v>41517</v>
      </c>
      <c r="F535" s="295">
        <v>41621</v>
      </c>
      <c r="G535" s="287" t="s">
        <v>3590</v>
      </c>
      <c r="H535" s="266" t="s">
        <v>3591</v>
      </c>
      <c r="I535" s="268" t="s">
        <v>313</v>
      </c>
      <c r="J535" s="299"/>
      <c r="K535" s="259" t="str">
        <f>HYPERLINK("https://okcountyrecords.com/detail/roger+mills/2013-006501","OKCountyRecords: 2013-006501")</f>
        <v>OKCountyRecords: 2013-006501</v>
      </c>
    </row>
    <row r="536" spans="1:11" ht="32.1" customHeight="1" x14ac:dyDescent="0.25">
      <c r="A536" s="278"/>
      <c r="B536" s="266"/>
      <c r="C536" s="266" t="s">
        <v>1623</v>
      </c>
      <c r="D536" s="283" t="s">
        <v>7965</v>
      </c>
      <c r="E536" s="291">
        <v>41575</v>
      </c>
      <c r="F536" s="295">
        <v>41621</v>
      </c>
      <c r="G536" s="287" t="s">
        <v>602</v>
      </c>
      <c r="H536" s="266" t="s">
        <v>3591</v>
      </c>
      <c r="I536" s="268" t="s">
        <v>313</v>
      </c>
      <c r="J536" s="299"/>
      <c r="K536" s="259" t="str">
        <f>HYPERLINK("https://okcountyrecords.com/detail/roger+mills/2013-006502","OKCountyRecords: 2013-006502")</f>
        <v>OKCountyRecords: 2013-006502</v>
      </c>
    </row>
    <row r="537" spans="1:11" ht="32.1" customHeight="1" x14ac:dyDescent="0.25">
      <c r="A537" s="278"/>
      <c r="B537" s="266"/>
      <c r="C537" s="266" t="s">
        <v>2827</v>
      </c>
      <c r="D537" s="283" t="s">
        <v>4377</v>
      </c>
      <c r="E537" s="291">
        <v>41582</v>
      </c>
      <c r="F537" s="295">
        <v>41619</v>
      </c>
      <c r="G537" s="287" t="s">
        <v>3585</v>
      </c>
      <c r="H537" s="266" t="s">
        <v>3586</v>
      </c>
      <c r="I537" s="268" t="s">
        <v>8558</v>
      </c>
      <c r="J537" s="299"/>
      <c r="K537" s="259" t="str">
        <f>HYPERLINK("https://okcountyrecords.com/detail/roger+mills/2013-006415","OKCountyRecords: 2013-006415")</f>
        <v>OKCountyRecords: 2013-006415</v>
      </c>
    </row>
    <row r="538" spans="1:11" ht="32.1" customHeight="1" x14ac:dyDescent="0.25">
      <c r="A538" s="278"/>
      <c r="B538" s="266"/>
      <c r="C538" s="266" t="s">
        <v>7314</v>
      </c>
      <c r="D538" s="283" t="s">
        <v>7972</v>
      </c>
      <c r="E538" s="291">
        <v>41624</v>
      </c>
      <c r="F538" s="295">
        <v>41631</v>
      </c>
      <c r="G538" s="287" t="s">
        <v>8559</v>
      </c>
      <c r="H538" s="266" t="s">
        <v>1110</v>
      </c>
      <c r="I538" s="268" t="s">
        <v>8487</v>
      </c>
      <c r="J538" s="299"/>
      <c r="K538" s="259" t="str">
        <f>HYPERLINK("https://okcountyrecords.com/detail/roger+mills/2013-006644","OKCountyRecords: 2013-006644")</f>
        <v>OKCountyRecords: 2013-006644</v>
      </c>
    </row>
    <row r="539" spans="1:11" ht="32.1" customHeight="1" x14ac:dyDescent="0.25">
      <c r="A539" s="278"/>
      <c r="B539" s="266"/>
      <c r="C539" s="266" t="s">
        <v>7314</v>
      </c>
      <c r="D539" s="283" t="s">
        <v>7975</v>
      </c>
      <c r="E539" s="291">
        <v>41624</v>
      </c>
      <c r="F539" s="295">
        <v>41631</v>
      </c>
      <c r="G539" s="287" t="s">
        <v>8560</v>
      </c>
      <c r="H539" s="266" t="s">
        <v>1110</v>
      </c>
      <c r="I539" s="268" t="s">
        <v>8487</v>
      </c>
      <c r="J539" s="299"/>
      <c r="K539" s="259" t="str">
        <f>HYPERLINK("https://okcountyrecords.com/detail/roger+mills/2013-006645","OKCountyRecords: 2013-006645")</f>
        <v>OKCountyRecords: 2013-006645</v>
      </c>
    </row>
    <row r="540" spans="1:11" ht="32.1" customHeight="1" x14ac:dyDescent="0.25">
      <c r="A540" s="278"/>
      <c r="B540" s="266"/>
      <c r="C540" s="266" t="s">
        <v>1107</v>
      </c>
      <c r="D540" s="283" t="s">
        <v>7977</v>
      </c>
      <c r="E540" s="291">
        <v>41730</v>
      </c>
      <c r="F540" s="295">
        <v>41746</v>
      </c>
      <c r="G540" s="287" t="s">
        <v>3610</v>
      </c>
      <c r="H540" s="266" t="s">
        <v>1110</v>
      </c>
      <c r="I540" s="268" t="s">
        <v>308</v>
      </c>
      <c r="J540" s="299"/>
      <c r="K540" s="259" t="str">
        <f>HYPERLINK("https://okcountyrecords.com/detail/roger+mills/2014-002337","OKCountyRecords: 2014-002337")</f>
        <v>OKCountyRecords: 2014-002337</v>
      </c>
    </row>
    <row r="541" spans="1:11" ht="32.1" customHeight="1" x14ac:dyDescent="0.25">
      <c r="A541" s="278"/>
      <c r="B541" s="266"/>
      <c r="C541" s="266" t="s">
        <v>1623</v>
      </c>
      <c r="D541" s="283" t="s">
        <v>4262</v>
      </c>
      <c r="E541" s="291">
        <v>41734</v>
      </c>
      <c r="F541" s="295">
        <v>41766</v>
      </c>
      <c r="G541" s="287" t="s">
        <v>3385</v>
      </c>
      <c r="H541" s="266" t="s">
        <v>3613</v>
      </c>
      <c r="I541" s="268" t="s">
        <v>8487</v>
      </c>
      <c r="J541" s="299"/>
      <c r="K541" s="259" t="str">
        <f>HYPERLINK("https://okcountyrecords.com/detail/roger+mills/2014-002935","OKCountyRecords: 2014-002935")</f>
        <v>OKCountyRecords: 2014-002935</v>
      </c>
    </row>
    <row r="542" spans="1:11" ht="32.1" customHeight="1" x14ac:dyDescent="0.25">
      <c r="A542" s="278"/>
      <c r="B542" s="266"/>
      <c r="C542" s="266" t="s">
        <v>1623</v>
      </c>
      <c r="D542" s="283" t="s">
        <v>4173</v>
      </c>
      <c r="E542" s="291">
        <v>41746</v>
      </c>
      <c r="F542" s="295">
        <v>41774</v>
      </c>
      <c r="G542" s="287" t="s">
        <v>3616</v>
      </c>
      <c r="H542" s="266" t="s">
        <v>8561</v>
      </c>
      <c r="I542" s="268" t="s">
        <v>8309</v>
      </c>
      <c r="J542" s="299"/>
      <c r="K542" s="259" t="str">
        <f>HYPERLINK("https://okcountyrecords.com/detail/roger+mills/2014-003089","OKCountyRecords: 2014-003089")</f>
        <v>OKCountyRecords: 2014-003089</v>
      </c>
    </row>
    <row r="543" spans="1:11" ht="32.1" customHeight="1" x14ac:dyDescent="0.25">
      <c r="A543" s="278"/>
      <c r="B543" s="266"/>
      <c r="C543" s="266" t="s">
        <v>3622</v>
      </c>
      <c r="D543" s="283" t="s">
        <v>4378</v>
      </c>
      <c r="E543" s="291">
        <v>41782</v>
      </c>
      <c r="F543" s="295">
        <v>41834</v>
      </c>
      <c r="G543" s="287" t="s">
        <v>3624</v>
      </c>
      <c r="H543" s="266" t="s">
        <v>3625</v>
      </c>
      <c r="I543" s="268" t="s">
        <v>2568</v>
      </c>
      <c r="J543" s="299"/>
      <c r="K543" s="259" t="str">
        <f>HYPERLINK("https://okcountyrecords.com/detail/roger+mills/2014-004525","OKCountyRecords: 2014-004525")</f>
        <v>OKCountyRecords: 2014-004525</v>
      </c>
    </row>
    <row r="544" spans="1:11" ht="32.1" customHeight="1" x14ac:dyDescent="0.25">
      <c r="A544" s="278"/>
      <c r="B544" s="266"/>
      <c r="C544" s="266" t="s">
        <v>1274</v>
      </c>
      <c r="D544" s="283" t="s">
        <v>4263</v>
      </c>
      <c r="E544" s="291">
        <v>41821</v>
      </c>
      <c r="F544" s="295">
        <v>41821</v>
      </c>
      <c r="G544" s="287" t="s">
        <v>3620</v>
      </c>
      <c r="H544" s="266" t="s">
        <v>1110</v>
      </c>
      <c r="I544" s="268" t="s">
        <v>8487</v>
      </c>
      <c r="J544" s="299"/>
      <c r="K544" s="259" t="str">
        <f>HYPERLINK("https://okcountyrecords.com/detail/roger+mills/2014-004286","OKCountyRecords: 2014-004286")</f>
        <v>OKCountyRecords: 2014-004286</v>
      </c>
    </row>
    <row r="545" spans="1:11" ht="32.1" customHeight="1" x14ac:dyDescent="0.25">
      <c r="A545" s="278"/>
      <c r="B545" s="266"/>
      <c r="C545" s="266" t="s">
        <v>1623</v>
      </c>
      <c r="D545" s="283" t="s">
        <v>7988</v>
      </c>
      <c r="E545" s="291">
        <v>41851</v>
      </c>
      <c r="F545" s="295">
        <v>41905</v>
      </c>
      <c r="G545" s="287" t="s">
        <v>3628</v>
      </c>
      <c r="H545" s="266" t="s">
        <v>8562</v>
      </c>
      <c r="I545" s="268" t="s">
        <v>8490</v>
      </c>
      <c r="J545" s="299"/>
      <c r="K545" s="259" t="str">
        <f>HYPERLINK("https://okcountyrecords.com/detail/roger+mills/2014-005899","OKCountyRecords: 2014-005899")</f>
        <v>OKCountyRecords: 2014-005899</v>
      </c>
    </row>
    <row r="546" spans="1:11" ht="32.1" customHeight="1" x14ac:dyDescent="0.25">
      <c r="A546" s="278"/>
      <c r="B546" s="266"/>
      <c r="C546" s="266" t="s">
        <v>1623</v>
      </c>
      <c r="D546" s="283" t="s">
        <v>4174</v>
      </c>
      <c r="E546" s="291">
        <v>41926</v>
      </c>
      <c r="F546" s="295">
        <v>41927</v>
      </c>
      <c r="G546" s="287" t="s">
        <v>3637</v>
      </c>
      <c r="H546" s="266" t="s">
        <v>3638</v>
      </c>
      <c r="I546" s="268" t="s">
        <v>8563</v>
      </c>
      <c r="J546" s="299"/>
      <c r="K546" s="259" t="str">
        <f>HYPERLINK("https://okcountyrecords.com/detail/roger+mills/2014-006293","OKCountyRecords: 2014-006293")</f>
        <v>OKCountyRecords: 2014-006293</v>
      </c>
    </row>
    <row r="547" spans="1:11" ht="32.1" customHeight="1" x14ac:dyDescent="0.25">
      <c r="A547" s="278"/>
      <c r="B547" s="266"/>
      <c r="C547" s="266" t="s">
        <v>1107</v>
      </c>
      <c r="D547" s="283" t="s">
        <v>7997</v>
      </c>
      <c r="E547" s="291">
        <v>41926</v>
      </c>
      <c r="F547" s="295">
        <v>41932</v>
      </c>
      <c r="G547" s="287" t="s">
        <v>3642</v>
      </c>
      <c r="H547" s="266" t="s">
        <v>1110</v>
      </c>
      <c r="I547" s="268" t="s">
        <v>308</v>
      </c>
      <c r="J547" s="299"/>
      <c r="K547" s="259" t="str">
        <f>HYPERLINK("https://okcountyrecords.com/detail/roger+mills/2014-006352","OKCountyRecords: 2014-006352")</f>
        <v>OKCountyRecords: 2014-006352</v>
      </c>
    </row>
    <row r="548" spans="1:11" ht="32.1" customHeight="1" x14ac:dyDescent="0.25">
      <c r="A548" s="278"/>
      <c r="B548" s="266"/>
      <c r="C548" s="266" t="s">
        <v>1623</v>
      </c>
      <c r="D548" s="283" t="s">
        <v>4264</v>
      </c>
      <c r="E548" s="291">
        <v>42061</v>
      </c>
      <c r="F548" s="295">
        <v>42068</v>
      </c>
      <c r="G548" s="287" t="s">
        <v>8564</v>
      </c>
      <c r="H548" s="266" t="s">
        <v>8565</v>
      </c>
      <c r="I548" s="268" t="s">
        <v>8487</v>
      </c>
      <c r="J548" s="299"/>
      <c r="K548" s="259" t="str">
        <f>HYPERLINK("https://okcountyrecords.com/detail/roger+mills/2015-000877","OKCountyRecords: 2015-000877")</f>
        <v>OKCountyRecords: 2015-000877</v>
      </c>
    </row>
    <row r="549" spans="1:11" ht="32.1" customHeight="1" x14ac:dyDescent="0.25">
      <c r="A549" s="278"/>
      <c r="B549" s="266"/>
      <c r="C549" s="266" t="s">
        <v>2441</v>
      </c>
      <c r="D549" s="283" t="s">
        <v>8032</v>
      </c>
      <c r="E549" s="291">
        <v>42199</v>
      </c>
      <c r="F549" s="295">
        <v>42285</v>
      </c>
      <c r="G549" s="287" t="s">
        <v>8566</v>
      </c>
      <c r="H549" s="266" t="s">
        <v>8567</v>
      </c>
      <c r="I549" s="268" t="s">
        <v>308</v>
      </c>
      <c r="J549" s="299"/>
      <c r="K549" s="259" t="str">
        <f>HYPERLINK("https://okcountyrecords.com/detail/roger+mills/2015-003022","OKCountyRecords: 2015-003022")</f>
        <v>OKCountyRecords: 2015-003022</v>
      </c>
    </row>
    <row r="550" spans="1:11" ht="32.1" customHeight="1" x14ac:dyDescent="0.25">
      <c r="A550" s="278"/>
      <c r="B550" s="266"/>
      <c r="C550" s="266" t="s">
        <v>2441</v>
      </c>
      <c r="D550" s="283" t="s">
        <v>8036</v>
      </c>
      <c r="E550" s="291">
        <v>42199</v>
      </c>
      <c r="F550" s="295">
        <v>42285</v>
      </c>
      <c r="G550" s="287" t="s">
        <v>8566</v>
      </c>
      <c r="H550" s="266" t="s">
        <v>8568</v>
      </c>
      <c r="I550" s="268" t="s">
        <v>308</v>
      </c>
      <c r="J550" s="299"/>
      <c r="K550" s="259" t="str">
        <f>HYPERLINK("https://okcountyrecords.com/detail/roger+mills/2015-003023","OKCountyRecords: 2015-003023")</f>
        <v>OKCountyRecords: 2015-003023</v>
      </c>
    </row>
    <row r="551" spans="1:11" ht="32.1" customHeight="1" x14ac:dyDescent="0.25">
      <c r="A551" s="278"/>
      <c r="B551" s="266"/>
      <c r="C551" s="266" t="s">
        <v>1623</v>
      </c>
      <c r="D551" s="283" t="s">
        <v>4265</v>
      </c>
      <c r="E551" s="291">
        <v>42242</v>
      </c>
      <c r="F551" s="295">
        <v>42255</v>
      </c>
      <c r="G551" s="287" t="s">
        <v>3678</v>
      </c>
      <c r="H551" s="266" t="s">
        <v>8569</v>
      </c>
      <c r="I551" s="268" t="s">
        <v>8570</v>
      </c>
      <c r="J551" s="299"/>
      <c r="K551" s="259" t="str">
        <f>HYPERLINK("https://okcountyrecords.com/detail/roger+mills/2015-002791","OKCountyRecords: 2015-002791")</f>
        <v>OKCountyRecords: 2015-002791</v>
      </c>
    </row>
    <row r="552" spans="1:11" ht="32.1" customHeight="1" x14ac:dyDescent="0.25">
      <c r="A552" s="278"/>
      <c r="B552" s="266"/>
      <c r="C552" s="266" t="s">
        <v>1623</v>
      </c>
      <c r="D552" s="283" t="s">
        <v>4266</v>
      </c>
      <c r="E552" s="291">
        <v>42305</v>
      </c>
      <c r="F552" s="295">
        <v>42313</v>
      </c>
      <c r="G552" s="287" t="s">
        <v>3521</v>
      </c>
      <c r="H552" s="266" t="s">
        <v>3690</v>
      </c>
      <c r="I552" s="268" t="s">
        <v>8487</v>
      </c>
      <c r="J552" s="299"/>
      <c r="K552" s="259" t="str">
        <f>HYPERLINK("https://okcountyrecords.com/detail/roger+mills/2015-003284","OKCountyRecords: 2015-003284")</f>
        <v>OKCountyRecords: 2015-003284</v>
      </c>
    </row>
    <row r="553" spans="1:11" ht="32.1" customHeight="1" x14ac:dyDescent="0.25">
      <c r="A553" s="278"/>
      <c r="B553" s="266"/>
      <c r="C553" s="266" t="s">
        <v>2506</v>
      </c>
      <c r="D553" s="283" t="s">
        <v>4379</v>
      </c>
      <c r="E553" s="291">
        <v>42547</v>
      </c>
      <c r="F553" s="295">
        <v>42556</v>
      </c>
      <c r="G553" s="287" t="s">
        <v>8571</v>
      </c>
      <c r="H553" s="266" t="s">
        <v>3698</v>
      </c>
      <c r="I553" s="268" t="s">
        <v>8572</v>
      </c>
      <c r="J553" s="299"/>
      <c r="K553" s="259" t="str">
        <f>HYPERLINK("https://okcountyrecords.com/detail/roger+mills/2016-001589","OKCountyRecords: 2016-001589")</f>
        <v>OKCountyRecords: 2016-001589</v>
      </c>
    </row>
    <row r="554" spans="1:11" ht="32.1" customHeight="1" x14ac:dyDescent="0.25">
      <c r="A554" s="278"/>
      <c r="B554" s="266"/>
      <c r="C554" s="266" t="s">
        <v>1107</v>
      </c>
      <c r="D554" s="283" t="s">
        <v>8060</v>
      </c>
      <c r="E554" s="291">
        <v>43249</v>
      </c>
      <c r="F554" s="295">
        <v>43272</v>
      </c>
      <c r="G554" s="287" t="s">
        <v>8573</v>
      </c>
      <c r="H554" s="266" t="s">
        <v>1110</v>
      </c>
      <c r="I554" s="268" t="s">
        <v>308</v>
      </c>
      <c r="J554" s="299"/>
      <c r="K554" s="259" t="str">
        <f>HYPERLINK("https://okcountyrecords.com/detail/roger+mills/2018-001569","OKCountyRecords: 2018-001569")</f>
        <v>OKCountyRecords: 2018-001569</v>
      </c>
    </row>
    <row r="555" spans="1:11" ht="32.1" customHeight="1" x14ac:dyDescent="0.25">
      <c r="A555" s="278"/>
      <c r="B555" s="266"/>
      <c r="C555" s="266" t="s">
        <v>1623</v>
      </c>
      <c r="D555" s="283" t="s">
        <v>8069</v>
      </c>
      <c r="E555" s="291">
        <v>43281</v>
      </c>
      <c r="F555" s="295">
        <v>43392</v>
      </c>
      <c r="G555" s="287" t="s">
        <v>8574</v>
      </c>
      <c r="H555" s="266" t="s">
        <v>3763</v>
      </c>
      <c r="I555" s="268" t="s">
        <v>308</v>
      </c>
      <c r="J555" s="299"/>
      <c r="K555" s="259" t="str">
        <f>HYPERLINK("https://okcountyrecords.com/detail/roger+mills/2018-002786","OKCountyRecords: 2018-002786")</f>
        <v>OKCountyRecords: 2018-002786</v>
      </c>
    </row>
    <row r="556" spans="1:11" ht="32.1" customHeight="1" x14ac:dyDescent="0.25">
      <c r="A556" s="278"/>
      <c r="B556" s="266"/>
      <c r="C556" s="266" t="s">
        <v>82</v>
      </c>
      <c r="D556" s="283" t="s">
        <v>81</v>
      </c>
      <c r="E556" s="291">
        <v>43363</v>
      </c>
      <c r="F556" s="295">
        <v>43382</v>
      </c>
      <c r="G556" s="287" t="s">
        <v>4719</v>
      </c>
      <c r="H556" s="266" t="s">
        <v>8575</v>
      </c>
      <c r="I556" s="268" t="s">
        <v>8309</v>
      </c>
      <c r="J556" s="299"/>
      <c r="K556" s="259" t="str">
        <f>HYPERLINK("https://okcountyrecords.com/detail/roger+mills/2018-002650/21458328","OKCountyRecords: 2018-002650")</f>
        <v>OKCountyRecords: 2018-002650</v>
      </c>
    </row>
    <row r="557" spans="1:11" ht="32.1" customHeight="1" x14ac:dyDescent="0.25">
      <c r="A557" s="278"/>
      <c r="B557" s="266"/>
      <c r="C557" s="266" t="s">
        <v>1623</v>
      </c>
      <c r="D557" s="283" t="s">
        <v>78</v>
      </c>
      <c r="E557" s="291">
        <v>43669</v>
      </c>
      <c r="F557" s="295">
        <v>43711</v>
      </c>
      <c r="G557" s="287" t="s">
        <v>3774</v>
      </c>
      <c r="H557" s="266" t="s">
        <v>3772</v>
      </c>
      <c r="I557" s="268" t="s">
        <v>717</v>
      </c>
      <c r="J557" s="299"/>
      <c r="K557" s="259" t="str">
        <f>HYPERLINK("https://okcountyrecords.com/detail/roger+mills/2019-001855/22296278","OKCountyRecords: 2019-001855")</f>
        <v>OKCountyRecords: 2019-001855</v>
      </c>
    </row>
    <row r="558" spans="1:11" ht="32.1" customHeight="1" x14ac:dyDescent="0.25">
      <c r="A558" s="278"/>
      <c r="B558" s="266"/>
      <c r="C558" s="266" t="s">
        <v>2441</v>
      </c>
      <c r="D558" s="283" t="s">
        <v>8101</v>
      </c>
      <c r="E558" s="291">
        <v>44044</v>
      </c>
      <c r="F558" s="295">
        <v>44449</v>
      </c>
      <c r="G558" s="287" t="s">
        <v>3826</v>
      </c>
      <c r="H558" s="266" t="s">
        <v>3794</v>
      </c>
      <c r="I558" s="268" t="s">
        <v>308</v>
      </c>
      <c r="J558" s="299"/>
      <c r="K558" s="259" t="str">
        <f>HYPERLINK("https://okcountyrecords.com/detail/roger+mills/2021-001486","OKCountyRecords: 2021-001486")</f>
        <v>OKCountyRecords: 2021-001486</v>
      </c>
    </row>
    <row r="559" spans="1:11" ht="32.1" customHeight="1" x14ac:dyDescent="0.25">
      <c r="A559" s="278"/>
      <c r="B559" s="266"/>
      <c r="C559" s="266" t="s">
        <v>1107</v>
      </c>
      <c r="D559" s="283" t="s">
        <v>8076</v>
      </c>
      <c r="E559" s="291">
        <v>44050</v>
      </c>
      <c r="F559" s="295">
        <v>44060</v>
      </c>
      <c r="G559" s="287" t="s">
        <v>8576</v>
      </c>
      <c r="H559" s="266" t="s">
        <v>1110</v>
      </c>
      <c r="I559" s="268" t="s">
        <v>308</v>
      </c>
      <c r="J559" s="299"/>
      <c r="K559" s="259" t="str">
        <f>HYPERLINK("https://okcountyrecords.com/detail/roger+mills/2020-001279","OKCountyRecords: 2020-001279")</f>
        <v>OKCountyRecords: 2020-001279</v>
      </c>
    </row>
    <row r="560" spans="1:11" ht="32.1" customHeight="1" x14ac:dyDescent="0.25">
      <c r="A560" s="278"/>
      <c r="B560" s="266"/>
      <c r="C560" s="266" t="s">
        <v>82</v>
      </c>
      <c r="D560" s="283" t="s">
        <v>4380</v>
      </c>
      <c r="E560" s="291">
        <v>44071</v>
      </c>
      <c r="F560" s="295">
        <v>44076</v>
      </c>
      <c r="G560" s="287" t="s">
        <v>3788</v>
      </c>
      <c r="H560" s="266" t="s">
        <v>8577</v>
      </c>
      <c r="I560" s="268" t="s">
        <v>8310</v>
      </c>
      <c r="J560" s="299"/>
      <c r="K560" s="259" t="str">
        <f>HYPERLINK("https://okcountyrecords.com/detail/roger+mills/2020-001374","OKCountyRecords: 2020-001374")</f>
        <v>OKCountyRecords: 2020-001374</v>
      </c>
    </row>
    <row r="561" spans="1:11" ht="32.1" customHeight="1" x14ac:dyDescent="0.25">
      <c r="A561" s="278"/>
      <c r="B561" s="266"/>
      <c r="C561" s="266" t="s">
        <v>82</v>
      </c>
      <c r="D561" s="283" t="s">
        <v>4268</v>
      </c>
      <c r="E561" s="291">
        <v>44126</v>
      </c>
      <c r="F561" s="295">
        <v>44133</v>
      </c>
      <c r="G561" s="287" t="s">
        <v>3798</v>
      </c>
      <c r="H561" s="266" t="s">
        <v>3799</v>
      </c>
      <c r="I561" s="268" t="s">
        <v>8487</v>
      </c>
      <c r="J561" s="299"/>
      <c r="K561" s="259" t="str">
        <f>HYPERLINK("https://okcountyrecords.com/detail/roger+mills/2020-001650","OKCountyRecords: 2020-001650")</f>
        <v>OKCountyRecords: 2020-001650</v>
      </c>
    </row>
    <row r="562" spans="1:11" ht="32.1" customHeight="1" x14ac:dyDescent="0.25">
      <c r="A562" s="278"/>
      <c r="B562" s="266"/>
      <c r="C562" s="266" t="s">
        <v>1623</v>
      </c>
      <c r="D562" s="283" t="s">
        <v>4177</v>
      </c>
      <c r="E562" s="291">
        <v>44348</v>
      </c>
      <c r="F562" s="295">
        <v>44377</v>
      </c>
      <c r="G562" s="287" t="s">
        <v>3818</v>
      </c>
      <c r="H562" s="266" t="s">
        <v>8578</v>
      </c>
      <c r="I562" s="268" t="s">
        <v>8309</v>
      </c>
      <c r="J562" s="299"/>
      <c r="K562" s="259" t="str">
        <f>HYPERLINK("https://okcountyrecords.com/detail/roger+mills/2021-001068","OKCountyRecords: 2021-001068")</f>
        <v>OKCountyRecords: 2021-001068</v>
      </c>
    </row>
    <row r="563" spans="1:11" ht="32.1" customHeight="1" x14ac:dyDescent="0.25">
      <c r="A563" s="278"/>
      <c r="B563" s="266"/>
      <c r="C563" s="266" t="s">
        <v>1623</v>
      </c>
      <c r="D563" s="283" t="s">
        <v>48</v>
      </c>
      <c r="E563" s="291">
        <v>44489</v>
      </c>
      <c r="F563" s="295">
        <v>44491</v>
      </c>
      <c r="G563" s="287" t="s">
        <v>3853</v>
      </c>
      <c r="H563" s="266" t="s">
        <v>3854</v>
      </c>
      <c r="I563" s="268" t="s">
        <v>8487</v>
      </c>
      <c r="J563" s="299"/>
      <c r="K563" s="259" t="str">
        <f>HYPERLINK("https://okcountyrecords.com/detail/roger+mills/2021-001774/26955795","OKCountyRecords: 2021-001774")</f>
        <v>OKCountyRecords: 2021-001774</v>
      </c>
    </row>
    <row r="564" spans="1:11" ht="32.1" customHeight="1" x14ac:dyDescent="0.25">
      <c r="A564" s="278"/>
      <c r="B564" s="266"/>
      <c r="C564" s="266" t="s">
        <v>1623</v>
      </c>
      <c r="D564" s="283" t="s">
        <v>8117</v>
      </c>
      <c r="E564" s="291">
        <v>44571</v>
      </c>
      <c r="F564" s="295">
        <v>44592</v>
      </c>
      <c r="G564" s="287" t="s">
        <v>8578</v>
      </c>
      <c r="H564" s="266" t="s">
        <v>8579</v>
      </c>
      <c r="I564" s="268" t="s">
        <v>308</v>
      </c>
      <c r="J564" s="299"/>
      <c r="K564" s="259" t="str">
        <f>HYPERLINK("https://okcountyrecords.com/detail/roger+mills/2022-000185","OKCountyRecords: 2022-000185")</f>
        <v>OKCountyRecords: 2022-000185</v>
      </c>
    </row>
    <row r="565" spans="1:11" ht="32.1" customHeight="1" x14ac:dyDescent="0.25">
      <c r="A565" s="278"/>
      <c r="B565" s="266"/>
      <c r="C565" s="266" t="s">
        <v>1107</v>
      </c>
      <c r="D565" s="283" t="s">
        <v>8123</v>
      </c>
      <c r="E565" s="291">
        <v>44713</v>
      </c>
      <c r="F565" s="295">
        <v>44715</v>
      </c>
      <c r="G565" s="287" t="s">
        <v>8580</v>
      </c>
      <c r="H565" s="266" t="s">
        <v>1110</v>
      </c>
      <c r="I565" s="268" t="s">
        <v>308</v>
      </c>
      <c r="J565" s="299"/>
      <c r="K565" s="259" t="str">
        <f>HYPERLINK("https://okcountyrecords.com/detail/roger+mills/2022-001083","OKCountyRecords: 2022-001083")</f>
        <v>OKCountyRecords: 2022-001083</v>
      </c>
    </row>
    <row r="566" spans="1:11" ht="32.1" customHeight="1" x14ac:dyDescent="0.25">
      <c r="A566" s="278"/>
      <c r="B566" s="266"/>
      <c r="C566" s="266" t="s">
        <v>1623</v>
      </c>
      <c r="D566" s="283" t="s">
        <v>4269</v>
      </c>
      <c r="E566" s="291">
        <v>45061</v>
      </c>
      <c r="F566" s="295">
        <v>45114</v>
      </c>
      <c r="G566" s="287" t="s">
        <v>263</v>
      </c>
      <c r="H566" s="266" t="s">
        <v>3870</v>
      </c>
      <c r="I566" s="268" t="s">
        <v>8487</v>
      </c>
      <c r="J566" s="299"/>
      <c r="K566" s="259" t="str">
        <f>HYPERLINK("https://okcountyrecords.com/detail/roger+mills/2023-002269","OKCountyRecords: 2023-002269")</f>
        <v>OKCountyRecords: 2023-002269</v>
      </c>
    </row>
    <row r="567" spans="1:11" ht="32.1" customHeight="1" x14ac:dyDescent="0.25">
      <c r="A567" s="278"/>
      <c r="B567" s="266"/>
      <c r="C567" s="266" t="s">
        <v>2437</v>
      </c>
      <c r="D567" s="283" t="s">
        <v>5777</v>
      </c>
      <c r="E567" s="291">
        <v>45588</v>
      </c>
      <c r="F567" s="295">
        <v>45614</v>
      </c>
      <c r="G567" s="287" t="s">
        <v>440</v>
      </c>
      <c r="H567" s="266" t="s">
        <v>8581</v>
      </c>
      <c r="I567" s="268" t="s">
        <v>308</v>
      </c>
      <c r="J567" s="299"/>
      <c r="K567" s="259" t="str">
        <f>HYPERLINK("https://okcountyrecords.com/detail/roger+mills/2024-007198","63e8b9a8d056433a9994fe46ca85076b.pdf | OKCountyRecords: 2024-007198")</f>
        <v>63e8b9a8d056433a9994fe46ca85076b.pdf | OKCountyRecords: 2024-007198</v>
      </c>
    </row>
    <row r="568" spans="1:11" ht="32.1" customHeight="1" x14ac:dyDescent="0.25">
      <c r="A568" s="278"/>
      <c r="B568" s="266"/>
      <c r="C568" s="266" t="s">
        <v>1623</v>
      </c>
      <c r="D568" s="283" t="s">
        <v>4681</v>
      </c>
      <c r="E568" s="291">
        <v>45608</v>
      </c>
      <c r="F568" s="295">
        <v>45621</v>
      </c>
      <c r="G568" s="287" t="s">
        <v>482</v>
      </c>
      <c r="H568" s="266" t="s">
        <v>8582</v>
      </c>
      <c r="I568" s="268" t="s">
        <v>308</v>
      </c>
      <c r="J568" s="299"/>
      <c r="K568" s="259" t="str">
        <f>HYPERLINK("https://okcountyrecords.com/detail/roger+mills/2024-007338/32904065","OKCountyRecords: 2024-007338")</f>
        <v>OKCountyRecords: 2024-007338</v>
      </c>
    </row>
    <row r="569" spans="1:11" ht="32.1" customHeight="1" x14ac:dyDescent="0.25">
      <c r="A569" s="278"/>
      <c r="B569" s="266"/>
      <c r="C569" s="266" t="s">
        <v>2441</v>
      </c>
      <c r="D569" s="283" t="s">
        <v>8149</v>
      </c>
      <c r="E569" s="291">
        <v>45648</v>
      </c>
      <c r="F569" s="295">
        <v>45672</v>
      </c>
      <c r="G569" s="287" t="s">
        <v>3921</v>
      </c>
      <c r="H569" s="266" t="s">
        <v>3794</v>
      </c>
      <c r="I569" s="268" t="s">
        <v>308</v>
      </c>
      <c r="J569" s="299"/>
      <c r="K569" s="259" t="str">
        <f>HYPERLINK("https://okcountyrecords.com/detail/roger+mills/2025-000522","63e8b9a8d056433a9994fe46ca85076b.pdf | OKCountyRecords: 2025-000522")</f>
        <v>63e8b9a8d056433a9994fe46ca85076b.pdf | OKCountyRecords: 2025-000522</v>
      </c>
    </row>
    <row r="570" spans="1:11" ht="32.1" customHeight="1" x14ac:dyDescent="0.25">
      <c r="A570" s="278"/>
      <c r="B570" s="266"/>
      <c r="C570" s="266" t="s">
        <v>3925</v>
      </c>
      <c r="D570" s="283" t="s">
        <v>4381</v>
      </c>
      <c r="E570" s="291">
        <v>45726</v>
      </c>
      <c r="F570" s="295">
        <v>45728</v>
      </c>
      <c r="G570" s="287" t="s">
        <v>8583</v>
      </c>
      <c r="H570" s="266" t="s">
        <v>3928</v>
      </c>
      <c r="I570" s="268" t="s">
        <v>8584</v>
      </c>
      <c r="J570" s="299"/>
      <c r="K570" s="259" t="str">
        <f>HYPERLINK("https://okcountyrecords.com/detail/roger+mills/2025-001343","OKCountyRecords: 2025-001343")</f>
        <v>OKCountyRecords: 2025-001343</v>
      </c>
    </row>
    <row r="571" spans="1:11" ht="32.1" customHeight="1" x14ac:dyDescent="0.25">
      <c r="A571" s="278"/>
      <c r="B571" s="266"/>
      <c r="C571" s="266" t="s">
        <v>2430</v>
      </c>
      <c r="D571" s="283" t="s">
        <v>4382</v>
      </c>
      <c r="E571" s="291">
        <v>45726</v>
      </c>
      <c r="F571" s="295">
        <v>45840</v>
      </c>
      <c r="G571" s="287" t="s">
        <v>3944</v>
      </c>
      <c r="H571" s="266" t="s">
        <v>8585</v>
      </c>
      <c r="I571" s="268" t="s">
        <v>8586</v>
      </c>
      <c r="J571" s="299"/>
      <c r="K571" s="259" t="str">
        <f>HYPERLINK("https://okcountyrecords.com/detail/roger+mills/2025-003963","OKCountyRecords: 2025-003963")</f>
        <v>OKCountyRecords: 2025-003963</v>
      </c>
    </row>
    <row r="572" spans="1:11" ht="32.1" customHeight="1" x14ac:dyDescent="0.25">
      <c r="A572" s="278"/>
      <c r="B572" s="266"/>
      <c r="C572" s="266" t="s">
        <v>1107</v>
      </c>
      <c r="D572" s="283" t="s">
        <v>5780</v>
      </c>
      <c r="E572" s="291">
        <v>45784</v>
      </c>
      <c r="F572" s="295">
        <v>45792</v>
      </c>
      <c r="G572" s="287" t="s">
        <v>3940</v>
      </c>
      <c r="H572" s="266" t="s">
        <v>8587</v>
      </c>
      <c r="I572" s="268" t="s">
        <v>308</v>
      </c>
      <c r="J572" s="299"/>
      <c r="K572" s="259" t="str">
        <f>HYPERLINK("https://okcountyrecords.com/detail/roger+mills/2025-002923","63e8b9a8d056433a9994fe46ca85076b.pdf | OKCountyRecords: 2025-002923")</f>
        <v>63e8b9a8d056433a9994fe46ca85076b.pdf | OKCountyRecords: 2025-002923</v>
      </c>
    </row>
    <row r="573" spans="1:11" ht="32.1" customHeight="1" x14ac:dyDescent="0.25">
      <c r="A573" s="278"/>
      <c r="B573" s="266"/>
      <c r="C573" s="266" t="s">
        <v>1623</v>
      </c>
      <c r="D573" s="283" t="s">
        <v>4271</v>
      </c>
      <c r="E573" s="291">
        <v>45897</v>
      </c>
      <c r="F573" s="295">
        <v>45908</v>
      </c>
      <c r="G573" s="287" t="s">
        <v>3949</v>
      </c>
      <c r="H573" s="266" t="s">
        <v>3952</v>
      </c>
      <c r="I573" s="268" t="s">
        <v>8487</v>
      </c>
      <c r="J573" s="299"/>
      <c r="K573" s="259" t="str">
        <f>HYPERLINK("https://okcountyrecords.com/detail/roger+mills/2025-005451","OKCountyRecords: 2025-005451")</f>
        <v>OKCountyRecords: 2025-005451</v>
      </c>
    </row>
    <row r="574" spans="1:11" ht="32.1" customHeight="1" x14ac:dyDescent="0.25">
      <c r="A574" s="278"/>
      <c r="B574" s="266"/>
      <c r="C574" s="266" t="s">
        <v>1623</v>
      </c>
      <c r="D574" s="283" t="s">
        <v>4383</v>
      </c>
      <c r="E574" s="291">
        <v>45971</v>
      </c>
      <c r="F574" s="295">
        <v>46062</v>
      </c>
      <c r="G574" s="287" t="s">
        <v>3966</v>
      </c>
      <c r="H574" s="266" t="s">
        <v>8588</v>
      </c>
      <c r="I574" s="268" t="s">
        <v>8589</v>
      </c>
      <c r="J574" s="299"/>
      <c r="K574" s="259" t="str">
        <f>HYPERLINK("https://okcountyrecords.com/detail/roger+mills/2026-000691","OKCountyRecords: 2026-000691")</f>
        <v>OKCountyRecords: 2026-000691</v>
      </c>
    </row>
    <row r="575" spans="1:11" ht="32.1" customHeight="1" x14ac:dyDescent="0.25">
      <c r="A575" s="278"/>
      <c r="B575" s="266"/>
      <c r="C575" s="266" t="s">
        <v>2441</v>
      </c>
      <c r="D575" s="283" t="s">
        <v>8169</v>
      </c>
      <c r="E575" s="291">
        <v>46041</v>
      </c>
      <c r="F575" s="295">
        <v>46052</v>
      </c>
      <c r="G575" s="287" t="s">
        <v>8590</v>
      </c>
      <c r="H575" s="266" t="s">
        <v>1110</v>
      </c>
      <c r="I575" s="268" t="s">
        <v>308</v>
      </c>
      <c r="J575" s="299"/>
      <c r="K575" s="259" t="str">
        <f>HYPERLINK("https://okcountyrecords.com/detail/roger+mills/2026-000506","63e8b9a8d056433a9994fe46ca85076b.pdf | OKCountyRecords: 2026-000506")</f>
        <v>63e8b9a8d056433a9994fe46ca85076b.pdf | OKCountyRecords: 2026-000506</v>
      </c>
    </row>
    <row r="576" spans="1:11" ht="32.1" customHeight="1" x14ac:dyDescent="0.25">
      <c r="A576" s="278"/>
      <c r="B576" s="266"/>
      <c r="C576" s="266" t="s">
        <v>1623</v>
      </c>
      <c r="D576" s="283" t="s">
        <v>4384</v>
      </c>
      <c r="E576" s="291">
        <v>46084</v>
      </c>
      <c r="F576" s="295">
        <v>46092</v>
      </c>
      <c r="G576" s="287" t="s">
        <v>8591</v>
      </c>
      <c r="H576" s="266" t="s">
        <v>3972</v>
      </c>
      <c r="I576" s="268" t="s">
        <v>8592</v>
      </c>
      <c r="J576" s="299"/>
      <c r="K576" s="259" t="str">
        <f>HYPERLINK("https://okcountyrecords.com/detail/roger+mills/2026-001374","OKCountyRecords: 2026-001374")</f>
        <v>OKCountyRecords: 2026-001374</v>
      </c>
    </row>
    <row r="577" spans="1:11" ht="32.1" customHeight="1" x14ac:dyDescent="0.25">
      <c r="A577" s="278"/>
      <c r="B577" s="266"/>
      <c r="C577" s="266" t="s">
        <v>7822</v>
      </c>
      <c r="D577" s="283" t="s">
        <v>4644</v>
      </c>
      <c r="E577" s="291">
        <v>46106</v>
      </c>
      <c r="F577" s="295">
        <v>46143</v>
      </c>
      <c r="G577" s="287" t="s">
        <v>8593</v>
      </c>
      <c r="H577" s="266" t="s">
        <v>1110</v>
      </c>
      <c r="I577" s="268" t="s">
        <v>308</v>
      </c>
      <c r="J577" s="299"/>
      <c r="K577" s="259" t="str">
        <f>HYPERLINK("https://okcountyrecords.com/detail/roger+mills/2026-002509/35346709","OKCountyRecords: 2026-002509")</f>
        <v>OKCountyRecords: 2026-002509</v>
      </c>
    </row>
    <row r="578" spans="1:11" ht="32.1" customHeight="1" x14ac:dyDescent="0.25">
      <c r="A578" s="278"/>
      <c r="B578" s="266"/>
      <c r="C578" s="266" t="s">
        <v>1107</v>
      </c>
      <c r="D578" s="283" t="s">
        <v>8181</v>
      </c>
      <c r="E578" s="291">
        <v>46113</v>
      </c>
      <c r="F578" s="295">
        <v>46119</v>
      </c>
      <c r="G578" s="287" t="s">
        <v>8594</v>
      </c>
      <c r="H578" s="266" t="s">
        <v>1110</v>
      </c>
      <c r="I578" s="268" t="s">
        <v>308</v>
      </c>
      <c r="J578" s="299"/>
      <c r="K578" s="259" t="str">
        <f>HYPERLINK("https://okcountyrecords.com/detail/roger+mills/2026-001865","63e8b9a8d056433a9994fe46ca85076b.pdf | OKCountyRecords: 2026-001865")</f>
        <v>63e8b9a8d056433a9994fe46ca85076b.pdf | OKCountyRecords: 2026-001865</v>
      </c>
    </row>
    <row r="579" spans="1:11" ht="32.1" customHeight="1" x14ac:dyDescent="0.25">
      <c r="A579" s="278"/>
      <c r="B579" s="266"/>
      <c r="C579" s="266" t="s">
        <v>1107</v>
      </c>
      <c r="D579" s="283" t="s">
        <v>5787</v>
      </c>
      <c r="E579" s="291">
        <v>46113</v>
      </c>
      <c r="F579" s="295">
        <v>46119</v>
      </c>
      <c r="G579" s="287" t="s">
        <v>8594</v>
      </c>
      <c r="H579" s="266" t="s">
        <v>1110</v>
      </c>
      <c r="I579" s="268" t="s">
        <v>308</v>
      </c>
      <c r="J579" s="299"/>
      <c r="K579" s="259" t="str">
        <f>HYPERLINK("https://okcountyrecords.com/detail/roger+mills/2026-001884","63e8b9a8d056433a9994fe46ca85076b.pdf | OKCountyRecords: 2026-001884")</f>
        <v>63e8b9a8d056433a9994fe46ca85076b.pdf | OKCountyRecords: 2026-001884</v>
      </c>
    </row>
    <row r="580" spans="1:11" ht="32.1" customHeight="1" x14ac:dyDescent="0.25">
      <c r="A580" s="278"/>
      <c r="B580" s="266"/>
      <c r="C580" s="266" t="s">
        <v>1107</v>
      </c>
      <c r="D580" s="283" t="s">
        <v>4658</v>
      </c>
      <c r="E580" s="291">
        <v>46125</v>
      </c>
      <c r="F580" s="295">
        <v>46143</v>
      </c>
      <c r="G580" s="287" t="s">
        <v>8595</v>
      </c>
      <c r="H580" s="266" t="s">
        <v>1110</v>
      </c>
      <c r="I580" s="268" t="s">
        <v>502</v>
      </c>
      <c r="J580" s="299"/>
      <c r="K580" s="259" t="str">
        <f>HYPERLINK("https://okcountyrecords.com/detail/roger+mills/2026-002510/35346713","OKCountyRecords: 2026-002510")</f>
        <v>OKCountyRecords: 2026-002510</v>
      </c>
    </row>
    <row r="581" spans="1:11" ht="32.1" customHeight="1" x14ac:dyDescent="0.25">
      <c r="A581" s="278"/>
      <c r="B581" s="266"/>
      <c r="C581" s="266" t="s">
        <v>7822</v>
      </c>
      <c r="D581" s="283" t="s">
        <v>4615</v>
      </c>
      <c r="E581" s="291">
        <v>46162</v>
      </c>
      <c r="F581" s="295">
        <v>46170</v>
      </c>
      <c r="G581" s="287" t="s">
        <v>8596</v>
      </c>
      <c r="H581" s="266" t="s">
        <v>1110</v>
      </c>
      <c r="I581" s="268" t="s">
        <v>308</v>
      </c>
      <c r="J581" s="299"/>
      <c r="K581" s="259" t="str">
        <f>HYPERLINK("https://okcountyrecords.com/detail/roger+mills/2026-003142/35404150","OKCountyRecords: 2026-003142")</f>
        <v>OKCountyRecords: 2026-003142</v>
      </c>
    </row>
    <row r="582" spans="1:11" ht="32.1" customHeight="1" x14ac:dyDescent="0.25">
      <c r="A582" s="278"/>
      <c r="B582" s="266"/>
      <c r="C582" s="266" t="s">
        <v>7822</v>
      </c>
      <c r="D582" s="283" t="s">
        <v>4610</v>
      </c>
      <c r="E582" s="291">
        <v>46162</v>
      </c>
      <c r="F582" s="295">
        <v>46170</v>
      </c>
      <c r="G582" s="287" t="s">
        <v>8597</v>
      </c>
      <c r="H582" s="266" t="s">
        <v>1110</v>
      </c>
      <c r="I582" s="268" t="s">
        <v>308</v>
      </c>
      <c r="J582" s="299"/>
      <c r="K582" s="259" t="str">
        <f>HYPERLINK("https://okcountyrecords.com/detail/roger+mills/2026-003143/35404149","OKCountyRecords: 2026-003143")</f>
        <v>OKCountyRecords: 2026-003143</v>
      </c>
    </row>
    <row r="583" spans="1:11" ht="32.1" customHeight="1" x14ac:dyDescent="0.25">
      <c r="A583" s="278"/>
      <c r="B583" s="266"/>
      <c r="C583" s="266" t="s">
        <v>1107</v>
      </c>
      <c r="D583" s="283" t="s">
        <v>4624</v>
      </c>
      <c r="E583" s="291">
        <v>46170</v>
      </c>
      <c r="F583" s="295">
        <v>46170</v>
      </c>
      <c r="G583" s="287" t="s">
        <v>4040</v>
      </c>
      <c r="H583" s="266" t="s">
        <v>1110</v>
      </c>
      <c r="I583" s="268" t="s">
        <v>8598</v>
      </c>
      <c r="J583" s="299"/>
      <c r="K583" s="259" t="str">
        <f>HYPERLINK("https://okcountyrecords.com/detail/roger+mills/2026-003144/35404152","OKCountyRecords: 2026-003144")</f>
        <v>OKCountyRecords: 2026-003144</v>
      </c>
    </row>
    <row r="584" spans="1:11" ht="32.1" customHeight="1" x14ac:dyDescent="0.25">
      <c r="A584" s="279"/>
      <c r="B584" s="264">
        <v>1</v>
      </c>
      <c r="C584" s="264" t="s">
        <v>309</v>
      </c>
      <c r="D584" s="282">
        <v>36564</v>
      </c>
      <c r="E584" s="290">
        <v>36564</v>
      </c>
      <c r="F584" s="294" t="s">
        <v>508</v>
      </c>
      <c r="G584" s="286" t="s">
        <v>2586</v>
      </c>
      <c r="H584" s="264" t="s">
        <v>496</v>
      </c>
      <c r="I584" s="265" t="s">
        <v>5481</v>
      </c>
      <c r="J584" s="298" t="s">
        <v>2640</v>
      </c>
      <c r="K584" s="259" t="str">
        <f>HYPERLINK("https://okcountyrecords.com/detail/roger+mills/2000-006657","63e8b9a8d056433a9994fe46ca85076b.pdf | OKCountyRecords: 2000-006657")</f>
        <v>63e8b9a8d056433a9994fe46ca85076b.pdf | OKCountyRecords: 2000-006657</v>
      </c>
    </row>
    <row r="585" spans="1:11" ht="32.1" customHeight="1" x14ac:dyDescent="0.25">
      <c r="A585" s="279"/>
      <c r="B585" s="264">
        <v>2</v>
      </c>
      <c r="C585" s="264" t="s">
        <v>309</v>
      </c>
      <c r="D585" s="282">
        <v>36564</v>
      </c>
      <c r="E585" s="290">
        <v>36564</v>
      </c>
      <c r="F585" s="294" t="s">
        <v>510</v>
      </c>
      <c r="G585" s="286" t="s">
        <v>2643</v>
      </c>
      <c r="H585" s="264" t="s">
        <v>496</v>
      </c>
      <c r="I585" s="265" t="s">
        <v>5484</v>
      </c>
      <c r="J585" s="298" t="s">
        <v>2640</v>
      </c>
      <c r="K585" s="259" t="str">
        <f>HYPERLINK("https://okcountyrecords.com/detail/roger+mills/2000-006661","63e8b9a8d056433a9994fe46ca85076b.pdf | OKCountyRecords: 2000-006661")</f>
        <v>63e8b9a8d056433a9994fe46ca85076b.pdf | OKCountyRecords: 2000-006661</v>
      </c>
    </row>
    <row r="586" spans="1:11" ht="32.1" customHeight="1" x14ac:dyDescent="0.25">
      <c r="A586" s="279"/>
      <c r="B586" s="264">
        <v>3</v>
      </c>
      <c r="C586" s="264" t="s">
        <v>309</v>
      </c>
      <c r="D586" s="282">
        <v>36564</v>
      </c>
      <c r="E586" s="290">
        <v>36564</v>
      </c>
      <c r="F586" s="294" t="s">
        <v>512</v>
      </c>
      <c r="G586" s="286" t="s">
        <v>513</v>
      </c>
      <c r="H586" s="264" t="s">
        <v>496</v>
      </c>
      <c r="I586" s="265" t="s">
        <v>5481</v>
      </c>
      <c r="J586" s="298" t="s">
        <v>2640</v>
      </c>
      <c r="K586" s="259" t="str">
        <f>HYPERLINK("https://okcountyrecords.com/detail/roger+mills/2000-006662","63e8b9a8d056433a9994fe46ca85076b.pdf | OKCountyRecords: 2000-006662")</f>
        <v>63e8b9a8d056433a9994fe46ca85076b.pdf | OKCountyRecords: 2000-006662</v>
      </c>
    </row>
    <row r="587" spans="1:11" ht="32.1" customHeight="1" x14ac:dyDescent="0.25">
      <c r="A587" s="279"/>
      <c r="B587" s="264">
        <v>4</v>
      </c>
      <c r="C587" s="264" t="s">
        <v>309</v>
      </c>
      <c r="D587" s="282">
        <v>36565</v>
      </c>
      <c r="E587" s="290">
        <v>36565</v>
      </c>
      <c r="F587" s="294" t="s">
        <v>514</v>
      </c>
      <c r="G587" s="286" t="s">
        <v>515</v>
      </c>
      <c r="H587" s="264" t="s">
        <v>266</v>
      </c>
      <c r="I587" s="265" t="s">
        <v>516</v>
      </c>
      <c r="J587" s="298" t="s">
        <v>2640</v>
      </c>
      <c r="K587" s="259" t="str">
        <f>HYPERLINK("https://okcountyrecords.com/detail/roger+mills/2000-006668","63e8b9a8d056433a9994fe46ca85076b.pdf | OKCountyRecords: 2000-006668")</f>
        <v>63e8b9a8d056433a9994fe46ca85076b.pdf | OKCountyRecords: 2000-006668</v>
      </c>
    </row>
    <row r="588" spans="1:11" ht="32.1" customHeight="1" x14ac:dyDescent="0.25">
      <c r="A588" s="279"/>
      <c r="B588" s="264">
        <v>5</v>
      </c>
      <c r="C588" s="264" t="s">
        <v>309</v>
      </c>
      <c r="D588" s="282">
        <v>36565</v>
      </c>
      <c r="E588" s="290">
        <v>36565</v>
      </c>
      <c r="F588" s="294" t="s">
        <v>517</v>
      </c>
      <c r="G588" s="286" t="s">
        <v>292</v>
      </c>
      <c r="H588" s="264" t="s">
        <v>266</v>
      </c>
      <c r="I588" s="265" t="s">
        <v>516</v>
      </c>
      <c r="J588" s="298" t="s">
        <v>2640</v>
      </c>
      <c r="K588" s="259" t="str">
        <f>HYPERLINK("https://okcountyrecords.com/detail/roger+mills/2000-006689","63e8b9a8d056433a9994fe46ca85076b.pdf | OKCountyRecords: 2000-006689")</f>
        <v>63e8b9a8d056433a9994fe46ca85076b.pdf | OKCountyRecords: 2000-006689</v>
      </c>
    </row>
    <row r="589" spans="1:11" ht="32.1" customHeight="1" x14ac:dyDescent="0.25">
      <c r="A589" s="279"/>
      <c r="B589" s="264">
        <v>6</v>
      </c>
      <c r="C589" s="264" t="s">
        <v>309</v>
      </c>
      <c r="D589" s="282">
        <v>36565</v>
      </c>
      <c r="E589" s="290">
        <v>36565</v>
      </c>
      <c r="F589" s="294" t="s">
        <v>519</v>
      </c>
      <c r="G589" s="286" t="s">
        <v>520</v>
      </c>
      <c r="H589" s="264" t="s">
        <v>266</v>
      </c>
      <c r="I589" s="265" t="s">
        <v>8599</v>
      </c>
      <c r="J589" s="298" t="s">
        <v>2640</v>
      </c>
      <c r="K589" s="259" t="str">
        <f>HYPERLINK("https://okcountyrecords.com/detail/roger+mills/2000-006692","63e8b9a8d056433a9994fe46ca85076b.pdf | OKCountyRecords: 2000-006692")</f>
        <v>63e8b9a8d056433a9994fe46ca85076b.pdf | OKCountyRecords: 2000-006692</v>
      </c>
    </row>
    <row r="590" spans="1:11" ht="32.1" customHeight="1" x14ac:dyDescent="0.25">
      <c r="A590" s="279"/>
      <c r="B590" s="264">
        <v>7</v>
      </c>
      <c r="C590" s="264" t="s">
        <v>309</v>
      </c>
      <c r="D590" s="282">
        <v>36565</v>
      </c>
      <c r="E590" s="290">
        <v>36565</v>
      </c>
      <c r="F590" s="294" t="s">
        <v>522</v>
      </c>
      <c r="G590" s="286" t="s">
        <v>523</v>
      </c>
      <c r="H590" s="264" t="s">
        <v>266</v>
      </c>
      <c r="I590" s="265" t="s">
        <v>516</v>
      </c>
      <c r="J590" s="298" t="s">
        <v>2640</v>
      </c>
      <c r="K590" s="259" t="str">
        <f>HYPERLINK("https://okcountyrecords.com/detail/roger+mills/2000-006696","63e8b9a8d056433a9994fe46ca85076b.pdf | OKCountyRecords: 2000-006696")</f>
        <v>63e8b9a8d056433a9994fe46ca85076b.pdf | OKCountyRecords: 2000-006696</v>
      </c>
    </row>
    <row r="591" spans="1:11" ht="32.1" customHeight="1" x14ac:dyDescent="0.25">
      <c r="A591" s="279"/>
      <c r="B591" s="264">
        <v>8</v>
      </c>
      <c r="C591" s="264" t="s">
        <v>309</v>
      </c>
      <c r="D591" s="282">
        <v>36565</v>
      </c>
      <c r="E591" s="290">
        <v>36565</v>
      </c>
      <c r="F591" s="294" t="s">
        <v>524</v>
      </c>
      <c r="G591" s="286" t="s">
        <v>2656</v>
      </c>
      <c r="H591" s="264" t="s">
        <v>496</v>
      </c>
      <c r="I591" s="265" t="s">
        <v>5484</v>
      </c>
      <c r="J591" s="298" t="s">
        <v>2640</v>
      </c>
      <c r="K591" s="259" t="str">
        <f>HYPERLINK("https://okcountyrecords.com/detail/roger+mills/2000-006710","63e8b9a8d056433a9994fe46ca85076b.pdf | OKCountyRecords: 2000-006710")</f>
        <v>63e8b9a8d056433a9994fe46ca85076b.pdf | OKCountyRecords: 2000-006710</v>
      </c>
    </row>
    <row r="592" spans="1:11" ht="32.1" customHeight="1" x14ac:dyDescent="0.25">
      <c r="A592" s="279"/>
      <c r="B592" s="264">
        <v>9</v>
      </c>
      <c r="C592" s="264" t="s">
        <v>309</v>
      </c>
      <c r="D592" s="282">
        <v>36565</v>
      </c>
      <c r="E592" s="290">
        <v>36565</v>
      </c>
      <c r="F592" s="294" t="s">
        <v>526</v>
      </c>
      <c r="G592" s="286" t="s">
        <v>527</v>
      </c>
      <c r="H592" s="264" t="s">
        <v>496</v>
      </c>
      <c r="I592" s="265" t="s">
        <v>5484</v>
      </c>
      <c r="J592" s="298" t="s">
        <v>2640</v>
      </c>
      <c r="K592" s="259" t="str">
        <f>HYPERLINK("https://okcountyrecords.com/detail/roger+mills/2000-006711","63e8b9a8d056433a9994fe46ca85076b.pdf | OKCountyRecords: 2000-006711")</f>
        <v>63e8b9a8d056433a9994fe46ca85076b.pdf | OKCountyRecords: 2000-006711</v>
      </c>
    </row>
    <row r="593" spans="1:11" ht="32.1" customHeight="1" x14ac:dyDescent="0.25">
      <c r="A593" s="279"/>
      <c r="B593" s="264">
        <v>10</v>
      </c>
      <c r="C593" s="264" t="s">
        <v>309</v>
      </c>
      <c r="D593" s="282">
        <v>36565</v>
      </c>
      <c r="E593" s="290">
        <v>36565</v>
      </c>
      <c r="F593" s="294" t="s">
        <v>528</v>
      </c>
      <c r="G593" s="286" t="s">
        <v>2661</v>
      </c>
      <c r="H593" s="264" t="s">
        <v>496</v>
      </c>
      <c r="I593" s="265" t="s">
        <v>5484</v>
      </c>
      <c r="J593" s="298" t="s">
        <v>2640</v>
      </c>
      <c r="K593" s="259" t="str">
        <f>HYPERLINK("https://okcountyrecords.com/detail/roger+mills/2000-006712","63e8b9a8d056433a9994fe46ca85076b.pdf | OKCountyRecords: 2000-006712")</f>
        <v>63e8b9a8d056433a9994fe46ca85076b.pdf | OKCountyRecords: 2000-006712</v>
      </c>
    </row>
    <row r="594" spans="1:11" ht="32.1" customHeight="1" x14ac:dyDescent="0.25">
      <c r="A594" s="279"/>
      <c r="B594" s="264">
        <v>11</v>
      </c>
      <c r="C594" s="264" t="s">
        <v>309</v>
      </c>
      <c r="D594" s="282">
        <v>36566</v>
      </c>
      <c r="E594" s="290">
        <v>36566</v>
      </c>
      <c r="F594" s="294" t="s">
        <v>530</v>
      </c>
      <c r="G594" s="286" t="s">
        <v>531</v>
      </c>
      <c r="H594" s="264" t="s">
        <v>5728</v>
      </c>
      <c r="I594" s="265" t="s">
        <v>2667</v>
      </c>
      <c r="J594" s="298" t="s">
        <v>2640</v>
      </c>
      <c r="K594" s="259" t="str">
        <f>HYPERLINK("https://okcountyrecords.com/detail/roger+mills/2000-006716","63e8b9a8d056433a9994fe46ca85076b.pdf | OKCountyRecords: 2000-006716")</f>
        <v>63e8b9a8d056433a9994fe46ca85076b.pdf | OKCountyRecords: 2000-006716</v>
      </c>
    </row>
    <row r="595" spans="1:11" ht="32.1" customHeight="1" x14ac:dyDescent="0.25">
      <c r="A595" s="279"/>
      <c r="B595" s="264">
        <v>12</v>
      </c>
      <c r="C595" s="264" t="s">
        <v>309</v>
      </c>
      <c r="D595" s="282">
        <v>36572</v>
      </c>
      <c r="E595" s="290">
        <v>36572</v>
      </c>
      <c r="F595" s="294" t="s">
        <v>532</v>
      </c>
      <c r="G595" s="286" t="s">
        <v>533</v>
      </c>
      <c r="H595" s="264" t="s">
        <v>496</v>
      </c>
      <c r="I595" s="265" t="s">
        <v>717</v>
      </c>
      <c r="J595" s="298" t="s">
        <v>2640</v>
      </c>
      <c r="K595" s="259" t="str">
        <f>HYPERLINK("https://okcountyrecords.com/detail/roger+mills/2000-006763","63e8b9a8d056433a9994fe46ca85076b.pdf | OKCountyRecords: 2000-006763")</f>
        <v>63e8b9a8d056433a9994fe46ca85076b.pdf | OKCountyRecords: 2000-006763</v>
      </c>
    </row>
    <row r="596" spans="1:11" ht="32.1" customHeight="1" x14ac:dyDescent="0.25">
      <c r="A596" s="279"/>
      <c r="B596" s="264">
        <v>13</v>
      </c>
      <c r="C596" s="264" t="s">
        <v>309</v>
      </c>
      <c r="D596" s="282">
        <v>37372</v>
      </c>
      <c r="E596" s="290">
        <v>37348</v>
      </c>
      <c r="F596" s="294" t="s">
        <v>594</v>
      </c>
      <c r="G596" s="286" t="s">
        <v>2834</v>
      </c>
      <c r="H596" s="264" t="s">
        <v>2835</v>
      </c>
      <c r="I596" s="265" t="s">
        <v>313</v>
      </c>
      <c r="J596" s="298" t="s">
        <v>2640</v>
      </c>
      <c r="K596" s="259" t="str">
        <f>HYPERLINK("https://okcountyrecords.com/search/roger%20mills","OKCountyRecords search: Oil and Gas Lease 37372")</f>
        <v>OKCountyRecords search: Oil and Gas Lease 37372</v>
      </c>
    </row>
    <row r="597" spans="1:11" ht="32.1" customHeight="1" x14ac:dyDescent="0.25">
      <c r="A597" s="279"/>
      <c r="B597" s="264">
        <v>14</v>
      </c>
      <c r="C597" s="264" t="s">
        <v>309</v>
      </c>
      <c r="D597" s="282">
        <v>37372</v>
      </c>
      <c r="E597" s="290">
        <v>37354</v>
      </c>
      <c r="F597" s="294" t="s">
        <v>595</v>
      </c>
      <c r="G597" s="286" t="s">
        <v>2836</v>
      </c>
      <c r="H597" s="264" t="s">
        <v>2835</v>
      </c>
      <c r="I597" s="265" t="s">
        <v>313</v>
      </c>
      <c r="J597" s="298" t="s">
        <v>2640</v>
      </c>
      <c r="K597" s="259" t="str">
        <f>HYPERLINK("https://okcountyrecords.com/search/roger%20mills","OKCountyRecords search: Oil and Gas Lease 37372")</f>
        <v>OKCountyRecords search: Oil and Gas Lease 37372</v>
      </c>
    </row>
    <row r="598" spans="1:11" ht="32.1" customHeight="1" x14ac:dyDescent="0.25">
      <c r="A598" s="279"/>
      <c r="B598" s="264">
        <v>15</v>
      </c>
      <c r="C598" s="264" t="s">
        <v>309</v>
      </c>
      <c r="D598" s="282">
        <v>37503</v>
      </c>
      <c r="E598" s="290">
        <v>37354</v>
      </c>
      <c r="F598" s="294" t="s">
        <v>599</v>
      </c>
      <c r="G598" s="286" t="s">
        <v>247</v>
      </c>
      <c r="H598" s="264" t="s">
        <v>2835</v>
      </c>
      <c r="I598" s="265" t="s">
        <v>313</v>
      </c>
      <c r="J598" s="298" t="s">
        <v>2640</v>
      </c>
      <c r="K598" s="259" t="str">
        <f>HYPERLINK("https://okcountyrecords.com/search/roger%20mills","OKCountyRecords search: Oil and Gas Lease 37503")</f>
        <v>OKCountyRecords search: Oil and Gas Lease 37503</v>
      </c>
    </row>
    <row r="599" spans="1:11" ht="32.1" customHeight="1" x14ac:dyDescent="0.25">
      <c r="A599" s="279"/>
      <c r="B599" s="264">
        <v>16</v>
      </c>
      <c r="C599" s="264" t="s">
        <v>309</v>
      </c>
      <c r="D599" s="282">
        <v>37389</v>
      </c>
      <c r="E599" s="290">
        <v>37361</v>
      </c>
      <c r="F599" s="294" t="s">
        <v>600</v>
      </c>
      <c r="G599" s="286" t="s">
        <v>2840</v>
      </c>
      <c r="H599" s="264" t="s">
        <v>2666</v>
      </c>
      <c r="I599" s="265" t="s">
        <v>313</v>
      </c>
      <c r="J599" s="298" t="s">
        <v>2640</v>
      </c>
      <c r="K599" s="259" t="str">
        <f>HYPERLINK("https://okcountyrecords.com/search/roger%20mills","OKCountyRecords search: Oil and Gas Lease 37389")</f>
        <v>OKCountyRecords search: Oil and Gas Lease 37389</v>
      </c>
    </row>
    <row r="600" spans="1:11" ht="32.1" customHeight="1" x14ac:dyDescent="0.25">
      <c r="A600" s="279"/>
      <c r="B600" s="264">
        <v>17</v>
      </c>
      <c r="C600" s="264" t="s">
        <v>309</v>
      </c>
      <c r="D600" s="282">
        <v>37389</v>
      </c>
      <c r="E600" s="290">
        <v>37364</v>
      </c>
      <c r="F600" s="294" t="s">
        <v>603</v>
      </c>
      <c r="G600" s="286" t="s">
        <v>2841</v>
      </c>
      <c r="H600" s="264" t="s">
        <v>2842</v>
      </c>
      <c r="I600" s="265" t="s">
        <v>313</v>
      </c>
      <c r="J600" s="298" t="s">
        <v>2640</v>
      </c>
      <c r="K600" s="259" t="str">
        <f>HYPERLINK("https://okcountyrecords.com/search/roger%20mills","OKCountyRecords search: Oil and Gas Lease 37389")</f>
        <v>OKCountyRecords search: Oil and Gas Lease 37389</v>
      </c>
    </row>
    <row r="601" spans="1:11" ht="32.1" customHeight="1" x14ac:dyDescent="0.25">
      <c r="A601" s="279"/>
      <c r="B601" s="264">
        <v>18</v>
      </c>
      <c r="C601" s="264" t="s">
        <v>309</v>
      </c>
      <c r="D601" s="282">
        <v>37433</v>
      </c>
      <c r="E601" s="290">
        <v>37381</v>
      </c>
      <c r="F601" s="294" t="s">
        <v>608</v>
      </c>
      <c r="G601" s="286" t="s">
        <v>2863</v>
      </c>
      <c r="H601" s="264" t="s">
        <v>2864</v>
      </c>
      <c r="I601" s="265" t="s">
        <v>313</v>
      </c>
      <c r="J601" s="298" t="s">
        <v>2640</v>
      </c>
      <c r="K601" s="259" t="str">
        <f>HYPERLINK("https://okcountyrecords.com/search/roger%20mills","OKCountyRecords search: Oil and Gas Lease 37433")</f>
        <v>OKCountyRecords search: Oil and Gas Lease 37433</v>
      </c>
    </row>
    <row r="602" spans="1:11" ht="32.1" customHeight="1" x14ac:dyDescent="0.25">
      <c r="A602" s="279"/>
      <c r="B602" s="264">
        <v>19</v>
      </c>
      <c r="C602" s="264" t="s">
        <v>309</v>
      </c>
      <c r="D602" s="282">
        <v>37389</v>
      </c>
      <c r="E602" s="290">
        <v>37384</v>
      </c>
      <c r="F602" s="294" t="s">
        <v>609</v>
      </c>
      <c r="G602" s="286" t="s">
        <v>610</v>
      </c>
      <c r="H602" s="264" t="s">
        <v>611</v>
      </c>
      <c r="I602" s="265" t="s">
        <v>313</v>
      </c>
      <c r="J602" s="298" t="s">
        <v>2640</v>
      </c>
      <c r="K602" s="259" t="str">
        <f>HYPERLINK("https://okcountyrecords.com/search/roger%20mills","OKCountyRecords search: Oil and Gas Lease 37389")</f>
        <v>OKCountyRecords search: Oil and Gas Lease 37389</v>
      </c>
    </row>
    <row r="603" spans="1:11" ht="32.1" customHeight="1" x14ac:dyDescent="0.25">
      <c r="A603" s="279"/>
      <c r="B603" s="264">
        <v>20</v>
      </c>
      <c r="C603" s="264" t="s">
        <v>309</v>
      </c>
      <c r="D603" s="282">
        <v>37484</v>
      </c>
      <c r="E603" s="290">
        <v>37425</v>
      </c>
      <c r="F603" s="294" t="s">
        <v>613</v>
      </c>
      <c r="G603" s="286" t="s">
        <v>2870</v>
      </c>
      <c r="H603" s="264" t="s">
        <v>2864</v>
      </c>
      <c r="I603" s="265" t="s">
        <v>313</v>
      </c>
      <c r="J603" s="298" t="s">
        <v>2640</v>
      </c>
      <c r="K603" s="259" t="str">
        <f>HYPERLINK("https://okcountyrecords.com/search/roger%20mills","OKCountyRecords search: Oil and Gas Lease 37484")</f>
        <v>OKCountyRecords search: Oil and Gas Lease 37484</v>
      </c>
    </row>
    <row r="604" spans="1:11" ht="32.1" customHeight="1" x14ac:dyDescent="0.25">
      <c r="A604" s="279"/>
      <c r="B604" s="264">
        <v>21</v>
      </c>
      <c r="C604" s="264" t="s">
        <v>309</v>
      </c>
      <c r="D604" s="282">
        <v>37525</v>
      </c>
      <c r="E604" s="290">
        <v>37496</v>
      </c>
      <c r="F604" s="294" t="s">
        <v>627</v>
      </c>
      <c r="G604" s="286" t="s">
        <v>2878</v>
      </c>
      <c r="H604" s="264" t="s">
        <v>2864</v>
      </c>
      <c r="I604" s="265" t="s">
        <v>313</v>
      </c>
      <c r="J604" s="298" t="s">
        <v>2640</v>
      </c>
      <c r="K604" s="259" t="str">
        <f>HYPERLINK("https://okcountyrecords.com/search/roger%20mills","OKCountyRecords search: Oil and Gas Lease 37525")</f>
        <v>OKCountyRecords search: Oil and Gas Lease 37525</v>
      </c>
    </row>
    <row r="605" spans="1:11" ht="32.1" customHeight="1" x14ac:dyDescent="0.25">
      <c r="A605" s="279"/>
      <c r="B605" s="264">
        <v>22</v>
      </c>
      <c r="C605" s="264" t="s">
        <v>309</v>
      </c>
      <c r="D605" s="282">
        <v>38029</v>
      </c>
      <c r="E605" s="290">
        <v>38000</v>
      </c>
      <c r="F605" s="294" t="s">
        <v>628</v>
      </c>
      <c r="G605" s="286" t="s">
        <v>2964</v>
      </c>
      <c r="H605" s="264" t="s">
        <v>266</v>
      </c>
      <c r="I605" s="265" t="s">
        <v>313</v>
      </c>
      <c r="J605" s="298" t="s">
        <v>2640</v>
      </c>
      <c r="K605" s="259" t="str">
        <f>HYPERLINK("https://okcountyrecords.com/search/roger%20mills","OKCountyRecords search: Oil and Gas Lease 38029")</f>
        <v>OKCountyRecords search: Oil and Gas Lease 38029</v>
      </c>
    </row>
    <row r="606" spans="1:11" ht="32.1" customHeight="1" x14ac:dyDescent="0.25">
      <c r="A606" s="279"/>
      <c r="B606" s="264">
        <v>23</v>
      </c>
      <c r="C606" s="264" t="s">
        <v>309</v>
      </c>
      <c r="D606" s="282">
        <v>38029</v>
      </c>
      <c r="E606" s="290">
        <v>38007</v>
      </c>
      <c r="F606" s="294" t="s">
        <v>641</v>
      </c>
      <c r="G606" s="286" t="s">
        <v>2965</v>
      </c>
      <c r="H606" s="264" t="s">
        <v>266</v>
      </c>
      <c r="I606" s="265" t="s">
        <v>313</v>
      </c>
      <c r="J606" s="298" t="s">
        <v>2640</v>
      </c>
      <c r="K606" s="259" t="str">
        <f>HYPERLINK("https://okcountyrecords.com/search/roger%20mills","OKCountyRecords search: Oil and Gas Lease 38029")</f>
        <v>OKCountyRecords search: Oil and Gas Lease 38029</v>
      </c>
    </row>
    <row r="607" spans="1:11" ht="32.1" customHeight="1" x14ac:dyDescent="0.25">
      <c r="A607" s="279"/>
      <c r="B607" s="264">
        <v>24</v>
      </c>
      <c r="C607" s="264" t="s">
        <v>309</v>
      </c>
      <c r="D607" s="282">
        <v>38049</v>
      </c>
      <c r="E607" s="290">
        <v>38023</v>
      </c>
      <c r="F607" s="294" t="s">
        <v>647</v>
      </c>
      <c r="G607" s="286" t="s">
        <v>2983</v>
      </c>
      <c r="H607" s="264" t="s">
        <v>266</v>
      </c>
      <c r="I607" s="265" t="s">
        <v>313</v>
      </c>
      <c r="J607" s="298" t="s">
        <v>2640</v>
      </c>
      <c r="K607" s="259" t="str">
        <f>HYPERLINK("https://okcountyrecords.com/search/roger%20mills","OKCountyRecords search: Oil and Gas Lease 38049")</f>
        <v>OKCountyRecords search: Oil and Gas Lease 38049</v>
      </c>
    </row>
    <row r="608" spans="1:11" ht="32.1" customHeight="1" x14ac:dyDescent="0.25">
      <c r="A608" s="279"/>
      <c r="B608" s="264">
        <v>25</v>
      </c>
      <c r="C608" s="264" t="s">
        <v>309</v>
      </c>
      <c r="D608" s="282">
        <v>38027</v>
      </c>
      <c r="E608" s="290">
        <v>38026</v>
      </c>
      <c r="F608" s="294" t="s">
        <v>648</v>
      </c>
      <c r="G608" s="286" t="s">
        <v>2953</v>
      </c>
      <c r="H608" s="264" t="s">
        <v>266</v>
      </c>
      <c r="I608" s="265" t="s">
        <v>313</v>
      </c>
      <c r="J608" s="298" t="s">
        <v>2640</v>
      </c>
      <c r="K608" s="259" t="str">
        <f>HYPERLINK("https://okcountyrecords.com/search/roger%20mills","OKCountyRecords search: Oil and Gas Lease 38027")</f>
        <v>OKCountyRecords search: Oil and Gas Lease 38027</v>
      </c>
    </row>
    <row r="609" spans="1:11" ht="32.1" customHeight="1" x14ac:dyDescent="0.25">
      <c r="A609" s="279"/>
      <c r="B609" s="264">
        <v>26</v>
      </c>
      <c r="C609" s="264" t="s">
        <v>309</v>
      </c>
      <c r="D609" s="282">
        <v>38504</v>
      </c>
      <c r="E609" s="290">
        <v>38441</v>
      </c>
      <c r="F609" s="294" t="s">
        <v>669</v>
      </c>
      <c r="G609" s="286" t="s">
        <v>3086</v>
      </c>
      <c r="H609" s="264" t="s">
        <v>2666</v>
      </c>
      <c r="I609" s="265" t="s">
        <v>313</v>
      </c>
      <c r="J609" s="298" t="s">
        <v>2640</v>
      </c>
      <c r="K609" s="259" t="str">
        <f>HYPERLINK("https://okcountyrecords.com/search/roger%20mills","OKCountyRecords search: Oil and Gas Lease 38504")</f>
        <v>OKCountyRecords search: Oil and Gas Lease 38504</v>
      </c>
    </row>
    <row r="610" spans="1:11" ht="32.1" customHeight="1" x14ac:dyDescent="0.25">
      <c r="A610" s="279"/>
      <c r="B610" s="264">
        <v>27</v>
      </c>
      <c r="C610" s="264" t="s">
        <v>309</v>
      </c>
      <c r="D610" s="282">
        <v>38551</v>
      </c>
      <c r="E610" s="290">
        <v>38468</v>
      </c>
      <c r="F610" s="294" t="s">
        <v>680</v>
      </c>
      <c r="G610" s="286" t="s">
        <v>3105</v>
      </c>
      <c r="H610" s="264" t="s">
        <v>2835</v>
      </c>
      <c r="I610" s="265" t="s">
        <v>313</v>
      </c>
      <c r="J610" s="298" t="s">
        <v>2640</v>
      </c>
      <c r="K610" s="259" t="str">
        <f>HYPERLINK("https://okcountyrecords.com/search/roger%20mills","OKCountyRecords search: Oil and Gas Lease 38551")</f>
        <v>OKCountyRecords search: Oil and Gas Lease 38551</v>
      </c>
    </row>
    <row r="611" spans="1:11" ht="32.1" customHeight="1" x14ac:dyDescent="0.25">
      <c r="A611" s="279"/>
      <c r="B611" s="264">
        <v>28</v>
      </c>
      <c r="C611" s="264" t="s">
        <v>309</v>
      </c>
      <c r="D611" s="282">
        <v>38541</v>
      </c>
      <c r="E611" s="290">
        <v>38482</v>
      </c>
      <c r="F611" s="294" t="s">
        <v>690</v>
      </c>
      <c r="G611" s="286" t="s">
        <v>3098</v>
      </c>
      <c r="H611" s="264" t="s">
        <v>2666</v>
      </c>
      <c r="I611" s="265" t="s">
        <v>313</v>
      </c>
      <c r="J611" s="298" t="s">
        <v>2640</v>
      </c>
      <c r="K611" s="259" t="str">
        <f>HYPERLINK("https://okcountyrecords.com/search/roger%20mills","OKCountyRecords search: Oil and Gas Lease 38541")</f>
        <v>OKCountyRecords search: Oil and Gas Lease 38541</v>
      </c>
    </row>
    <row r="612" spans="1:11" ht="32.1" customHeight="1" x14ac:dyDescent="0.25">
      <c r="A612" s="279"/>
      <c r="B612" s="264">
        <v>29</v>
      </c>
      <c r="C612" s="264" t="s">
        <v>309</v>
      </c>
      <c r="D612" s="282">
        <v>38709</v>
      </c>
      <c r="E612" s="290">
        <v>38621</v>
      </c>
      <c r="F612" s="294" t="s">
        <v>699</v>
      </c>
      <c r="G612" s="286" t="s">
        <v>3177</v>
      </c>
      <c r="H612" s="264" t="s">
        <v>755</v>
      </c>
      <c r="I612" s="265" t="s">
        <v>313</v>
      </c>
      <c r="J612" s="298" t="s">
        <v>2640</v>
      </c>
      <c r="K612" s="259" t="str">
        <f>HYPERLINK("https://okcountyrecords.com/search/roger%20mills","OKCountyRecords search: Oil and Gas Lease 38709")</f>
        <v>OKCountyRecords search: Oil and Gas Lease 38709</v>
      </c>
    </row>
    <row r="613" spans="1:11" ht="32.1" customHeight="1" x14ac:dyDescent="0.25">
      <c r="A613" s="279"/>
      <c r="B613" s="264">
        <v>30</v>
      </c>
      <c r="C613" s="264" t="s">
        <v>309</v>
      </c>
      <c r="D613" s="282">
        <v>38701</v>
      </c>
      <c r="E613" s="290">
        <v>38636</v>
      </c>
      <c r="F613" s="294" t="s">
        <v>704</v>
      </c>
      <c r="G613" s="286" t="s">
        <v>3163</v>
      </c>
      <c r="H613" s="264" t="s">
        <v>3164</v>
      </c>
      <c r="I613" s="265" t="s">
        <v>313</v>
      </c>
      <c r="J613" s="298" t="s">
        <v>2640</v>
      </c>
      <c r="K613" s="259" t="str">
        <f>HYPERLINK("https://okcountyrecords.com/search/roger%20mills","OKCountyRecords search: Oil and Gas Lease 38701")</f>
        <v>OKCountyRecords search: Oil and Gas Lease 38701</v>
      </c>
    </row>
    <row r="614" spans="1:11" ht="32.1" customHeight="1" x14ac:dyDescent="0.25">
      <c r="A614" s="279"/>
      <c r="B614" s="264">
        <v>31</v>
      </c>
      <c r="C614" s="264" t="s">
        <v>309</v>
      </c>
      <c r="D614" s="282">
        <v>38701</v>
      </c>
      <c r="E614" s="290">
        <v>38636</v>
      </c>
      <c r="F614" s="294" t="s">
        <v>705</v>
      </c>
      <c r="G614" s="286" t="s">
        <v>3165</v>
      </c>
      <c r="H614" s="264" t="s">
        <v>3164</v>
      </c>
      <c r="I614" s="265" t="s">
        <v>313</v>
      </c>
      <c r="J614" s="298" t="s">
        <v>2640</v>
      </c>
      <c r="K614" s="259" t="str">
        <f>HYPERLINK("https://okcountyrecords.com/search/roger%20mills","OKCountyRecords search: Oil and Gas Lease 38701")</f>
        <v>OKCountyRecords search: Oil and Gas Lease 38701</v>
      </c>
    </row>
    <row r="615" spans="1:11" ht="32.1" customHeight="1" x14ac:dyDescent="0.25">
      <c r="A615" s="279"/>
      <c r="B615" s="264">
        <v>32</v>
      </c>
      <c r="C615" s="264" t="s">
        <v>309</v>
      </c>
      <c r="D615" s="282">
        <v>38701</v>
      </c>
      <c r="E615" s="290">
        <v>38637</v>
      </c>
      <c r="F615" s="294" t="s">
        <v>706</v>
      </c>
      <c r="G615" s="286" t="s">
        <v>3166</v>
      </c>
      <c r="H615" s="264" t="s">
        <v>3164</v>
      </c>
      <c r="I615" s="265" t="s">
        <v>313</v>
      </c>
      <c r="J615" s="298" t="s">
        <v>2640</v>
      </c>
      <c r="K615" s="259" t="str">
        <f>HYPERLINK("https://okcountyrecords.com/search/roger%20mills","OKCountyRecords search: Oil and Gas Lease 38701")</f>
        <v>OKCountyRecords search: Oil and Gas Lease 38701</v>
      </c>
    </row>
    <row r="616" spans="1:11" ht="32.1" customHeight="1" x14ac:dyDescent="0.25">
      <c r="A616" s="279"/>
      <c r="B616" s="264">
        <v>33</v>
      </c>
      <c r="C616" s="264" t="s">
        <v>309</v>
      </c>
      <c r="D616" s="282">
        <v>38754</v>
      </c>
      <c r="E616" s="290">
        <v>38658</v>
      </c>
      <c r="F616" s="294" t="s">
        <v>710</v>
      </c>
      <c r="G616" s="286" t="s">
        <v>2840</v>
      </c>
      <c r="H616" s="264" t="s">
        <v>5732</v>
      </c>
      <c r="I616" s="265" t="s">
        <v>313</v>
      </c>
      <c r="J616" s="298" t="s">
        <v>2640</v>
      </c>
      <c r="K616" s="259" t="str">
        <f>HYPERLINK("https://okcountyrecords.com/search/roger%20mills","OKCountyRecords search: Oil and Gas Lease 38754")</f>
        <v>OKCountyRecords search: Oil and Gas Lease 38754</v>
      </c>
    </row>
    <row r="617" spans="1:11" ht="32.1" customHeight="1" x14ac:dyDescent="0.25">
      <c r="A617" s="279"/>
      <c r="B617" s="264">
        <v>34</v>
      </c>
      <c r="C617" s="264" t="s">
        <v>309</v>
      </c>
      <c r="D617" s="282">
        <v>38701</v>
      </c>
      <c r="E617" s="290">
        <v>38671</v>
      </c>
      <c r="F617" s="294" t="s">
        <v>714</v>
      </c>
      <c r="G617" s="286" t="s">
        <v>3167</v>
      </c>
      <c r="H617" s="264" t="s">
        <v>3164</v>
      </c>
      <c r="I617" s="265" t="s">
        <v>313</v>
      </c>
      <c r="J617" s="298" t="s">
        <v>2640</v>
      </c>
      <c r="K617" s="259" t="str">
        <f>HYPERLINK("https://okcountyrecords.com/search/roger%20mills","OKCountyRecords search: Oil and Gas Lease 38701")</f>
        <v>OKCountyRecords search: Oil and Gas Lease 38701</v>
      </c>
    </row>
    <row r="618" spans="1:11" ht="32.1" customHeight="1" x14ac:dyDescent="0.25">
      <c r="A618" s="279"/>
      <c r="B618" s="264">
        <v>35</v>
      </c>
      <c r="C618" s="264" t="s">
        <v>309</v>
      </c>
      <c r="D618" s="282">
        <v>38754</v>
      </c>
      <c r="E618" s="290">
        <v>38694</v>
      </c>
      <c r="F618" s="294" t="s">
        <v>718</v>
      </c>
      <c r="G618" s="286" t="s">
        <v>3218</v>
      </c>
      <c r="H618" s="264" t="s">
        <v>5732</v>
      </c>
      <c r="I618" s="265" t="s">
        <v>313</v>
      </c>
      <c r="J618" s="298" t="s">
        <v>2640</v>
      </c>
      <c r="K618" s="259" t="str">
        <f>HYPERLINK("https://okcountyrecords.com/search/roger%20mills","OKCountyRecords search: Oil and Gas Lease 38754")</f>
        <v>OKCountyRecords search: Oil and Gas Lease 38754</v>
      </c>
    </row>
    <row r="619" spans="1:11" ht="32.1" customHeight="1" x14ac:dyDescent="0.25">
      <c r="A619" s="279"/>
      <c r="B619" s="264">
        <v>36</v>
      </c>
      <c r="C619" s="264" t="s">
        <v>309</v>
      </c>
      <c r="D619" s="282">
        <v>38733</v>
      </c>
      <c r="E619" s="290">
        <v>38709</v>
      </c>
      <c r="F619" s="294" t="s">
        <v>719</v>
      </c>
      <c r="G619" s="286" t="s">
        <v>2834</v>
      </c>
      <c r="H619" s="264" t="s">
        <v>3192</v>
      </c>
      <c r="I619" s="265" t="s">
        <v>313</v>
      </c>
      <c r="J619" s="298" t="s">
        <v>2640</v>
      </c>
      <c r="K619" s="259" t="str">
        <f>HYPERLINK("https://okcountyrecords.com/search/roger%20mills","OKCountyRecords search: Oil and Gas Lease 38733")</f>
        <v>OKCountyRecords search: Oil and Gas Lease 38733</v>
      </c>
    </row>
    <row r="620" spans="1:11" ht="32.1" customHeight="1" x14ac:dyDescent="0.25">
      <c r="A620" s="279"/>
      <c r="B620" s="264">
        <v>37</v>
      </c>
      <c r="C620" s="264" t="s">
        <v>309</v>
      </c>
      <c r="D620" s="282">
        <v>38742</v>
      </c>
      <c r="E620" s="290">
        <v>38726</v>
      </c>
      <c r="F620" s="294" t="s">
        <v>723</v>
      </c>
      <c r="G620" s="286" t="s">
        <v>3195</v>
      </c>
      <c r="H620" s="264" t="s">
        <v>299</v>
      </c>
      <c r="I620" s="265" t="s">
        <v>313</v>
      </c>
      <c r="J620" s="298" t="s">
        <v>2640</v>
      </c>
      <c r="K620" s="259" t="str">
        <f>HYPERLINK("https://okcountyrecords.com/search/roger%20mills","OKCountyRecords search: Oil and Gas Lease 38742")</f>
        <v>OKCountyRecords search: Oil and Gas Lease 38742</v>
      </c>
    </row>
    <row r="621" spans="1:11" ht="32.1" customHeight="1" x14ac:dyDescent="0.25">
      <c r="A621" s="279"/>
      <c r="B621" s="264">
        <v>38</v>
      </c>
      <c r="C621" s="264" t="s">
        <v>309</v>
      </c>
      <c r="D621" s="282">
        <v>38747</v>
      </c>
      <c r="E621" s="290">
        <v>38733</v>
      </c>
      <c r="F621" s="294" t="s">
        <v>724</v>
      </c>
      <c r="G621" s="286" t="s">
        <v>3198</v>
      </c>
      <c r="H621" s="264" t="s">
        <v>302</v>
      </c>
      <c r="I621" s="265" t="s">
        <v>313</v>
      </c>
      <c r="J621" s="298" t="s">
        <v>2640</v>
      </c>
      <c r="K621" s="259" t="str">
        <f>HYPERLINK("https://okcountyrecords.com/search/roger%20mills","OKCountyRecords search: Oil and Gas Lease 38747")</f>
        <v>OKCountyRecords search: Oil and Gas Lease 38747</v>
      </c>
    </row>
    <row r="622" spans="1:11" ht="32.1" customHeight="1" x14ac:dyDescent="0.25">
      <c r="A622" s="279"/>
      <c r="B622" s="264">
        <v>39</v>
      </c>
      <c r="C622" s="264" t="s">
        <v>309</v>
      </c>
      <c r="D622" s="282">
        <v>38792</v>
      </c>
      <c r="E622" s="290">
        <v>38761</v>
      </c>
      <c r="F622" s="294" t="s">
        <v>731</v>
      </c>
      <c r="G622" s="286" t="s">
        <v>304</v>
      </c>
      <c r="H622" s="264" t="s">
        <v>299</v>
      </c>
      <c r="I622" s="265" t="s">
        <v>313</v>
      </c>
      <c r="J622" s="298" t="s">
        <v>2640</v>
      </c>
      <c r="K622" s="259" t="str">
        <f>HYPERLINK("https://okcountyrecords.com/search/roger%20mills","OKCountyRecords search: Oil and Gas Lease 38792")</f>
        <v>OKCountyRecords search: Oil and Gas Lease 38792</v>
      </c>
    </row>
    <row r="623" spans="1:11" ht="32.1" customHeight="1" x14ac:dyDescent="0.25">
      <c r="A623" s="279"/>
      <c r="B623" s="264">
        <v>40</v>
      </c>
      <c r="C623" s="264" t="s">
        <v>114</v>
      </c>
      <c r="D623" s="282">
        <v>39336</v>
      </c>
      <c r="E623" s="290">
        <v>39336</v>
      </c>
      <c r="F623" s="294" t="s">
        <v>4444</v>
      </c>
      <c r="G623" s="286" t="s">
        <v>5733</v>
      </c>
      <c r="H623" s="264" t="s">
        <v>5734</v>
      </c>
      <c r="I623" s="265" t="s">
        <v>717</v>
      </c>
      <c r="J623" s="298" t="s">
        <v>2688</v>
      </c>
      <c r="K623" s="259" t="str">
        <f>HYPERLINK("https://okcountyrecords.com/detail/roger+mills/2007-008043","63e8b9a8d056433a9994fe46ca85076b.pdf | OKCountyRecords: 2007-008043")</f>
        <v>63e8b9a8d056433a9994fe46ca85076b.pdf | OKCountyRecords: 2007-008043</v>
      </c>
    </row>
    <row r="624" spans="1:11" ht="32.1" customHeight="1" x14ac:dyDescent="0.25">
      <c r="A624" s="279"/>
      <c r="B624" s="264">
        <v>41</v>
      </c>
      <c r="C624" s="264" t="s">
        <v>3284</v>
      </c>
      <c r="D624" s="282">
        <v>41190</v>
      </c>
      <c r="E624" s="290">
        <v>41190</v>
      </c>
      <c r="F624" s="294" t="s">
        <v>5736</v>
      </c>
      <c r="G624" s="286" t="s">
        <v>3376</v>
      </c>
      <c r="H624" s="264" t="s">
        <v>3539</v>
      </c>
      <c r="I624" s="265" t="s">
        <v>3540</v>
      </c>
      <c r="J624" s="298" t="s">
        <v>3541</v>
      </c>
      <c r="K624" s="259" t="str">
        <f>HYPERLINK("https://okcountyrecords.com/detail/roger+mills/2012-006698","OKCountyRecords: 2012-006698")</f>
        <v>OKCountyRecords: 2012-006698</v>
      </c>
    </row>
    <row r="625" spans="1:11" ht="32.1" customHeight="1" x14ac:dyDescent="0.25">
      <c r="A625" s="279"/>
      <c r="B625" s="264">
        <v>42</v>
      </c>
      <c r="C625" s="264" t="s">
        <v>3284</v>
      </c>
      <c r="D625" s="282">
        <v>41387</v>
      </c>
      <c r="E625" s="290">
        <v>41387</v>
      </c>
      <c r="F625" s="294" t="s">
        <v>5738</v>
      </c>
      <c r="G625" s="286" t="s">
        <v>3556</v>
      </c>
      <c r="H625" s="264" t="s">
        <v>3557</v>
      </c>
      <c r="I625" s="265" t="s">
        <v>3558</v>
      </c>
      <c r="J625" s="298" t="s">
        <v>3541</v>
      </c>
      <c r="K625" s="259" t="str">
        <f>HYPERLINK("https://okcountyrecords.com/detail/roger+mills/2013-002047","OKCountyRecords: 2013-002047")</f>
        <v>OKCountyRecords: 2013-002047</v>
      </c>
    </row>
    <row r="626" spans="1:11" ht="32.1" customHeight="1" x14ac:dyDescent="0.25">
      <c r="A626" s="279"/>
      <c r="B626" s="264">
        <v>43</v>
      </c>
      <c r="C626" s="264" t="s">
        <v>82</v>
      </c>
      <c r="D626" s="282">
        <v>42593</v>
      </c>
      <c r="E626" s="290">
        <v>42593</v>
      </c>
      <c r="F626" s="294" t="s">
        <v>4175</v>
      </c>
      <c r="G626" s="286" t="s">
        <v>299</v>
      </c>
      <c r="H626" s="264" t="s">
        <v>3702</v>
      </c>
      <c r="I626" s="265" t="s">
        <v>5740</v>
      </c>
      <c r="J626" s="298" t="s">
        <v>3703</v>
      </c>
      <c r="K626" s="259" t="str">
        <f>HYPERLINK("https://okcountyrecords.com/detail/roger+mills/2016-001882","OKCountyRecords: 2016-001882")</f>
        <v>OKCountyRecords: 2016-001882</v>
      </c>
    </row>
    <row r="627" spans="1:11" ht="32.1" customHeight="1" x14ac:dyDescent="0.25">
      <c r="A627" s="279"/>
      <c r="B627" s="264">
        <v>44</v>
      </c>
      <c r="C627" s="264" t="s">
        <v>1623</v>
      </c>
      <c r="D627" s="282">
        <v>42593</v>
      </c>
      <c r="E627" s="290">
        <v>42593</v>
      </c>
      <c r="F627" s="294" t="s">
        <v>4175</v>
      </c>
      <c r="G627" s="286" t="s">
        <v>299</v>
      </c>
      <c r="H627" s="264" t="s">
        <v>3702</v>
      </c>
      <c r="I627" s="265" t="s">
        <v>8600</v>
      </c>
      <c r="J627" s="298" t="s">
        <v>3726</v>
      </c>
      <c r="K627" s="259" t="str">
        <f>HYPERLINK("https://okcountyrecords.com/detail/roger+mills/2016-001882","OKCountyRecords: 2016-001882")</f>
        <v>OKCountyRecords: 2016-001882</v>
      </c>
    </row>
    <row r="628" spans="1:11" ht="32.1" customHeight="1" x14ac:dyDescent="0.25">
      <c r="A628" s="279"/>
      <c r="B628" s="264">
        <v>45</v>
      </c>
      <c r="C628" s="264" t="s">
        <v>114</v>
      </c>
      <c r="D628" s="282">
        <v>42593</v>
      </c>
      <c r="E628" s="290">
        <v>42593</v>
      </c>
      <c r="F628" s="294" t="s">
        <v>4445</v>
      </c>
      <c r="G628" s="286" t="s">
        <v>299</v>
      </c>
      <c r="H628" s="264" t="s">
        <v>3706</v>
      </c>
      <c r="I628" s="265" t="s">
        <v>8601</v>
      </c>
      <c r="J628" s="298" t="s">
        <v>2688</v>
      </c>
      <c r="K628" s="259" t="str">
        <f>HYPERLINK("https://okcountyrecords.com/detail/roger+mills/2016-001883","OKCountyRecords: 2016-001883")</f>
        <v>OKCountyRecords: 2016-001883</v>
      </c>
    </row>
    <row r="629" spans="1:11" ht="32.1" customHeight="1" x14ac:dyDescent="0.25">
      <c r="A629" s="279"/>
      <c r="B629" s="264">
        <v>46</v>
      </c>
      <c r="C629" s="264" t="s">
        <v>114</v>
      </c>
      <c r="D629" s="282">
        <v>42719</v>
      </c>
      <c r="E629" s="290">
        <v>42719</v>
      </c>
      <c r="F629" s="294" t="s">
        <v>4446</v>
      </c>
      <c r="G629" s="286" t="s">
        <v>5742</v>
      </c>
      <c r="H629" s="264" t="s">
        <v>3454</v>
      </c>
      <c r="I629" s="265" t="s">
        <v>2667</v>
      </c>
      <c r="J629" s="298" t="s">
        <v>2688</v>
      </c>
      <c r="K629" s="259" t="str">
        <f>HYPERLINK("https://okcountyrecords.com/detail/roger+mills/2016-002793","63e8b9a8d056433a9994fe46ca85076b.pdf | OKCountyRecords: 2016-002793")</f>
        <v>63e8b9a8d056433a9994fe46ca85076b.pdf | OKCountyRecords: 2016-002793</v>
      </c>
    </row>
    <row r="630" spans="1:11" ht="32.1" customHeight="1" x14ac:dyDescent="0.25">
      <c r="A630" s="279"/>
      <c r="B630" s="264">
        <v>47</v>
      </c>
      <c r="C630" s="264" t="s">
        <v>114</v>
      </c>
      <c r="D630" s="282">
        <v>42723</v>
      </c>
      <c r="E630" s="290">
        <v>42723</v>
      </c>
      <c r="F630" s="294" t="s">
        <v>5744</v>
      </c>
      <c r="G630" s="286" t="s">
        <v>3713</v>
      </c>
      <c r="H630" s="264" t="s">
        <v>3714</v>
      </c>
      <c r="I630" s="265" t="s">
        <v>3715</v>
      </c>
      <c r="J630" s="298" t="s">
        <v>2688</v>
      </c>
      <c r="K630" s="259" t="str">
        <f>HYPERLINK("https://okcountyrecords.com/detail/roger+mills/2016-002668","OKCountyRecords: 2016-002668")</f>
        <v>OKCountyRecords: 2016-002668</v>
      </c>
    </row>
    <row r="631" spans="1:11" ht="32.1" customHeight="1" x14ac:dyDescent="0.25">
      <c r="A631" s="279"/>
      <c r="B631" s="264">
        <v>48</v>
      </c>
      <c r="C631" s="264" t="s">
        <v>114</v>
      </c>
      <c r="D631" s="282">
        <v>42752</v>
      </c>
      <c r="E631" s="290">
        <v>42752</v>
      </c>
      <c r="F631" s="294" t="s">
        <v>120</v>
      </c>
      <c r="G631" s="286" t="s">
        <v>5746</v>
      </c>
      <c r="H631" s="264" t="s">
        <v>3721</v>
      </c>
      <c r="I631" s="265" t="s">
        <v>5747</v>
      </c>
      <c r="J631" s="298" t="s">
        <v>2688</v>
      </c>
      <c r="K631" s="259" t="str">
        <f>HYPERLINK("https://okcountyrecords.com/detail/roger+mills/2017-000083","OKCountyRecords: 2017-000083")</f>
        <v>OKCountyRecords: 2017-000083</v>
      </c>
    </row>
    <row r="632" spans="1:11" ht="32.1" customHeight="1" x14ac:dyDescent="0.25">
      <c r="A632" s="279"/>
      <c r="B632" s="264">
        <v>49</v>
      </c>
      <c r="C632" s="264" t="s">
        <v>1623</v>
      </c>
      <c r="D632" s="282">
        <v>42858</v>
      </c>
      <c r="E632" s="290">
        <v>42858</v>
      </c>
      <c r="F632" s="294" t="s">
        <v>85</v>
      </c>
      <c r="G632" s="286" t="s">
        <v>3724</v>
      </c>
      <c r="H632" s="264" t="s">
        <v>3725</v>
      </c>
      <c r="I632" s="265" t="s">
        <v>2596</v>
      </c>
      <c r="J632" s="298" t="s">
        <v>3726</v>
      </c>
      <c r="K632" s="259" t="str">
        <f>HYPERLINK("https://okcountyrecords.com/search/roger%20mills","OKCountyRecords search: Mineral Deed 42858")</f>
        <v>OKCountyRecords search: Mineral Deed 42858</v>
      </c>
    </row>
    <row r="633" spans="1:11" ht="32.1" customHeight="1" x14ac:dyDescent="0.25">
      <c r="A633" s="279"/>
      <c r="B633" s="264">
        <v>50</v>
      </c>
      <c r="C633" s="264" t="s">
        <v>2437</v>
      </c>
      <c r="D633" s="282">
        <v>43088</v>
      </c>
      <c r="E633" s="290">
        <v>43088</v>
      </c>
      <c r="F633" s="294" t="s">
        <v>5750</v>
      </c>
      <c r="G633" s="286" t="s">
        <v>3706</v>
      </c>
      <c r="H633" s="264" t="s">
        <v>3738</v>
      </c>
      <c r="I633" s="265" t="s">
        <v>2667</v>
      </c>
      <c r="J633" s="298" t="s">
        <v>3739</v>
      </c>
      <c r="K633" s="259" t="str">
        <f>HYPERLINK("https://okcountyrecords.com/detail/roger+mills/2017-002694","63e8b9a8d056433a9994fe46ca85076b.pdf | OKCountyRecords: 2017-002694")</f>
        <v>63e8b9a8d056433a9994fe46ca85076b.pdf | OKCountyRecords: 2017-002694</v>
      </c>
    </row>
    <row r="634" spans="1:11" ht="32.1" customHeight="1" x14ac:dyDescent="0.25">
      <c r="A634" s="279"/>
      <c r="B634" s="264">
        <v>51</v>
      </c>
      <c r="C634" s="264" t="s">
        <v>114</v>
      </c>
      <c r="D634" s="282">
        <v>43119</v>
      </c>
      <c r="E634" s="290">
        <v>43119</v>
      </c>
      <c r="F634" s="294" t="s">
        <v>113</v>
      </c>
      <c r="G634" s="286" t="s">
        <v>3479</v>
      </c>
      <c r="H634" s="264" t="s">
        <v>3634</v>
      </c>
      <c r="I634" s="265" t="s">
        <v>3741</v>
      </c>
      <c r="J634" s="298" t="s">
        <v>2688</v>
      </c>
      <c r="K634" s="259" t="str">
        <f>HYPERLINK("https://okcountyrecords.com/search/roger%20mills","OKCountyRecords search: Assignment 43119")</f>
        <v>OKCountyRecords search: Assignment 43119</v>
      </c>
    </row>
    <row r="635" spans="1:11" ht="32.1" customHeight="1" x14ac:dyDescent="0.25">
      <c r="A635" s="279"/>
      <c r="B635" s="264">
        <v>52</v>
      </c>
      <c r="C635" s="264" t="s">
        <v>3284</v>
      </c>
      <c r="D635" s="282">
        <v>43327</v>
      </c>
      <c r="E635" s="290">
        <v>43327</v>
      </c>
      <c r="F635" s="294" t="s">
        <v>5752</v>
      </c>
      <c r="G635" s="286" t="s">
        <v>5753</v>
      </c>
      <c r="H635" s="264" t="s">
        <v>5754</v>
      </c>
      <c r="I635" s="265" t="s">
        <v>5755</v>
      </c>
      <c r="J635" s="298" t="s">
        <v>3541</v>
      </c>
      <c r="K635" s="259" t="str">
        <f>HYPERLINK("https://okcountyrecords.com/detail/roger+mills/2018-002049","63e8b9a8d056433a9994fe46ca85076b.pdf | OKCountyRecords: 2018-002049")</f>
        <v>63e8b9a8d056433a9994fe46ca85076b.pdf | OKCountyRecords: 2018-002049</v>
      </c>
    </row>
    <row r="636" spans="1:11" ht="32.1" customHeight="1" x14ac:dyDescent="0.25">
      <c r="A636" s="279"/>
      <c r="B636" s="264">
        <v>53</v>
      </c>
      <c r="C636" s="264" t="s">
        <v>82</v>
      </c>
      <c r="D636" s="282">
        <v>43382</v>
      </c>
      <c r="E636" s="290">
        <v>43382</v>
      </c>
      <c r="F636" s="294" t="s">
        <v>81</v>
      </c>
      <c r="G636" s="286" t="s">
        <v>3754</v>
      </c>
      <c r="H636" s="264" t="s">
        <v>3755</v>
      </c>
      <c r="I636" s="265" t="s">
        <v>1980</v>
      </c>
      <c r="J636" s="298" t="s">
        <v>3703</v>
      </c>
      <c r="K636" s="259" t="str">
        <f>HYPERLINK("https://okcountyrecords.com/search/roger%20mills","OKCountyRecords search: Quit Claim Mineral Deed 43382")</f>
        <v>OKCountyRecords search: Quit Claim Mineral Deed 43382</v>
      </c>
    </row>
    <row r="637" spans="1:11" ht="32.1" customHeight="1" x14ac:dyDescent="0.25">
      <c r="A637" s="279"/>
      <c r="B637" s="264">
        <v>54</v>
      </c>
      <c r="C637" s="264" t="s">
        <v>114</v>
      </c>
      <c r="D637" s="282">
        <v>43698</v>
      </c>
      <c r="E637" s="290">
        <v>43698</v>
      </c>
      <c r="F637" s="294" t="s">
        <v>4447</v>
      </c>
      <c r="G637" s="286" t="s">
        <v>3768</v>
      </c>
      <c r="H637" s="264" t="s">
        <v>3769</v>
      </c>
      <c r="I637" s="265" t="s">
        <v>313</v>
      </c>
      <c r="J637" s="298" t="s">
        <v>2688</v>
      </c>
      <c r="K637" s="259" t="str">
        <f>HYPERLINK("https://okcountyrecords.com/detail/roger+mills/2019-001779","63e8b9a8d056433a9994fe46ca85076b.pdf | OKCountyRecords: 2019-001779")</f>
        <v>63e8b9a8d056433a9994fe46ca85076b.pdf | OKCountyRecords: 2019-001779</v>
      </c>
    </row>
    <row r="638" spans="1:11" ht="32.1" customHeight="1" x14ac:dyDescent="0.25">
      <c r="A638" s="279"/>
      <c r="B638" s="264">
        <v>55</v>
      </c>
      <c r="C638" s="264" t="s">
        <v>1623</v>
      </c>
      <c r="D638" s="282">
        <v>43711</v>
      </c>
      <c r="E638" s="290">
        <v>43711</v>
      </c>
      <c r="F638" s="294" t="s">
        <v>78</v>
      </c>
      <c r="G638" s="286" t="s">
        <v>3771</v>
      </c>
      <c r="H638" s="264" t="s">
        <v>3772</v>
      </c>
      <c r="I638" s="265" t="s">
        <v>717</v>
      </c>
      <c r="J638" s="298" t="s">
        <v>3726</v>
      </c>
      <c r="K638" s="259" t="str">
        <f>HYPERLINK("https://okcountyrecords.com/search/roger%20mills","OKCountyRecords search: Mineral Deed 43711")</f>
        <v>OKCountyRecords search: Mineral Deed 43711</v>
      </c>
    </row>
    <row r="639" spans="1:11" ht="32.1" customHeight="1" x14ac:dyDescent="0.25">
      <c r="A639" s="279"/>
      <c r="B639" s="264">
        <v>56</v>
      </c>
      <c r="C639" s="264" t="s">
        <v>114</v>
      </c>
      <c r="D639" s="282">
        <v>44060</v>
      </c>
      <c r="E639" s="290">
        <v>44060</v>
      </c>
      <c r="F639" s="294" t="s">
        <v>4448</v>
      </c>
      <c r="G639" s="286" t="s">
        <v>5758</v>
      </c>
      <c r="H639" s="264" t="s">
        <v>3778</v>
      </c>
      <c r="I639" s="265" t="s">
        <v>2667</v>
      </c>
      <c r="J639" s="298" t="s">
        <v>2688</v>
      </c>
      <c r="K639" s="259" t="str">
        <f>HYPERLINK("https://okcountyrecords.com/detail/roger+mills/2020-001283","63e8b9a8d056433a9994fe46ca85076b.pdf | OKCountyRecords: 2020-001283")</f>
        <v>63e8b9a8d056433a9994fe46ca85076b.pdf | OKCountyRecords: 2020-001283</v>
      </c>
    </row>
    <row r="640" spans="1:11" ht="32.1" customHeight="1" x14ac:dyDescent="0.25">
      <c r="A640" s="279"/>
      <c r="B640" s="264">
        <v>57</v>
      </c>
      <c r="C640" s="264" t="s">
        <v>114</v>
      </c>
      <c r="D640" s="282">
        <v>44118</v>
      </c>
      <c r="E640" s="290">
        <v>44118</v>
      </c>
      <c r="F640" s="294" t="s">
        <v>4449</v>
      </c>
      <c r="G640" s="286" t="s">
        <v>5760</v>
      </c>
      <c r="H640" s="264" t="s">
        <v>3794</v>
      </c>
      <c r="I640" s="265" t="s">
        <v>2667</v>
      </c>
      <c r="J640" s="298" t="s">
        <v>2688</v>
      </c>
      <c r="K640" s="259" t="str">
        <f>HYPERLINK("https://okcountyrecords.com/detail/roger+mills/2020-001577","63e8b9a8d056433a9994fe46ca85076b.pdf | OKCountyRecords: 2020-001577")</f>
        <v>63e8b9a8d056433a9994fe46ca85076b.pdf | OKCountyRecords: 2020-001577</v>
      </c>
    </row>
    <row r="641" spans="1:11" ht="32.1" customHeight="1" x14ac:dyDescent="0.25">
      <c r="A641" s="279"/>
      <c r="B641" s="264">
        <v>58</v>
      </c>
      <c r="C641" s="264" t="s">
        <v>1623</v>
      </c>
      <c r="D641" s="282">
        <v>44144</v>
      </c>
      <c r="E641" s="290">
        <v>44144</v>
      </c>
      <c r="F641" s="294" t="s">
        <v>5762</v>
      </c>
      <c r="G641" s="286" t="s">
        <v>3802</v>
      </c>
      <c r="H641" s="264" t="s">
        <v>3803</v>
      </c>
      <c r="I641" s="265" t="s">
        <v>2667</v>
      </c>
      <c r="J641" s="298" t="s">
        <v>3726</v>
      </c>
      <c r="K641" s="259" t="str">
        <f>HYPERLINK("https://okcountyrecords.com/detail/roger+mills/2020-001708","63e8b9a8d056433a9994fe46ca85076b.pdf | OKCountyRecords: 2020-001708")</f>
        <v>63e8b9a8d056433a9994fe46ca85076b.pdf | OKCountyRecords: 2020-001708</v>
      </c>
    </row>
    <row r="642" spans="1:11" ht="32.1" customHeight="1" x14ac:dyDescent="0.25">
      <c r="A642" s="279"/>
      <c r="B642" s="264">
        <v>59</v>
      </c>
      <c r="C642" s="264" t="s">
        <v>114</v>
      </c>
      <c r="D642" s="282">
        <v>44175</v>
      </c>
      <c r="E642" s="290">
        <v>44175</v>
      </c>
      <c r="F642" s="294" t="s">
        <v>117</v>
      </c>
      <c r="G642" s="286" t="s">
        <v>3805</v>
      </c>
      <c r="H642" s="264" t="s">
        <v>3806</v>
      </c>
      <c r="I642" s="265" t="s">
        <v>3807</v>
      </c>
      <c r="J642" s="298" t="s">
        <v>2688</v>
      </c>
      <c r="K642" s="259" t="str">
        <f>HYPERLINK("https://okcountyrecords.com/search/roger%20mills","OKCountyRecords search: Assignment 44175")</f>
        <v>OKCountyRecords search: Assignment 44175</v>
      </c>
    </row>
    <row r="643" spans="1:11" ht="32.1" customHeight="1" x14ac:dyDescent="0.25">
      <c r="A643" s="279"/>
      <c r="B643" s="264">
        <v>60</v>
      </c>
      <c r="C643" s="264" t="s">
        <v>3812</v>
      </c>
      <c r="D643" s="282">
        <v>44314</v>
      </c>
      <c r="E643" s="290">
        <v>44314</v>
      </c>
      <c r="F643" s="294" t="s">
        <v>5764</v>
      </c>
      <c r="G643" s="286" t="s">
        <v>3672</v>
      </c>
      <c r="H643" s="264" t="s">
        <v>3814</v>
      </c>
      <c r="I643" s="265" t="s">
        <v>2667</v>
      </c>
      <c r="J643" s="298" t="s">
        <v>3815</v>
      </c>
      <c r="K643" s="259" t="str">
        <f>HYPERLINK("https://okcountyrecords.com/detail/roger+mills/2021-000697","63e8b9a8d056433a9994fe46ca85076b.pdf | OKCountyRecords: 2021-000697")</f>
        <v>63e8b9a8d056433a9994fe46ca85076b.pdf | OKCountyRecords: 2021-000697</v>
      </c>
    </row>
    <row r="644" spans="1:11" ht="32.1" customHeight="1" x14ac:dyDescent="0.25">
      <c r="A644" s="279"/>
      <c r="B644" s="264">
        <v>61</v>
      </c>
      <c r="C644" s="264" t="s">
        <v>1107</v>
      </c>
      <c r="D644" s="282">
        <v>44462</v>
      </c>
      <c r="E644" s="290">
        <v>44462</v>
      </c>
      <c r="F644" s="294" t="s">
        <v>5766</v>
      </c>
      <c r="G644" s="286" t="s">
        <v>3829</v>
      </c>
      <c r="H644" s="264" t="s">
        <v>5754</v>
      </c>
      <c r="I644" s="265" t="s">
        <v>2667</v>
      </c>
      <c r="J644" s="298" t="s">
        <v>3830</v>
      </c>
      <c r="K644" s="259" t="str">
        <f>HYPERLINK("https://okcountyrecords.com/detail/roger+mills/2021-001557","63e8b9a8d056433a9994fe46ca85076b.pdf | OKCountyRecords: 2021-001557")</f>
        <v>63e8b9a8d056433a9994fe46ca85076b.pdf | OKCountyRecords: 2021-001557</v>
      </c>
    </row>
    <row r="645" spans="1:11" ht="32.1" customHeight="1" x14ac:dyDescent="0.25">
      <c r="A645" s="279"/>
      <c r="B645" s="264">
        <v>62</v>
      </c>
      <c r="C645" s="264" t="s">
        <v>3832</v>
      </c>
      <c r="D645" s="282">
        <v>44462</v>
      </c>
      <c r="E645" s="290">
        <v>44462</v>
      </c>
      <c r="F645" s="294" t="s">
        <v>8106</v>
      </c>
      <c r="G645" s="286" t="s">
        <v>3834</v>
      </c>
      <c r="H645" s="264" t="s">
        <v>8602</v>
      </c>
      <c r="I645" s="265" t="s">
        <v>2667</v>
      </c>
      <c r="J645" s="298" t="s">
        <v>3836</v>
      </c>
      <c r="K645" s="259" t="str">
        <f>HYPERLINK("https://okcountyrecords.com/detail/roger+mills/2021-001559","63e8b9a8d056433a9994fe46ca85076b.pdf | OKCountyRecords: 2021-001559")</f>
        <v>63e8b9a8d056433a9994fe46ca85076b.pdf | OKCountyRecords: 2021-001559</v>
      </c>
    </row>
    <row r="646" spans="1:11" ht="32.1" customHeight="1" x14ac:dyDescent="0.25">
      <c r="A646" s="279"/>
      <c r="B646" s="264">
        <v>63</v>
      </c>
      <c r="C646" s="264" t="s">
        <v>114</v>
      </c>
      <c r="D646" s="282">
        <v>44463</v>
      </c>
      <c r="E646" s="290">
        <v>44463</v>
      </c>
      <c r="F646" s="294" t="s">
        <v>4450</v>
      </c>
      <c r="G646" s="286" t="s">
        <v>5768</v>
      </c>
      <c r="H646" s="264" t="s">
        <v>3794</v>
      </c>
      <c r="I646" s="265" t="s">
        <v>717</v>
      </c>
      <c r="J646" s="298" t="s">
        <v>2688</v>
      </c>
      <c r="K646" s="259" t="str">
        <f>HYPERLINK("https://okcountyrecords.com/detail/roger+mills/2021-001561","63e8b9a8d056433a9994fe46ca85076b.pdf | OKCountyRecords: 2021-001561")</f>
        <v>63e8b9a8d056433a9994fe46ca85076b.pdf | OKCountyRecords: 2021-001561</v>
      </c>
    </row>
    <row r="647" spans="1:11" ht="32.1" customHeight="1" x14ac:dyDescent="0.25">
      <c r="A647" s="279"/>
      <c r="B647" s="264">
        <v>64</v>
      </c>
      <c r="C647" s="264" t="s">
        <v>114</v>
      </c>
      <c r="D647" s="282">
        <v>44476</v>
      </c>
      <c r="E647" s="290">
        <v>44476</v>
      </c>
      <c r="F647" s="294" t="s">
        <v>4451</v>
      </c>
      <c r="G647" s="286" t="s">
        <v>3843</v>
      </c>
      <c r="H647" s="264" t="s">
        <v>3844</v>
      </c>
      <c r="I647" s="265" t="s">
        <v>2667</v>
      </c>
      <c r="J647" s="298" t="s">
        <v>2688</v>
      </c>
      <c r="K647" s="259" t="str">
        <f>HYPERLINK("https://okcountyrecords.com/detail/roger+mills/2021-001605","63e8b9a8d056433a9994fe46ca85076b.pdf | OKCountyRecords: 2021-001605")</f>
        <v>63e8b9a8d056433a9994fe46ca85076b.pdf | OKCountyRecords: 2021-001605</v>
      </c>
    </row>
    <row r="648" spans="1:11" ht="32.1" customHeight="1" x14ac:dyDescent="0.25">
      <c r="A648" s="279"/>
      <c r="B648" s="264">
        <v>65</v>
      </c>
      <c r="C648" s="264" t="s">
        <v>1623</v>
      </c>
      <c r="D648" s="282">
        <v>44491</v>
      </c>
      <c r="E648" s="290">
        <v>44491</v>
      </c>
      <c r="F648" s="294" t="s">
        <v>48</v>
      </c>
      <c r="G648" s="286" t="s">
        <v>3849</v>
      </c>
      <c r="H648" s="264" t="s">
        <v>5771</v>
      </c>
      <c r="I648" s="265" t="s">
        <v>3851</v>
      </c>
      <c r="J648" s="298" t="s">
        <v>3726</v>
      </c>
      <c r="K648" s="259" t="str">
        <f>HYPERLINK("https://okcountyrecords.com/search/roger%20mills","OKCountyRecords search: Mineral Deed 44491")</f>
        <v>OKCountyRecords search: Mineral Deed 44491</v>
      </c>
    </row>
    <row r="649" spans="1:11" ht="32.1" customHeight="1" x14ac:dyDescent="0.25">
      <c r="A649" s="279"/>
      <c r="B649" s="264">
        <v>66</v>
      </c>
      <c r="C649" s="264" t="s">
        <v>3873</v>
      </c>
      <c r="D649" s="282">
        <v>45247</v>
      </c>
      <c r="E649" s="290">
        <v>45247</v>
      </c>
      <c r="F649" s="294" t="s">
        <v>4452</v>
      </c>
      <c r="G649" s="286" t="s">
        <v>3814</v>
      </c>
      <c r="H649" s="264" t="s">
        <v>3875</v>
      </c>
      <c r="I649" s="265" t="s">
        <v>5755</v>
      </c>
      <c r="J649" s="298" t="s">
        <v>3876</v>
      </c>
      <c r="K649" s="259" t="str">
        <f>HYPERLINK("https://okcountyrecords.com/detail/roger+mills/2023-003590","63e8b9a8d056433a9994fe46ca85076b.pdf | OKCountyRecords: 2023-003590")</f>
        <v>63e8b9a8d056433a9994fe46ca85076b.pdf | OKCountyRecords: 2023-003590</v>
      </c>
    </row>
    <row r="650" spans="1:11" ht="32.1" customHeight="1" x14ac:dyDescent="0.25">
      <c r="A650" s="279"/>
      <c r="B650" s="264">
        <v>67</v>
      </c>
      <c r="C650" s="264" t="s">
        <v>114</v>
      </c>
      <c r="D650" s="282">
        <v>45401</v>
      </c>
      <c r="E650" s="290">
        <v>45401</v>
      </c>
      <c r="F650" s="294" t="s">
        <v>4453</v>
      </c>
      <c r="G650" s="286" t="s">
        <v>440</v>
      </c>
      <c r="H650" s="264" t="s">
        <v>3890</v>
      </c>
      <c r="I650" s="265" t="s">
        <v>313</v>
      </c>
      <c r="J650" s="298" t="s">
        <v>2688</v>
      </c>
      <c r="K650" s="259" t="str">
        <f>HYPERLINK("https://okcountyrecords.com/detail/roger+mills/2024-002310","63e8b9a8d056433a9994fe46ca85076b.pdf | OKCountyRecords: 2024-002310")</f>
        <v>63e8b9a8d056433a9994fe46ca85076b.pdf | OKCountyRecords: 2024-002310</v>
      </c>
    </row>
    <row r="651" spans="1:11" ht="32.1" customHeight="1" x14ac:dyDescent="0.25">
      <c r="A651" s="279"/>
      <c r="B651" s="264">
        <v>68</v>
      </c>
      <c r="C651" s="264" t="s">
        <v>114</v>
      </c>
      <c r="D651" s="282">
        <v>45432</v>
      </c>
      <c r="E651" s="290">
        <v>45432</v>
      </c>
      <c r="F651" s="294" t="s">
        <v>4454</v>
      </c>
      <c r="G651" s="286" t="s">
        <v>440</v>
      </c>
      <c r="H651" s="264" t="s">
        <v>5774</v>
      </c>
      <c r="I651" s="265" t="s">
        <v>5755</v>
      </c>
      <c r="J651" s="298" t="s">
        <v>2688</v>
      </c>
      <c r="K651" s="259" t="str">
        <f>HYPERLINK("https://okcountyrecords.com/detail/roger+mills/2024-003107","63e8b9a8d056433a9994fe46ca85076b.pdf | OKCountyRecords: 2024-003107")</f>
        <v>63e8b9a8d056433a9994fe46ca85076b.pdf | OKCountyRecords: 2024-003107</v>
      </c>
    </row>
    <row r="652" spans="1:11" ht="32.1" customHeight="1" x14ac:dyDescent="0.25">
      <c r="A652" s="279"/>
      <c r="B652" s="264">
        <v>69</v>
      </c>
      <c r="C652" s="264" t="s">
        <v>114</v>
      </c>
      <c r="D652" s="282">
        <v>45509</v>
      </c>
      <c r="E652" s="290">
        <v>45509</v>
      </c>
      <c r="F652" s="294" t="s">
        <v>4455</v>
      </c>
      <c r="G652" s="286" t="s">
        <v>3864</v>
      </c>
      <c r="H652" s="264" t="s">
        <v>3896</v>
      </c>
      <c r="I652" s="265" t="s">
        <v>313</v>
      </c>
      <c r="J652" s="298" t="s">
        <v>2688</v>
      </c>
      <c r="K652" s="259" t="str">
        <f>HYPERLINK("https://okcountyrecords.com/detail/roger+mills/2024-004916","63e8b9a8d056433a9994fe46ca85076b.pdf | OKCountyRecords: 2024-004916")</f>
        <v>63e8b9a8d056433a9994fe46ca85076b.pdf | OKCountyRecords: 2024-004916</v>
      </c>
    </row>
    <row r="653" spans="1:11" ht="32.1" customHeight="1" x14ac:dyDescent="0.25">
      <c r="A653" s="279"/>
      <c r="B653" s="264">
        <v>70</v>
      </c>
      <c r="C653" s="264" t="s">
        <v>2437</v>
      </c>
      <c r="D653" s="282">
        <v>45614</v>
      </c>
      <c r="E653" s="290">
        <v>45614</v>
      </c>
      <c r="F653" s="294" t="s">
        <v>5777</v>
      </c>
      <c r="G653" s="286" t="s">
        <v>3901</v>
      </c>
      <c r="H653" s="264" t="s">
        <v>5778</v>
      </c>
      <c r="I653" s="265" t="s">
        <v>313</v>
      </c>
      <c r="J653" s="298" t="s">
        <v>3739</v>
      </c>
      <c r="K653" s="259" t="str">
        <f>HYPERLINK("https://okcountyrecords.com/detail/roger+mills/2024-007198","63e8b9a8d056433a9994fe46ca85076b.pdf | OKCountyRecords: 2024-007198")</f>
        <v>63e8b9a8d056433a9994fe46ca85076b.pdf | OKCountyRecords: 2024-007198</v>
      </c>
    </row>
    <row r="654" spans="1:11" ht="32.1" customHeight="1" x14ac:dyDescent="0.25">
      <c r="A654" s="279"/>
      <c r="B654" s="264">
        <v>71</v>
      </c>
      <c r="C654" s="264" t="s">
        <v>1410</v>
      </c>
      <c r="D654" s="282">
        <v>45614</v>
      </c>
      <c r="E654" s="290">
        <v>45614</v>
      </c>
      <c r="F654" s="294" t="s">
        <v>8146</v>
      </c>
      <c r="G654" s="286" t="s">
        <v>8603</v>
      </c>
      <c r="H654" s="264" t="s">
        <v>5754</v>
      </c>
      <c r="I654" s="265" t="s">
        <v>313</v>
      </c>
      <c r="J654" s="298" t="s">
        <v>3906</v>
      </c>
      <c r="K654" s="259" t="str">
        <f>HYPERLINK("https://okcountyrecords.com/detail/roger+mills/2024-007203","63e8b9a8d056433a9994fe46ca85076b.pdf | OKCountyRecords: 2024-007203")</f>
        <v>63e8b9a8d056433a9994fe46ca85076b.pdf | OKCountyRecords: 2024-007203</v>
      </c>
    </row>
    <row r="655" spans="1:11" ht="32.1" customHeight="1" x14ac:dyDescent="0.25">
      <c r="A655" s="279"/>
      <c r="B655" s="264">
        <v>72</v>
      </c>
      <c r="C655" s="264" t="s">
        <v>1623</v>
      </c>
      <c r="D655" s="282">
        <v>45621</v>
      </c>
      <c r="E655" s="290">
        <v>45621</v>
      </c>
      <c r="F655" s="294" t="s">
        <v>4681</v>
      </c>
      <c r="G655" s="286" t="s">
        <v>3908</v>
      </c>
      <c r="H655" s="264" t="s">
        <v>3909</v>
      </c>
      <c r="I655" s="265" t="s">
        <v>1003</v>
      </c>
      <c r="J655" s="298" t="s">
        <v>3726</v>
      </c>
      <c r="K655" s="259" t="str">
        <f>HYPERLINK("https://okcountyrecords.com/search/roger%20mills","OKCountyRecords search: Mineral Deed 45621")</f>
        <v>OKCountyRecords search: Mineral Deed 45621</v>
      </c>
    </row>
    <row r="656" spans="1:11" ht="32.1" customHeight="1" x14ac:dyDescent="0.25">
      <c r="A656" s="279"/>
      <c r="B656" s="264">
        <v>73</v>
      </c>
      <c r="C656" s="264" t="s">
        <v>114</v>
      </c>
      <c r="D656" s="282">
        <v>45642</v>
      </c>
      <c r="E656" s="290">
        <v>45642</v>
      </c>
      <c r="F656" s="294" t="s">
        <v>4456</v>
      </c>
      <c r="G656" s="286" t="s">
        <v>3914</v>
      </c>
      <c r="H656" s="264" t="s">
        <v>3915</v>
      </c>
      <c r="I656" s="265" t="s">
        <v>1003</v>
      </c>
      <c r="J656" s="298" t="s">
        <v>2688</v>
      </c>
      <c r="K656" s="259" t="str">
        <f>HYPERLINK("https://okcountyrecords.com/search/roger%20mills","OKCountyRecords search: Assignment 45642")</f>
        <v>OKCountyRecords search: Assignment 45642</v>
      </c>
    </row>
    <row r="657" spans="1:11" ht="32.1" customHeight="1" x14ac:dyDescent="0.25">
      <c r="A657" s="279"/>
      <c r="B657" s="264">
        <v>74</v>
      </c>
      <c r="C657" s="264" t="s">
        <v>1623</v>
      </c>
      <c r="D657" s="282">
        <v>45771</v>
      </c>
      <c r="E657" s="290">
        <v>45771</v>
      </c>
      <c r="F657" s="294" t="s">
        <v>46</v>
      </c>
      <c r="G657" s="286" t="s">
        <v>3931</v>
      </c>
      <c r="H657" s="264" t="s">
        <v>3932</v>
      </c>
      <c r="I657" s="265" t="s">
        <v>3851</v>
      </c>
      <c r="J657" s="298" t="s">
        <v>3726</v>
      </c>
      <c r="K657" s="259" t="str">
        <f>HYPERLINK("https://okcountyrecords.com/search/roger%20mills","OKCountyRecords search: Mineral Deed 45771")</f>
        <v>OKCountyRecords search: Mineral Deed 45771</v>
      </c>
    </row>
    <row r="658" spans="1:11" ht="32.1" customHeight="1" x14ac:dyDescent="0.25">
      <c r="A658" s="279"/>
      <c r="B658" s="264">
        <v>75</v>
      </c>
      <c r="C658" s="264" t="s">
        <v>1623</v>
      </c>
      <c r="D658" s="282">
        <v>45771</v>
      </c>
      <c r="E658" s="290">
        <v>45771</v>
      </c>
      <c r="F658" s="294" t="s">
        <v>41</v>
      </c>
      <c r="G658" s="286" t="s">
        <v>3931</v>
      </c>
      <c r="H658" s="264" t="s">
        <v>3934</v>
      </c>
      <c r="I658" s="265" t="s">
        <v>3851</v>
      </c>
      <c r="J658" s="298" t="s">
        <v>3726</v>
      </c>
      <c r="K658" s="259" t="str">
        <f>HYPERLINK("https://okcountyrecords.com/search/roger%20mills","OKCountyRecords search: Mineral Deed 45771")</f>
        <v>OKCountyRecords search: Mineral Deed 45771</v>
      </c>
    </row>
    <row r="659" spans="1:11" ht="32.1" customHeight="1" x14ac:dyDescent="0.25">
      <c r="A659" s="279"/>
      <c r="B659" s="264">
        <v>76</v>
      </c>
      <c r="C659" s="264" t="s">
        <v>1107</v>
      </c>
      <c r="D659" s="282">
        <v>45792</v>
      </c>
      <c r="E659" s="290">
        <v>45792</v>
      </c>
      <c r="F659" s="294" t="s">
        <v>5780</v>
      </c>
      <c r="G659" s="286" t="s">
        <v>3940</v>
      </c>
      <c r="H659" s="264" t="s">
        <v>3941</v>
      </c>
      <c r="I659" s="265" t="s">
        <v>313</v>
      </c>
      <c r="J659" s="298" t="s">
        <v>3830</v>
      </c>
      <c r="K659" s="259" t="str">
        <f>HYPERLINK("https://okcountyrecords.com/detail/roger+mills/2025-002923","63e8b9a8d056433a9994fe46ca85076b.pdf | OKCountyRecords: 2025-002923")</f>
        <v>63e8b9a8d056433a9994fe46ca85076b.pdf | OKCountyRecords: 2025-002923</v>
      </c>
    </row>
    <row r="660" spans="1:11" ht="32.1" customHeight="1" x14ac:dyDescent="0.25">
      <c r="A660" s="279"/>
      <c r="B660" s="264">
        <v>77</v>
      </c>
      <c r="C660" s="264" t="s">
        <v>3284</v>
      </c>
      <c r="D660" s="282">
        <v>45954</v>
      </c>
      <c r="E660" s="290">
        <v>45954</v>
      </c>
      <c r="F660" s="294" t="s">
        <v>5782</v>
      </c>
      <c r="G660" s="286" t="s">
        <v>5783</v>
      </c>
      <c r="H660" s="264" t="s">
        <v>5784</v>
      </c>
      <c r="I660" s="265" t="s">
        <v>313</v>
      </c>
      <c r="J660" s="298" t="s">
        <v>3541</v>
      </c>
      <c r="K660" s="259" t="str">
        <f>HYPERLINK("https://okcountyrecords.com/detail/roger+mills/2025-006541","63e8b9a8d056433a9994fe46ca85076b.pdf | OKCountyRecords: 2025-006541")</f>
        <v>63e8b9a8d056433a9994fe46ca85076b.pdf | OKCountyRecords: 2025-006541</v>
      </c>
    </row>
    <row r="661" spans="1:11" ht="32.1" customHeight="1" x14ac:dyDescent="0.25">
      <c r="A661" s="279"/>
      <c r="B661" s="264">
        <v>78</v>
      </c>
      <c r="C661" s="264" t="s">
        <v>3873</v>
      </c>
      <c r="D661" s="282">
        <v>45975</v>
      </c>
      <c r="E661" s="290">
        <v>45975</v>
      </c>
      <c r="F661" s="294" t="s">
        <v>4457</v>
      </c>
      <c r="G661" s="286" t="s">
        <v>3959</v>
      </c>
      <c r="H661" s="264" t="s">
        <v>3960</v>
      </c>
      <c r="I661" s="265" t="s">
        <v>313</v>
      </c>
      <c r="J661" s="298" t="s">
        <v>3876</v>
      </c>
      <c r="K661" s="259" t="str">
        <f>HYPERLINK("https://okcountyrecords.com/detail/roger+mills/2025-006987","63e8b9a8d056433a9994fe46ca85076b.pdf | OKCountyRecords: 2025-006987")</f>
        <v>63e8b9a8d056433a9994fe46ca85076b.pdf | OKCountyRecords: 2025-006987</v>
      </c>
    </row>
    <row r="662" spans="1:11" ht="32.1" customHeight="1" x14ac:dyDescent="0.25">
      <c r="A662" s="279"/>
      <c r="B662" s="264">
        <v>79</v>
      </c>
      <c r="C662" s="264" t="s">
        <v>1107</v>
      </c>
      <c r="D662" s="282">
        <v>46119</v>
      </c>
      <c r="E662" s="290">
        <v>46119</v>
      </c>
      <c r="F662" s="294" t="s">
        <v>5787</v>
      </c>
      <c r="G662" s="286" t="s">
        <v>5788</v>
      </c>
      <c r="H662" s="264" t="s">
        <v>5754</v>
      </c>
      <c r="I662" s="265" t="s">
        <v>313</v>
      </c>
      <c r="J662" s="298" t="s">
        <v>3830</v>
      </c>
      <c r="K662" s="259" t="str">
        <f>HYPERLINK("https://okcountyrecords.com/detail/roger+mills/2026-001884","63e8b9a8d056433a9994fe46ca85076b.pdf | OKCountyRecords: 2026-001884")</f>
        <v>63e8b9a8d056433a9994fe46ca85076b.pdf | OKCountyRecords: 2026-001884</v>
      </c>
    </row>
    <row r="663" spans="1:11" ht="32.1" customHeight="1" x14ac:dyDescent="0.25">
      <c r="A663" s="279"/>
      <c r="B663" s="264">
        <v>80</v>
      </c>
      <c r="C663" s="264" t="s">
        <v>1107</v>
      </c>
      <c r="D663" s="282">
        <v>46119</v>
      </c>
      <c r="E663" s="290">
        <v>46119</v>
      </c>
      <c r="F663" s="294" t="s">
        <v>8181</v>
      </c>
      <c r="G663" s="286" t="s">
        <v>8604</v>
      </c>
      <c r="H663" s="264" t="s">
        <v>5754</v>
      </c>
      <c r="I663" s="265" t="s">
        <v>313</v>
      </c>
      <c r="J663" s="298" t="s">
        <v>3830</v>
      </c>
      <c r="K663" s="259" t="str">
        <f>HYPERLINK("https://okcountyrecords.com/detail/roger+mills/2026-001865","63e8b9a8d056433a9994fe46ca85076b.pdf | OKCountyRecords: 2026-001865")</f>
        <v>63e8b9a8d056433a9994fe46ca85076b.pdf | OKCountyRecords: 2026-001865</v>
      </c>
    </row>
    <row r="664" spans="1:11" ht="32.1" customHeight="1" x14ac:dyDescent="0.25">
      <c r="A664" s="279"/>
      <c r="B664" s="264">
        <v>81</v>
      </c>
      <c r="C664" s="264" t="s">
        <v>309</v>
      </c>
      <c r="D664" s="282">
        <v>46122</v>
      </c>
      <c r="E664" s="290">
        <v>46122</v>
      </c>
      <c r="F664" s="294" t="s">
        <v>17</v>
      </c>
      <c r="G664" s="286" t="s">
        <v>3984</v>
      </c>
      <c r="H664" s="264" t="s">
        <v>733</v>
      </c>
      <c r="I664" s="265" t="s">
        <v>3985</v>
      </c>
      <c r="J664" s="298" t="s">
        <v>2640</v>
      </c>
      <c r="K664" s="259" t="str">
        <f>HYPERLINK("https://okcountyrecords.com/search/roger%20mills","OKCountyRecords search: Oil and Gas Lease 46122")</f>
        <v>OKCountyRecords search: Oil and Gas Lease 46122</v>
      </c>
    </row>
    <row r="665" spans="1:11" ht="32.1" customHeight="1" x14ac:dyDescent="0.25">
      <c r="A665" s="279"/>
      <c r="B665" s="264">
        <v>82</v>
      </c>
      <c r="C665" s="264" t="s">
        <v>309</v>
      </c>
      <c r="D665" s="282">
        <v>46122</v>
      </c>
      <c r="E665" s="290">
        <v>46122</v>
      </c>
      <c r="F665" s="294" t="s">
        <v>30</v>
      </c>
      <c r="G665" s="286" t="s">
        <v>3987</v>
      </c>
      <c r="H665" s="264" t="s">
        <v>733</v>
      </c>
      <c r="I665" s="265" t="s">
        <v>3988</v>
      </c>
      <c r="J665" s="298" t="s">
        <v>2640</v>
      </c>
      <c r="K665" s="259" t="str">
        <f>HYPERLINK("https://okcountyrecords.com/search/roger%20mills","OKCountyRecords search: Oil and Gas Lease 46122")</f>
        <v>OKCountyRecords search: Oil and Gas Lease 46122</v>
      </c>
    </row>
    <row r="666" spans="1:11" ht="32.1" customHeight="1" x14ac:dyDescent="0.25">
      <c r="A666" s="279"/>
      <c r="B666" s="264">
        <v>83</v>
      </c>
      <c r="C666" s="264" t="s">
        <v>309</v>
      </c>
      <c r="D666" s="282">
        <v>46122</v>
      </c>
      <c r="E666" s="290">
        <v>46122</v>
      </c>
      <c r="F666" s="294" t="s">
        <v>27</v>
      </c>
      <c r="G666" s="286" t="s">
        <v>3990</v>
      </c>
      <c r="H666" s="264" t="s">
        <v>733</v>
      </c>
      <c r="I666" s="265" t="s">
        <v>3988</v>
      </c>
      <c r="J666" s="298" t="s">
        <v>2640</v>
      </c>
      <c r="K666" s="259" t="str">
        <f>HYPERLINK("https://okcountyrecords.com/search/roger%20mills","OKCountyRecords search: Oil and Gas Lease 46122")</f>
        <v>OKCountyRecords search: Oil and Gas Lease 46122</v>
      </c>
    </row>
    <row r="667" spans="1:11" ht="32.1" customHeight="1" x14ac:dyDescent="0.25">
      <c r="A667" s="279"/>
      <c r="B667" s="264">
        <v>84</v>
      </c>
      <c r="C667" s="264" t="s">
        <v>3379</v>
      </c>
      <c r="D667" s="282">
        <v>46143</v>
      </c>
      <c r="E667" s="290">
        <v>46143</v>
      </c>
      <c r="F667" s="294" t="s">
        <v>4644</v>
      </c>
      <c r="G667" s="286" t="s">
        <v>3908</v>
      </c>
      <c r="H667" s="264" t="s">
        <v>4646</v>
      </c>
      <c r="I667" s="265" t="s">
        <v>1003</v>
      </c>
      <c r="J667" s="298" t="s">
        <v>3999</v>
      </c>
      <c r="K667" s="259" t="str">
        <f>HYPERLINK("https://okcountyrecords.com/detail/roger+mills/2026-002512/35346712","OKCountyRecords: 2026-002512")</f>
        <v>OKCountyRecords: 2026-002512</v>
      </c>
    </row>
    <row r="668" spans="1:11" ht="32.1" customHeight="1" x14ac:dyDescent="0.25">
      <c r="A668" s="279"/>
      <c r="B668" s="264">
        <v>85</v>
      </c>
      <c r="C668" s="264" t="s">
        <v>1107</v>
      </c>
      <c r="D668" s="282">
        <v>46143</v>
      </c>
      <c r="E668" s="290">
        <v>46143</v>
      </c>
      <c r="F668" s="294" t="s">
        <v>4658</v>
      </c>
      <c r="G668" s="286" t="s">
        <v>4001</v>
      </c>
      <c r="H668" s="264" t="s">
        <v>1110</v>
      </c>
      <c r="I668" s="265" t="s">
        <v>3988</v>
      </c>
      <c r="J668" s="298" t="s">
        <v>3830</v>
      </c>
      <c r="K668" s="259" t="str">
        <f>HYPERLINK("https://okcountyrecords.com/detail/roger+mills/2026-002512/35346712","OKCountyRecords: 2026-002512")</f>
        <v>OKCountyRecords: 2026-002512</v>
      </c>
    </row>
    <row r="669" spans="1:11" ht="32.1" customHeight="1" x14ac:dyDescent="0.25">
      <c r="A669" s="279"/>
      <c r="B669" s="264">
        <v>86</v>
      </c>
      <c r="C669" s="264" t="s">
        <v>309</v>
      </c>
      <c r="D669" s="282">
        <v>46143</v>
      </c>
      <c r="E669" s="290">
        <v>46143</v>
      </c>
      <c r="F669" s="294" t="s">
        <v>20</v>
      </c>
      <c r="G669" s="286" t="s">
        <v>4003</v>
      </c>
      <c r="H669" s="264" t="s">
        <v>733</v>
      </c>
      <c r="I669" s="265" t="s">
        <v>3988</v>
      </c>
      <c r="J669" s="298" t="s">
        <v>2640</v>
      </c>
      <c r="K669" s="259" t="str">
        <f>HYPERLINK("https://okcountyrecords.com/detail/roger+mills/2026-002512/35346712","OKCountyRecords: 2026-002512")</f>
        <v>OKCountyRecords: 2026-002512</v>
      </c>
    </row>
    <row r="670" spans="1:11" ht="32.1" customHeight="1" x14ac:dyDescent="0.25">
      <c r="A670" s="279"/>
      <c r="B670" s="264">
        <v>87</v>
      </c>
      <c r="C670" s="264" t="s">
        <v>1274</v>
      </c>
      <c r="D670" s="282">
        <v>46160</v>
      </c>
      <c r="E670" s="290">
        <v>46160</v>
      </c>
      <c r="F670" s="294" t="s">
        <v>4385</v>
      </c>
      <c r="G670" s="286" t="s">
        <v>4020</v>
      </c>
      <c r="H670" s="264" t="s">
        <v>1110</v>
      </c>
      <c r="I670" s="265" t="s">
        <v>4021</v>
      </c>
      <c r="J670" s="298" t="s">
        <v>4022</v>
      </c>
      <c r="K670" s="259" t="str">
        <f>HYPERLINK("https://okcountyrecords.com/search/roger%20mills","OKCountyRecords search: Final Decree 46160")</f>
        <v>OKCountyRecords search: Final Decree 46160</v>
      </c>
    </row>
    <row r="671" spans="1:11" ht="32.1" customHeight="1" x14ac:dyDescent="0.25">
      <c r="A671" s="279"/>
      <c r="B671" s="264">
        <v>88</v>
      </c>
      <c r="C671" s="264" t="s">
        <v>3379</v>
      </c>
      <c r="D671" s="282">
        <v>46170</v>
      </c>
      <c r="E671" s="290">
        <v>46170</v>
      </c>
      <c r="F671" s="294" t="s">
        <v>4615</v>
      </c>
      <c r="G671" s="286" t="s">
        <v>3908</v>
      </c>
      <c r="H671" s="264" t="s">
        <v>4616</v>
      </c>
      <c r="I671" s="265" t="s">
        <v>1003</v>
      </c>
      <c r="J671" s="298" t="s">
        <v>3999</v>
      </c>
      <c r="K671" s="259" t="str">
        <f>HYPERLINK("https://okcountyrecords.com/search/roger%20mills","OKCountyRecords search: Affidavit of Heirship 46170")</f>
        <v>OKCountyRecords search: Affidavit of Heirship 46170</v>
      </c>
    </row>
    <row r="672" spans="1:11" ht="32.1" customHeight="1" x14ac:dyDescent="0.25">
      <c r="A672" s="279"/>
      <c r="B672" s="264">
        <v>89</v>
      </c>
      <c r="C672" s="264" t="s">
        <v>3379</v>
      </c>
      <c r="D672" s="282">
        <v>46170</v>
      </c>
      <c r="E672" s="290">
        <v>46170</v>
      </c>
      <c r="F672" s="294" t="s">
        <v>4610</v>
      </c>
      <c r="G672" s="286" t="s">
        <v>3908</v>
      </c>
      <c r="H672" s="264" t="s">
        <v>4612</v>
      </c>
      <c r="I672" s="265" t="s">
        <v>1003</v>
      </c>
      <c r="J672" s="298" t="s">
        <v>3999</v>
      </c>
      <c r="K672" s="259" t="str">
        <f>HYPERLINK("https://okcountyrecords.com/search/roger%20mills","OKCountyRecords search: Affidavit of Heirship 46170")</f>
        <v>OKCountyRecords search: Affidavit of Heirship 46170</v>
      </c>
    </row>
    <row r="673" spans="1:11" ht="32.1" customHeight="1" x14ac:dyDescent="0.25">
      <c r="A673" s="279"/>
      <c r="B673" s="264">
        <v>90</v>
      </c>
      <c r="C673" s="264" t="s">
        <v>1107</v>
      </c>
      <c r="D673" s="282">
        <v>46170</v>
      </c>
      <c r="E673" s="290">
        <v>46170</v>
      </c>
      <c r="F673" s="294" t="s">
        <v>4624</v>
      </c>
      <c r="G673" s="286" t="s">
        <v>4030</v>
      </c>
      <c r="H673" s="264" t="s">
        <v>1110</v>
      </c>
      <c r="I673" s="265" t="s">
        <v>3985</v>
      </c>
      <c r="J673" s="298" t="s">
        <v>3830</v>
      </c>
      <c r="K673" s="259" t="str">
        <f>HYPERLINK("https://okcountyrecords.com/search/roger%20mills","OKCountyRecords search: Affidavit 46170")</f>
        <v>OKCountyRecords search: Affidavit 46170</v>
      </c>
    </row>
    <row r="674" spans="1:11" ht="32.1" customHeight="1" x14ac:dyDescent="0.25">
      <c r="A674" s="279"/>
      <c r="B674" s="264">
        <v>91</v>
      </c>
      <c r="C674" s="264" t="s">
        <v>309</v>
      </c>
      <c r="D674" s="282">
        <v>46170</v>
      </c>
      <c r="E674" s="290">
        <v>46170</v>
      </c>
      <c r="F674" s="294" t="s">
        <v>12</v>
      </c>
      <c r="G674" s="286" t="s">
        <v>4032</v>
      </c>
      <c r="H674" s="264" t="s">
        <v>733</v>
      </c>
      <c r="I674" s="265" t="s">
        <v>3985</v>
      </c>
      <c r="J674" s="298" t="s">
        <v>2640</v>
      </c>
      <c r="K674" s="259" t="str">
        <f>HYPERLINK("https://okcountyrecords.com/search/roger%20mills","OKCountyRecords search: Oil and Gas Lease 46170")</f>
        <v>OKCountyRecords search: Oil and Gas Lease 46170</v>
      </c>
    </row>
    <row r="675" spans="1:11" ht="32.1" customHeight="1" x14ac:dyDescent="0.25">
      <c r="A675" s="279"/>
      <c r="B675" s="264">
        <v>92</v>
      </c>
      <c r="C675" s="264" t="s">
        <v>1274</v>
      </c>
      <c r="D675" s="282">
        <v>46178</v>
      </c>
      <c r="E675" s="290">
        <v>46178</v>
      </c>
      <c r="F675" s="294" t="s">
        <v>4272</v>
      </c>
      <c r="G675" s="286" t="s">
        <v>4042</v>
      </c>
      <c r="H675" s="264" t="s">
        <v>1110</v>
      </c>
      <c r="I675" s="265" t="s">
        <v>4043</v>
      </c>
      <c r="J675" s="298" t="s">
        <v>4022</v>
      </c>
      <c r="K675" s="259" t="str">
        <f>HYPERLINK("https://okcountyrecords.com/search/roger%20mills","OKCountyRecords search: Final Decree 46178")</f>
        <v>OKCountyRecords search: Final Decree 46178</v>
      </c>
    </row>
    <row r="676" spans="1:11" ht="32.1" customHeight="1" x14ac:dyDescent="0.25">
      <c r="A676" s="279"/>
      <c r="B676" s="264">
        <v>93</v>
      </c>
      <c r="C676" s="264" t="s">
        <v>114</v>
      </c>
      <c r="D676" s="282">
        <v>36600</v>
      </c>
      <c r="E676" s="290" t="s">
        <v>13</v>
      </c>
      <c r="F676" s="294" t="s">
        <v>4443</v>
      </c>
      <c r="G676" s="286" t="s">
        <v>266</v>
      </c>
      <c r="H676" s="264" t="s">
        <v>5790</v>
      </c>
      <c r="I676" s="265" t="s">
        <v>2667</v>
      </c>
      <c r="J676" s="298" t="s">
        <v>2688</v>
      </c>
      <c r="K676"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7" spans="1:11" ht="32.1" customHeight="1" x14ac:dyDescent="0.25">
      <c r="A677" s="279"/>
      <c r="B677" s="264">
        <v>94</v>
      </c>
      <c r="C677" s="264" t="s">
        <v>309</v>
      </c>
      <c r="D677" s="282">
        <v>36612</v>
      </c>
      <c r="E677" s="290" t="s">
        <v>13</v>
      </c>
      <c r="F677" s="294" t="s">
        <v>546</v>
      </c>
      <c r="G677" s="286" t="s">
        <v>547</v>
      </c>
      <c r="H677" s="264" t="s">
        <v>266</v>
      </c>
      <c r="I677" s="265" t="s">
        <v>2696</v>
      </c>
      <c r="J677" s="298" t="s">
        <v>2640</v>
      </c>
      <c r="K677"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8" spans="1:11" ht="32.1" customHeight="1" x14ac:dyDescent="0.25">
      <c r="A678" s="279"/>
      <c r="B678" s="264">
        <v>95</v>
      </c>
      <c r="C678" s="264" t="s">
        <v>309</v>
      </c>
      <c r="D678" s="282">
        <v>36613</v>
      </c>
      <c r="E678" s="290" t="s">
        <v>13</v>
      </c>
      <c r="F678" s="294" t="s">
        <v>549</v>
      </c>
      <c r="G678" s="286" t="s">
        <v>550</v>
      </c>
      <c r="H678" s="264" t="s">
        <v>5728</v>
      </c>
      <c r="I678" s="265" t="s">
        <v>2700</v>
      </c>
      <c r="J678" s="298" t="s">
        <v>2640</v>
      </c>
      <c r="K678"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9" spans="1:11" ht="32.1" customHeight="1" x14ac:dyDescent="0.25">
      <c r="A679" s="279"/>
      <c r="B679" s="264">
        <v>96</v>
      </c>
      <c r="C679" s="264" t="s">
        <v>309</v>
      </c>
      <c r="D679" s="282">
        <v>36613</v>
      </c>
      <c r="E679" s="290" t="s">
        <v>13</v>
      </c>
      <c r="F679" s="294" t="s">
        <v>552</v>
      </c>
      <c r="G679" s="286" t="s">
        <v>480</v>
      </c>
      <c r="H679" s="264" t="s">
        <v>5728</v>
      </c>
      <c r="I679" s="265" t="s">
        <v>2700</v>
      </c>
      <c r="J679" s="298" t="s">
        <v>2640</v>
      </c>
      <c r="K679"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80" spans="1:11" ht="32.1" customHeight="1" x14ac:dyDescent="0.25">
      <c r="A680" s="279"/>
      <c r="B680" s="264">
        <v>97</v>
      </c>
      <c r="C680" s="264" t="s">
        <v>309</v>
      </c>
      <c r="D680" s="282">
        <v>46143</v>
      </c>
      <c r="E680" s="290" t="s">
        <v>13</v>
      </c>
      <c r="F680" s="294" t="s">
        <v>24</v>
      </c>
      <c r="G680" s="286" t="s">
        <v>4005</v>
      </c>
      <c r="H680" s="264" t="s">
        <v>733</v>
      </c>
      <c r="I680" s="265" t="s">
        <v>8605</v>
      </c>
      <c r="J680" s="298" t="s">
        <v>2640</v>
      </c>
      <c r="K680" s="259" t="str">
        <f>HYPERLINK("https://okcountyrecords.com/detail/roger+mills/2026-002512/35346712","OKCountyRecords: 2026-002512")</f>
        <v>OKCountyRecords: 2026-002512</v>
      </c>
    </row>
    <row r="681" spans="1:11" ht="32.1" customHeight="1" x14ac:dyDescent="0.25">
      <c r="A681" s="279"/>
      <c r="B681" s="264">
        <v>98</v>
      </c>
      <c r="C681" s="264" t="s">
        <v>3873</v>
      </c>
      <c r="D681" s="282">
        <v>46146</v>
      </c>
      <c r="E681" s="290" t="s">
        <v>13</v>
      </c>
      <c r="F681" s="294" t="s">
        <v>4634</v>
      </c>
      <c r="G681" s="286" t="s">
        <v>4014</v>
      </c>
      <c r="H681" s="264" t="s">
        <v>4015</v>
      </c>
      <c r="I681" s="265" t="s">
        <v>5576</v>
      </c>
      <c r="J681" s="298" t="s">
        <v>3876</v>
      </c>
      <c r="K681" s="259" t="str">
        <f>HYPERLINK("https://okcountyrecords.com/detail/roger+mills/2026-002547/35349405","OKCountyRecords: 2026-002547")</f>
        <v>OKCountyRecords: 2026-002547</v>
      </c>
    </row>
    <row r="682" spans="1:11" ht="32.1" customHeight="1" x14ac:dyDescent="0.25">
      <c r="A682" s="279"/>
      <c r="B682" s="264">
        <v>11</v>
      </c>
      <c r="C682" s="264" t="s">
        <v>309</v>
      </c>
      <c r="D682" s="282" t="s">
        <v>530</v>
      </c>
      <c r="E682" s="290"/>
      <c r="F682" s="294">
        <v>36566</v>
      </c>
      <c r="G682" s="286" t="s">
        <v>531</v>
      </c>
      <c r="H682" s="264" t="s">
        <v>5728</v>
      </c>
      <c r="I682" s="265" t="s">
        <v>2667</v>
      </c>
      <c r="J682" s="298" t="s">
        <v>8606</v>
      </c>
      <c r="K682" s="259" t="str">
        <f>HYPERLINK("https://okcountyrecords.com/detail/roger+mills/2000-006716","63e8b9a8d056433a9994fe46ca85076b.pdf | OKCountyRecords: 2000-006716")</f>
        <v>63e8b9a8d056433a9994fe46ca85076b.pdf | OKCountyRecords: 2000-006716</v>
      </c>
    </row>
    <row r="683" spans="1:11" ht="32.1" customHeight="1" x14ac:dyDescent="0.25">
      <c r="A683" s="279"/>
      <c r="B683" s="264">
        <v>13</v>
      </c>
      <c r="C683" s="264" t="s">
        <v>309</v>
      </c>
      <c r="D683" s="282" t="s">
        <v>594</v>
      </c>
      <c r="E683" s="290"/>
      <c r="F683" s="294">
        <v>37348</v>
      </c>
      <c r="G683" s="286" t="s">
        <v>2834</v>
      </c>
      <c r="H683" s="264" t="s">
        <v>2835</v>
      </c>
      <c r="I683" s="265" t="s">
        <v>313</v>
      </c>
      <c r="J683" s="298" t="s">
        <v>2838</v>
      </c>
      <c r="K683" s="259" t="str">
        <f>HYPERLINK("https://okcountyrecords.com/detail/roger+mills/2002-001764","OKCountyRecords: 2002-001764")</f>
        <v>OKCountyRecords: 2002-001764</v>
      </c>
    </row>
    <row r="684" spans="1:11" ht="32.1" customHeight="1" x14ac:dyDescent="0.25">
      <c r="A684" s="279"/>
      <c r="B684" s="264">
        <v>14</v>
      </c>
      <c r="C684" s="264" t="s">
        <v>309</v>
      </c>
      <c r="D684" s="282" t="s">
        <v>595</v>
      </c>
      <c r="E684" s="290"/>
      <c r="F684" s="294">
        <v>37354</v>
      </c>
      <c r="G684" s="286" t="s">
        <v>2836</v>
      </c>
      <c r="H684" s="264" t="s">
        <v>2835</v>
      </c>
      <c r="I684" s="265" t="s">
        <v>313</v>
      </c>
      <c r="J684" s="298" t="s">
        <v>2838</v>
      </c>
      <c r="K684" s="259" t="str">
        <f>HYPERLINK("https://okcountyrecords.com/detail/roger+mills/2002-001765","OKCountyRecords: 2002-001765")</f>
        <v>OKCountyRecords: 2002-001765</v>
      </c>
    </row>
    <row r="685" spans="1:11" ht="32.1" customHeight="1" x14ac:dyDescent="0.25">
      <c r="A685" s="279"/>
      <c r="B685" s="264">
        <v>15</v>
      </c>
      <c r="C685" s="264" t="s">
        <v>309</v>
      </c>
      <c r="D685" s="282" t="s">
        <v>599</v>
      </c>
      <c r="E685" s="290"/>
      <c r="F685" s="294">
        <v>37354</v>
      </c>
      <c r="G685" s="286" t="s">
        <v>247</v>
      </c>
      <c r="H685" s="264" t="s">
        <v>2835</v>
      </c>
      <c r="I685" s="265" t="s">
        <v>313</v>
      </c>
      <c r="J685" s="298" t="s">
        <v>2874</v>
      </c>
      <c r="K685" s="259" t="str">
        <f>HYPERLINK("https://okcountyrecords.com/detail/roger+mills/2002-003522","OKCountyRecords: 2002-003522")</f>
        <v>OKCountyRecords: 2002-003522</v>
      </c>
    </row>
    <row r="686" spans="1:11" ht="32.1" customHeight="1" x14ac:dyDescent="0.25">
      <c r="A686" s="279"/>
      <c r="B686" s="264">
        <v>16</v>
      </c>
      <c r="C686" s="264" t="s">
        <v>309</v>
      </c>
      <c r="D686" s="282" t="s">
        <v>600</v>
      </c>
      <c r="E686" s="290"/>
      <c r="F686" s="294">
        <v>37361</v>
      </c>
      <c r="G686" s="286" t="s">
        <v>2840</v>
      </c>
      <c r="H686" s="264" t="s">
        <v>2666</v>
      </c>
      <c r="I686" s="265" t="s">
        <v>313</v>
      </c>
      <c r="J686" s="298" t="s">
        <v>2844</v>
      </c>
      <c r="K686" s="259" t="str">
        <f>HYPERLINK("https://okcountyrecords.com/detail/roger+mills/2002-001970","OKCountyRecords: 2002-001970")</f>
        <v>OKCountyRecords: 2002-001970</v>
      </c>
    </row>
    <row r="687" spans="1:11" ht="32.1" customHeight="1" x14ac:dyDescent="0.25">
      <c r="A687" s="279"/>
      <c r="B687" s="264">
        <v>17</v>
      </c>
      <c r="C687" s="264" t="s">
        <v>309</v>
      </c>
      <c r="D687" s="282" t="s">
        <v>603</v>
      </c>
      <c r="E687" s="290"/>
      <c r="F687" s="294">
        <v>37364</v>
      </c>
      <c r="G687" s="286" t="s">
        <v>2841</v>
      </c>
      <c r="H687" s="264" t="s">
        <v>2842</v>
      </c>
      <c r="I687" s="265" t="s">
        <v>313</v>
      </c>
      <c r="J687" s="298" t="s">
        <v>2844</v>
      </c>
      <c r="K687" s="259" t="str">
        <f>HYPERLINK("https://okcountyrecords.com/detail/roger+mills/2002-001963","OKCountyRecords: 2002-001963")</f>
        <v>OKCountyRecords: 2002-001963</v>
      </c>
    </row>
    <row r="688" spans="1:11" ht="32.1" customHeight="1" x14ac:dyDescent="0.25">
      <c r="A688" s="279"/>
      <c r="B688" s="264">
        <v>18</v>
      </c>
      <c r="C688" s="264" t="s">
        <v>309</v>
      </c>
      <c r="D688" s="282" t="s">
        <v>608</v>
      </c>
      <c r="E688" s="290"/>
      <c r="F688" s="294">
        <v>37381</v>
      </c>
      <c r="G688" s="286" t="s">
        <v>2863</v>
      </c>
      <c r="H688" s="264" t="s">
        <v>2864</v>
      </c>
      <c r="I688" s="265" t="s">
        <v>313</v>
      </c>
      <c r="J688" s="298" t="s">
        <v>8607</v>
      </c>
      <c r="K688" s="259" t="str">
        <f>HYPERLINK("https://okcountyrecords.com/detail/roger+mills/2002-002676","OKCountyRecords: 2002-002676")</f>
        <v>OKCountyRecords: 2002-002676</v>
      </c>
    </row>
    <row r="689" spans="1:11" ht="32.1" customHeight="1" x14ac:dyDescent="0.25">
      <c r="A689" s="279"/>
      <c r="B689" s="264">
        <v>20</v>
      </c>
      <c r="C689" s="264" t="s">
        <v>309</v>
      </c>
      <c r="D689" s="282" t="s">
        <v>613</v>
      </c>
      <c r="E689" s="290"/>
      <c r="F689" s="294">
        <v>37425</v>
      </c>
      <c r="G689" s="286" t="s">
        <v>2870</v>
      </c>
      <c r="H689" s="264" t="s">
        <v>2864</v>
      </c>
      <c r="I689" s="265" t="s">
        <v>313</v>
      </c>
      <c r="J689" s="298" t="s">
        <v>2872</v>
      </c>
      <c r="K689" s="259" t="str">
        <f>HYPERLINK("https://okcountyrecords.com/detail/roger+mills/2002-003272","OKCountyRecords: 2002-003272")</f>
        <v>OKCountyRecords: 2002-003272</v>
      </c>
    </row>
    <row r="690" spans="1:11" ht="32.1" customHeight="1" x14ac:dyDescent="0.25">
      <c r="A690" s="279"/>
      <c r="B690" s="264">
        <v>21</v>
      </c>
      <c r="C690" s="264" t="s">
        <v>309</v>
      </c>
      <c r="D690" s="282" t="s">
        <v>627</v>
      </c>
      <c r="E690" s="290"/>
      <c r="F690" s="294">
        <v>37496</v>
      </c>
      <c r="G690" s="286" t="s">
        <v>2878</v>
      </c>
      <c r="H690" s="264" t="s">
        <v>2864</v>
      </c>
      <c r="I690" s="265" t="s">
        <v>313</v>
      </c>
      <c r="J690" s="298" t="s">
        <v>2880</v>
      </c>
      <c r="K690" s="259" t="str">
        <f>HYPERLINK("https://okcountyrecords.com/detail/roger+mills/2002-003773","OKCountyRecords: 2002-003773")</f>
        <v>OKCountyRecords: 2002-003773</v>
      </c>
    </row>
    <row r="691" spans="1:11" ht="32.1" customHeight="1" x14ac:dyDescent="0.25">
      <c r="A691" s="279"/>
      <c r="B691" s="264">
        <v>22</v>
      </c>
      <c r="C691" s="264" t="s">
        <v>309</v>
      </c>
      <c r="D691" s="282" t="s">
        <v>628</v>
      </c>
      <c r="E691" s="290"/>
      <c r="F691" s="294">
        <v>38000</v>
      </c>
      <c r="G691" s="286" t="s">
        <v>2964</v>
      </c>
      <c r="H691" s="264" t="s">
        <v>266</v>
      </c>
      <c r="I691" s="265" t="s">
        <v>313</v>
      </c>
      <c r="J691" s="298" t="s">
        <v>2967</v>
      </c>
      <c r="K691" s="259" t="str">
        <f>HYPERLINK("https://okcountyrecords.com/detail/roger+mills/2004-000722","OKCountyRecords: 2004-000722")</f>
        <v>OKCountyRecords: 2004-000722</v>
      </c>
    </row>
    <row r="692" spans="1:11" ht="32.1" customHeight="1" x14ac:dyDescent="0.25">
      <c r="A692" s="279"/>
      <c r="B692" s="264">
        <v>23</v>
      </c>
      <c r="C692" s="264" t="s">
        <v>309</v>
      </c>
      <c r="D692" s="282" t="s">
        <v>641</v>
      </c>
      <c r="E692" s="290"/>
      <c r="F692" s="294">
        <v>38007</v>
      </c>
      <c r="G692" s="286" t="s">
        <v>2965</v>
      </c>
      <c r="H692" s="264" t="s">
        <v>266</v>
      </c>
      <c r="I692" s="265" t="s">
        <v>313</v>
      </c>
      <c r="J692" s="298" t="s">
        <v>2967</v>
      </c>
      <c r="K692" s="259" t="str">
        <f>HYPERLINK("https://okcountyrecords.com/detail/roger+mills/2004-000720","OKCountyRecords: 2004-000720")</f>
        <v>OKCountyRecords: 2004-000720</v>
      </c>
    </row>
    <row r="693" spans="1:11" ht="32.1" customHeight="1" x14ac:dyDescent="0.25">
      <c r="A693" s="279"/>
      <c r="B693" s="264">
        <v>24</v>
      </c>
      <c r="C693" s="264" t="s">
        <v>309</v>
      </c>
      <c r="D693" s="282" t="s">
        <v>647</v>
      </c>
      <c r="E693" s="290"/>
      <c r="F693" s="294">
        <v>38023</v>
      </c>
      <c r="G693" s="286" t="s">
        <v>2983</v>
      </c>
      <c r="H693" s="264" t="s">
        <v>266</v>
      </c>
      <c r="I693" s="265" t="s">
        <v>313</v>
      </c>
      <c r="J693" s="298" t="s">
        <v>2985</v>
      </c>
      <c r="K693" s="259" t="str">
        <f>HYPERLINK("https://okcountyrecords.com/detail/roger+mills/2004-001053","OKCountyRecords: 2004-001053")</f>
        <v>OKCountyRecords: 2004-001053</v>
      </c>
    </row>
    <row r="694" spans="1:11" ht="32.1" customHeight="1" x14ac:dyDescent="0.25">
      <c r="A694" s="279"/>
      <c r="B694" s="264">
        <v>25</v>
      </c>
      <c r="C694" s="264" t="s">
        <v>309</v>
      </c>
      <c r="D694" s="282" t="s">
        <v>648</v>
      </c>
      <c r="E694" s="290"/>
      <c r="F694" s="294">
        <v>38026</v>
      </c>
      <c r="G694" s="286" t="s">
        <v>2953</v>
      </c>
      <c r="H694" s="264" t="s">
        <v>266</v>
      </c>
      <c r="I694" s="265" t="s">
        <v>313</v>
      </c>
      <c r="J694" s="298" t="s">
        <v>2955</v>
      </c>
      <c r="K694" s="259" t="str">
        <f>HYPERLINK("https://okcountyrecords.com/detail/roger+mills/2004-000679","OKCountyRecords: 2004-000679")</f>
        <v>OKCountyRecords: 2004-000679</v>
      </c>
    </row>
    <row r="695" spans="1:11" ht="32.1" customHeight="1" x14ac:dyDescent="0.25">
      <c r="A695" s="279"/>
      <c r="B695" s="264">
        <v>26</v>
      </c>
      <c r="C695" s="264" t="s">
        <v>309</v>
      </c>
      <c r="D695" s="282" t="s">
        <v>669</v>
      </c>
      <c r="E695" s="290"/>
      <c r="F695" s="294">
        <v>38441</v>
      </c>
      <c r="G695" s="286" t="s">
        <v>3086</v>
      </c>
      <c r="H695" s="264" t="s">
        <v>2666</v>
      </c>
      <c r="I695" s="265" t="s">
        <v>313</v>
      </c>
      <c r="J695" s="298" t="s">
        <v>3088</v>
      </c>
      <c r="K695" s="259" t="str">
        <f>HYPERLINK("https://okcountyrecords.com/detail/roger+mills/2005-003756","OKCountyRecords: 2005-003756")</f>
        <v>OKCountyRecords: 2005-003756</v>
      </c>
    </row>
    <row r="696" spans="1:11" ht="32.1" customHeight="1" x14ac:dyDescent="0.25">
      <c r="A696" s="279"/>
      <c r="B696" s="264">
        <v>27</v>
      </c>
      <c r="C696" s="264" t="s">
        <v>309</v>
      </c>
      <c r="D696" s="282" t="s">
        <v>680</v>
      </c>
      <c r="E696" s="290"/>
      <c r="F696" s="294">
        <v>38468</v>
      </c>
      <c r="G696" s="286" t="s">
        <v>3105</v>
      </c>
      <c r="H696" s="264" t="s">
        <v>2835</v>
      </c>
      <c r="I696" s="265" t="s">
        <v>313</v>
      </c>
      <c r="J696" s="298" t="s">
        <v>3107</v>
      </c>
      <c r="K696" s="259" t="str">
        <f>HYPERLINK("https://okcountyrecords.com/detail/roger+mills/2005-004816","OKCountyRecords: 2005-004816")</f>
        <v>OKCountyRecords: 2005-004816</v>
      </c>
    </row>
    <row r="697" spans="1:11" ht="32.1" customHeight="1" x14ac:dyDescent="0.25">
      <c r="A697" s="279"/>
      <c r="B697" s="264">
        <v>28</v>
      </c>
      <c r="C697" s="264" t="s">
        <v>309</v>
      </c>
      <c r="D697" s="282" t="s">
        <v>690</v>
      </c>
      <c r="E697" s="290"/>
      <c r="F697" s="294">
        <v>38482</v>
      </c>
      <c r="G697" s="286" t="s">
        <v>3098</v>
      </c>
      <c r="H697" s="264" t="s">
        <v>2666</v>
      </c>
      <c r="I697" s="265" t="s">
        <v>313</v>
      </c>
      <c r="J697" s="298" t="s">
        <v>3100</v>
      </c>
      <c r="K697" s="259" t="str">
        <f>HYPERLINK("https://okcountyrecords.com/detail/roger+mills/2005-004681","OKCountyRecords: 2005-004681")</f>
        <v>OKCountyRecords: 2005-004681</v>
      </c>
    </row>
    <row r="698" spans="1:11" ht="32.1" customHeight="1" x14ac:dyDescent="0.25">
      <c r="A698" s="279"/>
      <c r="B698" s="264">
        <v>29</v>
      </c>
      <c r="C698" s="264" t="s">
        <v>309</v>
      </c>
      <c r="D698" s="282" t="s">
        <v>699</v>
      </c>
      <c r="E698" s="290"/>
      <c r="F698" s="294">
        <v>38621</v>
      </c>
      <c r="G698" s="286" t="s">
        <v>3177</v>
      </c>
      <c r="H698" s="264" t="s">
        <v>755</v>
      </c>
      <c r="I698" s="265" t="s">
        <v>313</v>
      </c>
      <c r="J698" s="298" t="s">
        <v>3179</v>
      </c>
      <c r="K698" s="259" t="str">
        <f>HYPERLINK("https://okcountyrecords.com/detail/roger+mills/2005-008721","OKCountyRecords: 2005-008721")</f>
        <v>OKCountyRecords: 2005-008721</v>
      </c>
    </row>
    <row r="699" spans="1:11" ht="32.1" customHeight="1" x14ac:dyDescent="0.25">
      <c r="A699" s="279"/>
      <c r="B699" s="264">
        <v>30</v>
      </c>
      <c r="C699" s="264" t="s">
        <v>309</v>
      </c>
      <c r="D699" s="282" t="s">
        <v>704</v>
      </c>
      <c r="E699" s="290"/>
      <c r="F699" s="294">
        <v>38636</v>
      </c>
      <c r="G699" s="286" t="s">
        <v>3163</v>
      </c>
      <c r="H699" s="264" t="s">
        <v>3164</v>
      </c>
      <c r="I699" s="265" t="s">
        <v>313</v>
      </c>
      <c r="J699" s="298" t="s">
        <v>3169</v>
      </c>
      <c r="K699" s="259" t="str">
        <f>HYPERLINK("https://okcountyrecords.com/detail/roger+mills/2005-008515","OKCountyRecords: 2005-008515")</f>
        <v>OKCountyRecords: 2005-008515</v>
      </c>
    </row>
    <row r="700" spans="1:11" ht="32.1" customHeight="1" x14ac:dyDescent="0.25">
      <c r="A700" s="279"/>
      <c r="B700" s="264">
        <v>31</v>
      </c>
      <c r="C700" s="264" t="s">
        <v>309</v>
      </c>
      <c r="D700" s="282" t="s">
        <v>705</v>
      </c>
      <c r="E700" s="290"/>
      <c r="F700" s="294">
        <v>38636</v>
      </c>
      <c r="G700" s="286" t="s">
        <v>3165</v>
      </c>
      <c r="H700" s="264" t="s">
        <v>3164</v>
      </c>
      <c r="I700" s="265" t="s">
        <v>313</v>
      </c>
      <c r="J700" s="298" t="s">
        <v>3169</v>
      </c>
      <c r="K700" s="259" t="str">
        <f>HYPERLINK("https://okcountyrecords.com/detail/roger+mills/2005-008517","OKCountyRecords: 2005-008517")</f>
        <v>OKCountyRecords: 2005-008517</v>
      </c>
    </row>
    <row r="701" spans="1:11" ht="32.1" customHeight="1" x14ac:dyDescent="0.25">
      <c r="A701" s="279"/>
      <c r="B701" s="264">
        <v>32</v>
      </c>
      <c r="C701" s="264" t="s">
        <v>309</v>
      </c>
      <c r="D701" s="282" t="s">
        <v>706</v>
      </c>
      <c r="E701" s="290"/>
      <c r="F701" s="294">
        <v>38637</v>
      </c>
      <c r="G701" s="286" t="s">
        <v>3166</v>
      </c>
      <c r="H701" s="264" t="s">
        <v>3164</v>
      </c>
      <c r="I701" s="265" t="s">
        <v>313</v>
      </c>
      <c r="J701" s="298" t="s">
        <v>3169</v>
      </c>
      <c r="K701" s="259" t="str">
        <f>HYPERLINK("https://okcountyrecords.com/detail/roger+mills/2005-008528","OKCountyRecords: 2005-008528")</f>
        <v>OKCountyRecords: 2005-008528</v>
      </c>
    </row>
    <row r="702" spans="1:11" ht="32.1" customHeight="1" x14ac:dyDescent="0.25">
      <c r="A702" s="279"/>
      <c r="B702" s="264">
        <v>33</v>
      </c>
      <c r="C702" s="264" t="s">
        <v>309</v>
      </c>
      <c r="D702" s="282" t="s">
        <v>710</v>
      </c>
      <c r="E702" s="290"/>
      <c r="F702" s="294">
        <v>38658</v>
      </c>
      <c r="G702" s="286" t="s">
        <v>2840</v>
      </c>
      <c r="H702" s="264" t="s">
        <v>5732</v>
      </c>
      <c r="I702" s="265" t="s">
        <v>313</v>
      </c>
      <c r="J702" s="298" t="s">
        <v>3220</v>
      </c>
      <c r="K702" s="259" t="str">
        <f>HYPERLINK("https://okcountyrecords.com/detail/roger+mills/2006-000936","OKCountyRecords: 2006-000936")</f>
        <v>OKCountyRecords: 2006-000936</v>
      </c>
    </row>
    <row r="703" spans="1:11" ht="32.1" customHeight="1" x14ac:dyDescent="0.25">
      <c r="A703" s="279"/>
      <c r="B703" s="264">
        <v>34</v>
      </c>
      <c r="C703" s="264" t="s">
        <v>309</v>
      </c>
      <c r="D703" s="282" t="s">
        <v>714</v>
      </c>
      <c r="E703" s="290"/>
      <c r="F703" s="294">
        <v>38671</v>
      </c>
      <c r="G703" s="286" t="s">
        <v>3167</v>
      </c>
      <c r="H703" s="264" t="s">
        <v>3164</v>
      </c>
      <c r="I703" s="265" t="s">
        <v>313</v>
      </c>
      <c r="J703" s="298" t="s">
        <v>3169</v>
      </c>
      <c r="K703" s="259" t="str">
        <f>HYPERLINK("https://okcountyrecords.com/detail/roger+mills/2005-008522","OKCountyRecords: 2005-008522")</f>
        <v>OKCountyRecords: 2005-008522</v>
      </c>
    </row>
    <row r="704" spans="1:11" ht="32.1" customHeight="1" x14ac:dyDescent="0.25">
      <c r="A704" s="279"/>
      <c r="B704" s="264">
        <v>35</v>
      </c>
      <c r="C704" s="264" t="s">
        <v>309</v>
      </c>
      <c r="D704" s="282" t="s">
        <v>718</v>
      </c>
      <c r="E704" s="290"/>
      <c r="F704" s="294">
        <v>38694</v>
      </c>
      <c r="G704" s="286" t="s">
        <v>3218</v>
      </c>
      <c r="H704" s="264" t="s">
        <v>5732</v>
      </c>
      <c r="I704" s="265" t="s">
        <v>313</v>
      </c>
      <c r="J704" s="298" t="s">
        <v>3220</v>
      </c>
      <c r="K704" s="259" t="str">
        <f>HYPERLINK("https://okcountyrecords.com/detail/roger+mills/2006-000931","OKCountyRecords: 2006-000931")</f>
        <v>OKCountyRecords: 2006-000931</v>
      </c>
    </row>
    <row r="705" spans="1:11" ht="32.1" customHeight="1" x14ac:dyDescent="0.25">
      <c r="A705" s="279"/>
      <c r="B705" s="264">
        <v>36</v>
      </c>
      <c r="C705" s="264" t="s">
        <v>309</v>
      </c>
      <c r="D705" s="282" t="s">
        <v>719</v>
      </c>
      <c r="E705" s="290"/>
      <c r="F705" s="294">
        <v>38709</v>
      </c>
      <c r="G705" s="286" t="s">
        <v>2834</v>
      </c>
      <c r="H705" s="264" t="s">
        <v>3192</v>
      </c>
      <c r="I705" s="265" t="s">
        <v>313</v>
      </c>
      <c r="J705" s="298" t="s">
        <v>3194</v>
      </c>
      <c r="K705" s="259" t="str">
        <f>HYPERLINK("https://okcountyrecords.com/detail/roger+mills/2006-000321","OKCountyRecords: 2006-000321")</f>
        <v>OKCountyRecords: 2006-000321</v>
      </c>
    </row>
    <row r="706" spans="1:11" ht="32.1" customHeight="1" x14ac:dyDescent="0.25">
      <c r="A706" s="279"/>
      <c r="B706" s="264">
        <v>37</v>
      </c>
      <c r="C706" s="264" t="s">
        <v>309</v>
      </c>
      <c r="D706" s="282" t="s">
        <v>723</v>
      </c>
      <c r="E706" s="290"/>
      <c r="F706" s="294">
        <v>38726</v>
      </c>
      <c r="G706" s="286" t="s">
        <v>3195</v>
      </c>
      <c r="H706" s="264" t="s">
        <v>299</v>
      </c>
      <c r="I706" s="265" t="s">
        <v>313</v>
      </c>
      <c r="J706" s="298" t="s">
        <v>3197</v>
      </c>
      <c r="K706" s="259" t="str">
        <f>HYPERLINK("https://okcountyrecords.com/detail/roger+mills/2006-000583","OKCountyRecords: 2006-000583")</f>
        <v>OKCountyRecords: 2006-000583</v>
      </c>
    </row>
    <row r="707" spans="1:11" ht="32.1" customHeight="1" x14ac:dyDescent="0.25">
      <c r="A707" s="279"/>
      <c r="B707" s="264">
        <v>38</v>
      </c>
      <c r="C707" s="264" t="s">
        <v>309</v>
      </c>
      <c r="D707" s="282" t="s">
        <v>724</v>
      </c>
      <c r="E707" s="290"/>
      <c r="F707" s="294">
        <v>38733</v>
      </c>
      <c r="G707" s="286" t="s">
        <v>3198</v>
      </c>
      <c r="H707" s="264" t="s">
        <v>302</v>
      </c>
      <c r="I707" s="265" t="s">
        <v>313</v>
      </c>
      <c r="J707" s="298" t="s">
        <v>3200</v>
      </c>
      <c r="K707" s="259" t="str">
        <f>HYPERLINK("https://okcountyrecords.com/detail/roger+mills/2006-000702","OKCountyRecords: 2006-000702")</f>
        <v>OKCountyRecords: 2006-000702</v>
      </c>
    </row>
    <row r="708" spans="1:11" ht="32.1" customHeight="1" x14ac:dyDescent="0.25">
      <c r="A708" s="279"/>
      <c r="B708" s="264">
        <v>40</v>
      </c>
      <c r="C708" s="264" t="s">
        <v>114</v>
      </c>
      <c r="D708" s="282" t="s">
        <v>4444</v>
      </c>
      <c r="E708" s="290"/>
      <c r="F708" s="294">
        <v>39336</v>
      </c>
      <c r="G708" s="286" t="s">
        <v>5733</v>
      </c>
      <c r="H708" s="264" t="s">
        <v>5734</v>
      </c>
      <c r="I708" s="265" t="s">
        <v>717</v>
      </c>
      <c r="J708" s="298" t="s">
        <v>8608</v>
      </c>
      <c r="K708" s="259" t="str">
        <f>HYPERLINK("https://okcountyrecords.com/detail/roger+mills/2007-008043","63e8b9a8d056433a9994fe46ca85076b.pdf | OKCountyRecords: 2007-008043")</f>
        <v>63e8b9a8d056433a9994fe46ca85076b.pdf | OKCountyRecords: 2007-008043</v>
      </c>
    </row>
    <row r="709" spans="1:11" ht="32.1" customHeight="1" x14ac:dyDescent="0.25">
      <c r="A709" s="279"/>
      <c r="B709" s="264">
        <v>41</v>
      </c>
      <c r="C709" s="264" t="s">
        <v>3284</v>
      </c>
      <c r="D709" s="282" t="s">
        <v>5736</v>
      </c>
      <c r="E709" s="290"/>
      <c r="F709" s="294">
        <v>41190</v>
      </c>
      <c r="G709" s="286" t="s">
        <v>3376</v>
      </c>
      <c r="H709" s="264" t="s">
        <v>3539</v>
      </c>
      <c r="I709" s="265" t="s">
        <v>3540</v>
      </c>
      <c r="J709" s="298" t="s">
        <v>5793</v>
      </c>
      <c r="K709" s="259" t="str">
        <f>HYPERLINK("https://okcountyrecords.com/detail/roger+mills/2012-006698","OKCountyRecords: 2012-006698")</f>
        <v>OKCountyRecords: 2012-006698</v>
      </c>
    </row>
    <row r="710" spans="1:11" ht="32.1" customHeight="1" x14ac:dyDescent="0.25">
      <c r="A710" s="279"/>
      <c r="B710" s="264">
        <v>42</v>
      </c>
      <c r="C710" s="264" t="s">
        <v>3284</v>
      </c>
      <c r="D710" s="282" t="s">
        <v>5738</v>
      </c>
      <c r="E710" s="290"/>
      <c r="F710" s="294">
        <v>41387</v>
      </c>
      <c r="G710" s="286" t="s">
        <v>3556</v>
      </c>
      <c r="H710" s="264" t="s">
        <v>3557</v>
      </c>
      <c r="I710" s="265" t="s">
        <v>3558</v>
      </c>
      <c r="J710" s="298" t="s">
        <v>5794</v>
      </c>
      <c r="K710" s="259" t="str">
        <f>HYPERLINK("https://okcountyrecords.com/detail/roger+mills/2013-002047","OKCountyRecords: 2013-002047")</f>
        <v>OKCountyRecords: 2013-002047</v>
      </c>
    </row>
    <row r="711" spans="1:11" ht="32.1" customHeight="1" x14ac:dyDescent="0.25">
      <c r="A711" s="279"/>
      <c r="B711" s="264">
        <v>44</v>
      </c>
      <c r="C711" s="264" t="s">
        <v>114</v>
      </c>
      <c r="D711" s="282" t="s">
        <v>4446</v>
      </c>
      <c r="E711" s="290"/>
      <c r="F711" s="294">
        <v>42719</v>
      </c>
      <c r="G711" s="286" t="s">
        <v>5742</v>
      </c>
      <c r="H711" s="264" t="s">
        <v>3454</v>
      </c>
      <c r="I711" s="265" t="s">
        <v>2667</v>
      </c>
      <c r="J711" s="298" t="s">
        <v>8609</v>
      </c>
      <c r="K711" s="259" t="str">
        <f>HYPERLINK("https://okcountyrecords.com/detail/roger+mills/2016-002793","63e8b9a8d056433a9994fe46ca85076b.pdf | OKCountyRecords: 2016-002793")</f>
        <v>63e8b9a8d056433a9994fe46ca85076b.pdf | OKCountyRecords: 2016-002793</v>
      </c>
    </row>
    <row r="712" spans="1:11" ht="32.1" customHeight="1" x14ac:dyDescent="0.25">
      <c r="A712" s="279"/>
      <c r="B712" s="264">
        <v>45</v>
      </c>
      <c r="C712" s="264" t="s">
        <v>114</v>
      </c>
      <c r="D712" s="282" t="s">
        <v>5744</v>
      </c>
      <c r="E712" s="290"/>
      <c r="F712" s="294">
        <v>42723</v>
      </c>
      <c r="G712" s="286" t="s">
        <v>3713</v>
      </c>
      <c r="H712" s="264" t="s">
        <v>3714</v>
      </c>
      <c r="I712" s="265" t="s">
        <v>3715</v>
      </c>
      <c r="J712" s="298" t="s">
        <v>5795</v>
      </c>
      <c r="K712" s="259" t="str">
        <f>HYPERLINK("https://okcountyrecords.com/detail/roger+mills/2016-002668","OKCountyRecords: 2016-002668")</f>
        <v>OKCountyRecords: 2016-002668</v>
      </c>
    </row>
    <row r="713" spans="1:11" ht="32.1" customHeight="1" x14ac:dyDescent="0.25">
      <c r="A713" s="279"/>
      <c r="B713" s="264">
        <v>46</v>
      </c>
      <c r="C713" s="264" t="s">
        <v>114</v>
      </c>
      <c r="D713" s="282" t="s">
        <v>120</v>
      </c>
      <c r="E713" s="290"/>
      <c r="F713" s="294">
        <v>42752</v>
      </c>
      <c r="G713" s="286" t="s">
        <v>5746</v>
      </c>
      <c r="H713" s="264" t="s">
        <v>3721</v>
      </c>
      <c r="I713" s="265" t="s">
        <v>5747</v>
      </c>
      <c r="J713" s="298" t="s">
        <v>8610</v>
      </c>
      <c r="K713" s="259" t="str">
        <f>HYPERLINK("https://okcountyrecords.com/detail/roger+mills/2017-000083","OKCountyRecords: 2017-000083")</f>
        <v>OKCountyRecords: 2017-000083</v>
      </c>
    </row>
    <row r="714" spans="1:11" ht="32.1" customHeight="1" x14ac:dyDescent="0.25">
      <c r="A714" s="279"/>
      <c r="B714" s="264">
        <v>48</v>
      </c>
      <c r="C714" s="264" t="s">
        <v>3284</v>
      </c>
      <c r="D714" s="282" t="s">
        <v>5752</v>
      </c>
      <c r="E714" s="290"/>
      <c r="F714" s="294">
        <v>43327</v>
      </c>
      <c r="G714" s="286" t="s">
        <v>5753</v>
      </c>
      <c r="H714" s="264" t="s">
        <v>5754</v>
      </c>
      <c r="I714" s="265" t="s">
        <v>5755</v>
      </c>
      <c r="J714" s="298" t="s">
        <v>8611</v>
      </c>
      <c r="K714" s="259" t="str">
        <f>HYPERLINK("https://okcountyrecords.com/detail/roger+mills/2018-002049","63e8b9a8d056433a9994fe46ca85076b.pdf | OKCountyRecords: 2018-002049")</f>
        <v>63e8b9a8d056433a9994fe46ca85076b.pdf | OKCountyRecords: 2018-002049</v>
      </c>
    </row>
    <row r="715" spans="1:11" ht="32.1" customHeight="1" x14ac:dyDescent="0.25">
      <c r="A715" s="279"/>
      <c r="B715" s="264">
        <v>50</v>
      </c>
      <c r="C715" s="264" t="s">
        <v>114</v>
      </c>
      <c r="D715" s="282" t="s">
        <v>4448</v>
      </c>
      <c r="E715" s="290"/>
      <c r="F715" s="294">
        <v>44060</v>
      </c>
      <c r="G715" s="286" t="s">
        <v>5758</v>
      </c>
      <c r="H715" s="264" t="s">
        <v>3778</v>
      </c>
      <c r="I715" s="265" t="s">
        <v>2667</v>
      </c>
      <c r="J715" s="298" t="s">
        <v>8612</v>
      </c>
      <c r="K715" s="259" t="str">
        <f>HYPERLINK("https://okcountyrecords.com/detail/roger+mills/2020-001283","63e8b9a8d056433a9994fe46ca85076b.pdf | OKCountyRecords: 2020-001283")</f>
        <v>63e8b9a8d056433a9994fe46ca85076b.pdf | OKCountyRecords: 2020-001283</v>
      </c>
    </row>
    <row r="716" spans="1:11" ht="32.1" customHeight="1" x14ac:dyDescent="0.25">
      <c r="A716" s="279"/>
      <c r="B716" s="264">
        <v>51</v>
      </c>
      <c r="C716" s="264" t="s">
        <v>114</v>
      </c>
      <c r="D716" s="282" t="s">
        <v>4449</v>
      </c>
      <c r="E716" s="290"/>
      <c r="F716" s="294">
        <v>44118</v>
      </c>
      <c r="G716" s="286" t="s">
        <v>5760</v>
      </c>
      <c r="H716" s="264" t="s">
        <v>3794</v>
      </c>
      <c r="I716" s="265" t="s">
        <v>2667</v>
      </c>
      <c r="J716" s="298" t="s">
        <v>8613</v>
      </c>
      <c r="K716" s="259" t="str">
        <f>HYPERLINK("https://okcountyrecords.com/detail/roger+mills/2020-001577","63e8b9a8d056433a9994fe46ca85076b.pdf | OKCountyRecords: 2020-001577")</f>
        <v>63e8b9a8d056433a9994fe46ca85076b.pdf | OKCountyRecords: 2020-001577</v>
      </c>
    </row>
    <row r="717" spans="1:11" ht="32.1" customHeight="1" x14ac:dyDescent="0.25">
      <c r="A717" s="279"/>
      <c r="B717" s="264">
        <v>52</v>
      </c>
      <c r="C717" s="264" t="s">
        <v>114</v>
      </c>
      <c r="D717" s="282" t="s">
        <v>117</v>
      </c>
      <c r="E717" s="290"/>
      <c r="F717" s="294">
        <v>44175</v>
      </c>
      <c r="G717" s="286" t="s">
        <v>3805</v>
      </c>
      <c r="H717" s="264" t="s">
        <v>3806</v>
      </c>
      <c r="I717" s="265" t="s">
        <v>3807</v>
      </c>
      <c r="J717" s="298" t="s">
        <v>3810</v>
      </c>
      <c r="K717" s="259" t="str">
        <f>HYPERLINK("https://okcountyrecords.com/detail/roger+mills/2020-001954/26392975","OKCountyRecords: 2020-001954")</f>
        <v>OKCountyRecords: 2020-001954</v>
      </c>
    </row>
    <row r="718" spans="1:11" ht="32.1" customHeight="1" x14ac:dyDescent="0.25">
      <c r="A718" s="279"/>
      <c r="B718" s="264">
        <v>53</v>
      </c>
      <c r="C718" s="264" t="s">
        <v>3832</v>
      </c>
      <c r="D718" s="282" t="s">
        <v>8106</v>
      </c>
      <c r="E718" s="290"/>
      <c r="F718" s="294">
        <v>44462</v>
      </c>
      <c r="G718" s="286" t="s">
        <v>3834</v>
      </c>
      <c r="H718" s="264" t="s">
        <v>8602</v>
      </c>
      <c r="I718" s="265" t="s">
        <v>2667</v>
      </c>
      <c r="J718" s="298" t="s">
        <v>8614</v>
      </c>
      <c r="K718" s="259" t="str">
        <f>HYPERLINK("https://okcountyrecords.com/detail/roger+mills/2021-001559","63e8b9a8d056433a9994fe46ca85076b.pdf | OKCountyRecords: 2021-001559")</f>
        <v>63e8b9a8d056433a9994fe46ca85076b.pdf | OKCountyRecords: 2021-001559</v>
      </c>
    </row>
    <row r="719" spans="1:11" ht="32.1" customHeight="1" x14ac:dyDescent="0.25">
      <c r="A719" s="279"/>
      <c r="B719" s="264">
        <v>54</v>
      </c>
      <c r="C719" s="264" t="s">
        <v>114</v>
      </c>
      <c r="D719" s="282" t="s">
        <v>4450</v>
      </c>
      <c r="E719" s="290"/>
      <c r="F719" s="294">
        <v>44463</v>
      </c>
      <c r="G719" s="286" t="s">
        <v>5768</v>
      </c>
      <c r="H719" s="264" t="s">
        <v>3794</v>
      </c>
      <c r="I719" s="265" t="s">
        <v>717</v>
      </c>
      <c r="J719" s="298" t="s">
        <v>8615</v>
      </c>
      <c r="K719" s="259" t="str">
        <f>HYPERLINK("https://okcountyrecords.com/detail/roger+mills/2021-001561","63e8b9a8d056433a9994fe46ca85076b.pdf | OKCountyRecords: 2021-001561")</f>
        <v>63e8b9a8d056433a9994fe46ca85076b.pdf | OKCountyRecords: 2021-001561</v>
      </c>
    </row>
    <row r="720" spans="1:11" ht="32.1" customHeight="1" x14ac:dyDescent="0.25">
      <c r="A720" s="279"/>
      <c r="B720" s="264">
        <v>55</v>
      </c>
      <c r="C720" s="264" t="s">
        <v>114</v>
      </c>
      <c r="D720" s="282" t="s">
        <v>4451</v>
      </c>
      <c r="E720" s="290"/>
      <c r="F720" s="294">
        <v>44476</v>
      </c>
      <c r="G720" s="286" t="s">
        <v>3843</v>
      </c>
      <c r="H720" s="264" t="s">
        <v>3844</v>
      </c>
      <c r="I720" s="265" t="s">
        <v>2667</v>
      </c>
      <c r="J720" s="298" t="s">
        <v>8616</v>
      </c>
      <c r="K720" s="259" t="str">
        <f>HYPERLINK("https://okcountyrecords.com/detail/roger+mills/2021-001605","63e8b9a8d056433a9994fe46ca85076b.pdf | OKCountyRecords: 2021-001605")</f>
        <v>63e8b9a8d056433a9994fe46ca85076b.pdf | OKCountyRecords: 2021-001605</v>
      </c>
    </row>
    <row r="721" spans="1:11" ht="32.1" customHeight="1" x14ac:dyDescent="0.25">
      <c r="A721" s="279"/>
      <c r="B721" s="264">
        <v>57</v>
      </c>
      <c r="C721" s="264" t="s">
        <v>114</v>
      </c>
      <c r="D721" s="282" t="s">
        <v>4453</v>
      </c>
      <c r="E721" s="290"/>
      <c r="F721" s="294">
        <v>45401</v>
      </c>
      <c r="G721" s="286" t="s">
        <v>440</v>
      </c>
      <c r="H721" s="264" t="s">
        <v>3890</v>
      </c>
      <c r="I721" s="265" t="s">
        <v>313</v>
      </c>
      <c r="J721" s="298" t="s">
        <v>8617</v>
      </c>
      <c r="K721" s="259" t="str">
        <f>HYPERLINK("https://okcountyrecords.com/detail/roger+mills/2024-002310","63e8b9a8d056433a9994fe46ca85076b.pdf | OKCountyRecords: 2024-002310")</f>
        <v>63e8b9a8d056433a9994fe46ca85076b.pdf | OKCountyRecords: 2024-002310</v>
      </c>
    </row>
    <row r="722" spans="1:11" ht="32.1" customHeight="1" x14ac:dyDescent="0.25">
      <c r="A722" s="279"/>
      <c r="B722" s="264">
        <v>58</v>
      </c>
      <c r="C722" s="264" t="s">
        <v>114</v>
      </c>
      <c r="D722" s="282" t="s">
        <v>4454</v>
      </c>
      <c r="E722" s="290"/>
      <c r="F722" s="294">
        <v>45432</v>
      </c>
      <c r="G722" s="286" t="s">
        <v>440</v>
      </c>
      <c r="H722" s="264" t="s">
        <v>5774</v>
      </c>
      <c r="I722" s="265" t="s">
        <v>5755</v>
      </c>
      <c r="J722" s="298" t="s">
        <v>8618</v>
      </c>
      <c r="K722" s="259" t="str">
        <f>HYPERLINK("https://okcountyrecords.com/detail/roger+mills/2024-003107","63e8b9a8d056433a9994fe46ca85076b.pdf | OKCountyRecords: 2024-003107")</f>
        <v>63e8b9a8d056433a9994fe46ca85076b.pdf | OKCountyRecords: 2024-003107</v>
      </c>
    </row>
    <row r="723" spans="1:11" ht="32.1" customHeight="1" x14ac:dyDescent="0.25">
      <c r="A723" s="279"/>
      <c r="B723" s="264">
        <v>60</v>
      </c>
      <c r="C723" s="264" t="s">
        <v>1410</v>
      </c>
      <c r="D723" s="282" t="s">
        <v>8146</v>
      </c>
      <c r="E723" s="290"/>
      <c r="F723" s="294">
        <v>45614</v>
      </c>
      <c r="G723" s="286" t="s">
        <v>8603</v>
      </c>
      <c r="H723" s="264" t="s">
        <v>5754</v>
      </c>
      <c r="I723" s="265" t="s">
        <v>313</v>
      </c>
      <c r="J723" s="298" t="s">
        <v>8619</v>
      </c>
      <c r="K723" s="259" t="str">
        <f>HYPERLINK("https://okcountyrecords.com/detail/roger+mills/2024-007203","63e8b9a8d056433a9994fe46ca85076b.pdf | OKCountyRecords: 2024-007203")</f>
        <v>63e8b9a8d056433a9994fe46ca85076b.pdf | OKCountyRecords: 2024-007203</v>
      </c>
    </row>
    <row r="724" spans="1:11" ht="32.1" customHeight="1" x14ac:dyDescent="0.25">
      <c r="A724" s="279"/>
      <c r="B724" s="264">
        <v>61</v>
      </c>
      <c r="C724" s="264" t="s">
        <v>114</v>
      </c>
      <c r="D724" s="282" t="s">
        <v>4456</v>
      </c>
      <c r="E724" s="290"/>
      <c r="F724" s="294">
        <v>45642</v>
      </c>
      <c r="G724" s="286" t="s">
        <v>3914</v>
      </c>
      <c r="H724" s="264" t="s">
        <v>3915</v>
      </c>
      <c r="I724" s="265" t="s">
        <v>1003</v>
      </c>
      <c r="J724" s="298" t="s">
        <v>3810</v>
      </c>
      <c r="K724" s="259" t="str">
        <f>HYPERLINK("https://okcountyrecords.com/detail/roger+mills/2024-007734/33733683","OKCountyRecords: 2024-007734")</f>
        <v>OKCountyRecords: 2024-007734</v>
      </c>
    </row>
    <row r="725" spans="1:11" ht="32.1" customHeight="1" x14ac:dyDescent="0.25">
      <c r="A725" s="279"/>
      <c r="B725" s="264">
        <v>62</v>
      </c>
      <c r="C725" s="264" t="s">
        <v>3284</v>
      </c>
      <c r="D725" s="282" t="s">
        <v>5782</v>
      </c>
      <c r="E725" s="290"/>
      <c r="F725" s="294">
        <v>45954</v>
      </c>
      <c r="G725" s="286" t="s">
        <v>5783</v>
      </c>
      <c r="H725" s="264" t="s">
        <v>5784</v>
      </c>
      <c r="I725" s="265" t="s">
        <v>313</v>
      </c>
      <c r="J725" s="298" t="s">
        <v>8620</v>
      </c>
      <c r="K725" s="259" t="str">
        <f>HYPERLINK("https://okcountyrecords.com/detail/roger+mills/2025-006541","63e8b9a8d056433a9994fe46ca85076b.pdf | OKCountyRecords: 2025-006541")</f>
        <v>63e8b9a8d056433a9994fe46ca85076b.pdf | OKCountyRecords: 2025-006541</v>
      </c>
    </row>
    <row r="726" spans="1:11" ht="32.1" customHeight="1" x14ac:dyDescent="0.25">
      <c r="A726" s="279"/>
      <c r="B726" s="264">
        <v>64</v>
      </c>
      <c r="C726" s="264" t="s">
        <v>309</v>
      </c>
      <c r="D726" s="282" t="s">
        <v>17</v>
      </c>
      <c r="E726" s="290"/>
      <c r="F726" s="294">
        <v>46122</v>
      </c>
      <c r="G726" s="286" t="s">
        <v>3984</v>
      </c>
      <c r="H726" s="264" t="s">
        <v>733</v>
      </c>
      <c r="I726" s="265" t="s">
        <v>3985</v>
      </c>
      <c r="J726" s="298" t="s">
        <v>3992</v>
      </c>
      <c r="K726" s="259" t="str">
        <f>HYPERLINK("https://okcountyrecords.com/detail/roger+mills/2026-001949/35274564","OKCountyRecords: 2026-001949")</f>
        <v>OKCountyRecords: 2026-001949</v>
      </c>
    </row>
    <row r="727" spans="1:11" ht="32.1" customHeight="1" x14ac:dyDescent="0.25">
      <c r="A727" s="279"/>
      <c r="B727" s="264">
        <v>65</v>
      </c>
      <c r="C727" s="264" t="s">
        <v>309</v>
      </c>
      <c r="D727" s="282" t="s">
        <v>30</v>
      </c>
      <c r="E727" s="290"/>
      <c r="F727" s="294">
        <v>46122</v>
      </c>
      <c r="G727" s="286" t="s">
        <v>3987</v>
      </c>
      <c r="H727" s="264" t="s">
        <v>733</v>
      </c>
      <c r="I727" s="265" t="s">
        <v>3988</v>
      </c>
      <c r="J727" s="298" t="s">
        <v>3992</v>
      </c>
      <c r="K727" s="259" t="str">
        <f>HYPERLINK("https://okcountyrecords.com/detail/roger+mills/2026-001951/35274565","OKCountyRecords: 2026-001951")</f>
        <v>OKCountyRecords: 2026-001951</v>
      </c>
    </row>
    <row r="728" spans="1:11" ht="32.1" customHeight="1" x14ac:dyDescent="0.25">
      <c r="A728" s="279"/>
      <c r="B728" s="264">
        <v>66</v>
      </c>
      <c r="C728" s="264" t="s">
        <v>309</v>
      </c>
      <c r="D728" s="282" t="s">
        <v>27</v>
      </c>
      <c r="E728" s="290"/>
      <c r="F728" s="294">
        <v>46122</v>
      </c>
      <c r="G728" s="286" t="s">
        <v>3990</v>
      </c>
      <c r="H728" s="264" t="s">
        <v>733</v>
      </c>
      <c r="I728" s="265" t="s">
        <v>3988</v>
      </c>
      <c r="J728" s="298" t="s">
        <v>3992</v>
      </c>
      <c r="K728" s="259" t="str">
        <f>HYPERLINK("https://okcountyrecords.com/detail/roger+mills/2026-001952/35274563","OKCountyRecords: 2026-001952")</f>
        <v>OKCountyRecords: 2026-001952</v>
      </c>
    </row>
    <row r="729" spans="1:11" ht="32.1" customHeight="1" x14ac:dyDescent="0.25">
      <c r="A729" s="279"/>
      <c r="B729" s="264">
        <v>67</v>
      </c>
      <c r="C729" s="264" t="s">
        <v>309</v>
      </c>
      <c r="D729" s="282" t="s">
        <v>20</v>
      </c>
      <c r="E729" s="290"/>
      <c r="F729" s="294">
        <v>46143</v>
      </c>
      <c r="G729" s="286" t="s">
        <v>4003</v>
      </c>
      <c r="H729" s="264" t="s">
        <v>733</v>
      </c>
      <c r="I729" s="265" t="s">
        <v>3988</v>
      </c>
      <c r="J729" s="298" t="s">
        <v>4007</v>
      </c>
      <c r="K729" s="259" t="str">
        <f>HYPERLINK("https://okcountyrecords.com/detail/roger+mills/2026-002511/35346711","OKCountyRecords: 2026-002511")</f>
        <v>OKCountyRecords: 2026-002511</v>
      </c>
    </row>
    <row r="730" spans="1:11" ht="32.1" customHeight="1" x14ac:dyDescent="0.25">
      <c r="A730" s="279"/>
      <c r="B730" s="264">
        <v>68</v>
      </c>
      <c r="C730" s="264" t="s">
        <v>309</v>
      </c>
      <c r="D730" s="282" t="s">
        <v>12</v>
      </c>
      <c r="E730" s="290"/>
      <c r="F730" s="294">
        <v>46170</v>
      </c>
      <c r="G730" s="286" t="s">
        <v>4032</v>
      </c>
      <c r="H730" s="264" t="s">
        <v>733</v>
      </c>
      <c r="I730" s="265" t="s">
        <v>3985</v>
      </c>
      <c r="J730" s="298" t="s">
        <v>4034</v>
      </c>
      <c r="K730" s="259" t="str">
        <f>HYPERLINK("https://okcountyrecords.com/detail/roger+mills/2026-003145/35404151","OKCountyRecords: 2026-003145")</f>
        <v>OKCountyRecords: 2026-003145</v>
      </c>
    </row>
    <row r="731" spans="1:11" ht="32.1" customHeight="1" x14ac:dyDescent="0.25">
      <c r="A731" s="279"/>
      <c r="B731" s="264">
        <v>69</v>
      </c>
      <c r="C731" s="264" t="s">
        <v>114</v>
      </c>
      <c r="D731" s="282" t="s">
        <v>4443</v>
      </c>
      <c r="E731" s="290"/>
      <c r="F731" s="294" t="s">
        <v>8621</v>
      </c>
      <c r="G731" s="286" t="s">
        <v>266</v>
      </c>
      <c r="H731" s="264" t="s">
        <v>5790</v>
      </c>
      <c r="I731" s="265" t="s">
        <v>2667</v>
      </c>
      <c r="J731" s="298" t="s">
        <v>2691</v>
      </c>
      <c r="K731" s="259" t="str">
        <f>HYPERLINK("https://okcountyrecords.com/detail/roger+mills/2000-007065","63e8b9a8d056433a9994fe46ca85076b.pdf | OKCountyRecords: 2000-007065")</f>
        <v>63e8b9a8d056433a9994fe46ca85076b.pdf | OKCountyRecords: 2000-007065</v>
      </c>
    </row>
    <row r="732" spans="1:11" ht="32.1" customHeight="1" x14ac:dyDescent="0.25">
      <c r="A732" s="279"/>
      <c r="B732" s="264">
        <v>71</v>
      </c>
      <c r="C732" s="264" t="s">
        <v>309</v>
      </c>
      <c r="D732" s="282" t="s">
        <v>549</v>
      </c>
      <c r="E732" s="290"/>
      <c r="F732" s="294" t="s">
        <v>8621</v>
      </c>
      <c r="G732" s="286" t="s">
        <v>550</v>
      </c>
      <c r="H732" s="264" t="s">
        <v>5728</v>
      </c>
      <c r="I732" s="265" t="s">
        <v>2700</v>
      </c>
      <c r="J732" s="298" t="s">
        <v>2706</v>
      </c>
      <c r="K732" s="259" t="str">
        <f>HYPERLINK("https://okcountyrecords.com/detail/roger+mills/2000-007244","63e8b9a8d056433a9994fe46ca85076b.pdf | OKCountyRecords: 2000-007244")</f>
        <v>63e8b9a8d056433a9994fe46ca85076b.pdf | OKCountyRecords: 2000-007244</v>
      </c>
    </row>
    <row r="733" spans="1:11" ht="32.1" customHeight="1" x14ac:dyDescent="0.25">
      <c r="A733" s="279"/>
      <c r="B733" s="264">
        <v>72</v>
      </c>
      <c r="C733" s="264" t="s">
        <v>309</v>
      </c>
      <c r="D733" s="282" t="s">
        <v>552</v>
      </c>
      <c r="E733" s="290"/>
      <c r="F733" s="294" t="s">
        <v>8621</v>
      </c>
      <c r="G733" s="286" t="s">
        <v>480</v>
      </c>
      <c r="H733" s="264" t="s">
        <v>5728</v>
      </c>
      <c r="I733" s="265" t="s">
        <v>2700</v>
      </c>
      <c r="J733" s="298" t="s">
        <v>2706</v>
      </c>
      <c r="K733" s="259" t="str">
        <f>HYPERLINK("https://okcountyrecords.com/detail/roger+mills/2000-007245","63e8b9a8d056433a9994fe46ca85076b.pdf | OKCountyRecords: 2000-007245")</f>
        <v>63e8b9a8d056433a9994fe46ca85076b.pdf | OKCountyRecords: 2000-007245</v>
      </c>
    </row>
    <row r="734" spans="1:11" ht="32.1" customHeight="1" x14ac:dyDescent="0.25">
      <c r="A734" s="279"/>
      <c r="B734" s="264">
        <v>73</v>
      </c>
      <c r="C734" s="264" t="s">
        <v>309</v>
      </c>
      <c r="D734" s="282" t="s">
        <v>24</v>
      </c>
      <c r="E734" s="290"/>
      <c r="F734" s="294" t="s">
        <v>8621</v>
      </c>
      <c r="G734" s="286" t="s">
        <v>4005</v>
      </c>
      <c r="H734" s="264" t="s">
        <v>733</v>
      </c>
      <c r="I734" s="265" t="s">
        <v>8605</v>
      </c>
      <c r="J734" s="298" t="s">
        <v>4007</v>
      </c>
      <c r="K734" s="259" t="str">
        <f>HYPERLINK("https://okcountyrecords.com/detail/roger+mills/2026-002512/35346712","OKCountyRecords: 2026-002512")</f>
        <v>OKCountyRecords: 2026-002512</v>
      </c>
    </row>
    <row r="735" spans="1:11" ht="32.1" customHeight="1" x14ac:dyDescent="0.25">
      <c r="A735" s="279"/>
      <c r="B735" s="264">
        <v>74</v>
      </c>
      <c r="C735" s="264" t="s">
        <v>3873</v>
      </c>
      <c r="D735" s="282" t="s">
        <v>4634</v>
      </c>
      <c r="E735" s="290"/>
      <c r="F735" s="294" t="s">
        <v>8621</v>
      </c>
      <c r="G735" s="286" t="s">
        <v>4014</v>
      </c>
      <c r="H735" s="264" t="s">
        <v>4015</v>
      </c>
      <c r="I735" s="265" t="s">
        <v>5576</v>
      </c>
      <c r="J735" s="298" t="s">
        <v>8622</v>
      </c>
      <c r="K735" s="259" t="str">
        <f>HYPERLINK("https://okcountyrecords.com/detail/roger+mills/2026-002547/35349405","OKCountyRecords: 2026-002547")</f>
        <v>OKCountyRecords: 2026-002547</v>
      </c>
    </row>
    <row r="736" spans="1:11" ht="32.1" customHeight="1" x14ac:dyDescent="0.25">
      <c r="A736" s="278" t="s">
        <v>968</v>
      </c>
      <c r="B736" s="266"/>
      <c r="C736" s="266" t="s">
        <v>969</v>
      </c>
      <c r="D736" s="283" t="s">
        <v>4339</v>
      </c>
      <c r="E736" s="291"/>
      <c r="F736" s="295">
        <v>2063</v>
      </c>
      <c r="G736" s="287" t="s">
        <v>971</v>
      </c>
      <c r="H736" s="266" t="s">
        <v>972</v>
      </c>
      <c r="I736" s="268" t="s">
        <v>242</v>
      </c>
      <c r="J736" s="299" t="s">
        <v>985</v>
      </c>
      <c r="K736" s="259" t="str">
        <f>HYPERLINK("https://okcountyrecords.com/detail/roger+mills/1905-000429","OKCountyRecords: 1905-000429")</f>
        <v>OKCountyRecords: 1905-000429</v>
      </c>
    </row>
    <row r="737" spans="1:11" ht="32.1" customHeight="1" x14ac:dyDescent="0.25">
      <c r="A737" s="278" t="s">
        <v>974</v>
      </c>
      <c r="B737" s="266"/>
      <c r="C737" s="266" t="s">
        <v>969</v>
      </c>
      <c r="D737" s="283" t="s">
        <v>4423</v>
      </c>
      <c r="E737" s="291"/>
      <c r="F737" s="295">
        <v>2601</v>
      </c>
      <c r="G737" s="287" t="s">
        <v>976</v>
      </c>
      <c r="H737" s="266" t="s">
        <v>977</v>
      </c>
      <c r="I737" s="268" t="s">
        <v>242</v>
      </c>
      <c r="J737" s="299" t="s">
        <v>985</v>
      </c>
      <c r="K737" s="259" t="str">
        <f>HYPERLINK("https://okcountyrecords.com/detail/roger+mills/1907-000709","OKCountyRecords: 1907-000709")</f>
        <v>OKCountyRecords: 1907-000709</v>
      </c>
    </row>
    <row r="738" spans="1:11" ht="32.1" customHeight="1" x14ac:dyDescent="0.25">
      <c r="A738" s="278" t="s">
        <v>980</v>
      </c>
      <c r="B738" s="266"/>
      <c r="C738" s="266" t="s">
        <v>981</v>
      </c>
      <c r="D738" s="283" t="s">
        <v>4338</v>
      </c>
      <c r="E738" s="291"/>
      <c r="F738" s="295">
        <v>2752</v>
      </c>
      <c r="G738" s="287" t="s">
        <v>983</v>
      </c>
      <c r="H738" s="266" t="s">
        <v>971</v>
      </c>
      <c r="I738" s="301" t="s">
        <v>984</v>
      </c>
      <c r="J738" s="299" t="s">
        <v>985</v>
      </c>
      <c r="K738" s="259" t="str">
        <f>HYPERLINK("https://okcountyrecords.com/detail/roger+mills/1907-005379","OKCountyRecords: 1907-005379")</f>
        <v>OKCountyRecords: 1907-005379</v>
      </c>
    </row>
    <row r="739" spans="1:11" ht="32.1" customHeight="1" x14ac:dyDescent="0.25">
      <c r="A739" s="278" t="s">
        <v>990</v>
      </c>
      <c r="B739" s="266"/>
      <c r="C739" s="266" t="s">
        <v>969</v>
      </c>
      <c r="D739" s="283" t="s">
        <v>5802</v>
      </c>
      <c r="E739" s="291"/>
      <c r="F739" s="295">
        <v>2755</v>
      </c>
      <c r="G739" s="287" t="s">
        <v>314</v>
      </c>
      <c r="H739" s="266" t="s">
        <v>328</v>
      </c>
      <c r="I739" s="268" t="s">
        <v>242</v>
      </c>
      <c r="J739" s="299" t="s">
        <v>985</v>
      </c>
      <c r="K739" s="259" t="str">
        <f>HYPERLINK("https://okcountyrecords.com/detail/roger+mills/1907-001545","OKCountyRecords: 1907-001545")</f>
        <v>OKCountyRecords: 1907-001545</v>
      </c>
    </row>
    <row r="740" spans="1:11" ht="32.1" customHeight="1" x14ac:dyDescent="0.25">
      <c r="A740" s="278" t="s">
        <v>992</v>
      </c>
      <c r="B740" s="266"/>
      <c r="C740" s="266" t="s">
        <v>993</v>
      </c>
      <c r="D740" s="283" t="s">
        <v>5805</v>
      </c>
      <c r="E740" s="291"/>
      <c r="F740" s="295">
        <v>2761</v>
      </c>
      <c r="G740" s="287" t="s">
        <v>995</v>
      </c>
      <c r="H740" s="266" t="s">
        <v>328</v>
      </c>
      <c r="I740" s="268" t="s">
        <v>242</v>
      </c>
      <c r="J740" s="299" t="s">
        <v>996</v>
      </c>
      <c r="K740" s="259" t="str">
        <f>HYPERLINK("https://okcountyrecords.com/detail/roger+mills/1907-002970","OKCountyRecords: 1907-002970")</f>
        <v>OKCountyRecords: 1907-002970</v>
      </c>
    </row>
    <row r="741" spans="1:11" ht="32.1" customHeight="1" x14ac:dyDescent="0.25">
      <c r="A741" s="278" t="s">
        <v>997</v>
      </c>
      <c r="B741" s="266"/>
      <c r="C741" s="266" t="s">
        <v>114</v>
      </c>
      <c r="D741" s="283" t="s">
        <v>5808</v>
      </c>
      <c r="E741" s="291"/>
      <c r="F741" s="295">
        <v>2893</v>
      </c>
      <c r="G741" s="287" t="s">
        <v>999</v>
      </c>
      <c r="H741" s="266" t="s">
        <v>1000</v>
      </c>
      <c r="I741" s="268" t="s">
        <v>242</v>
      </c>
      <c r="J741" s="299" t="s">
        <v>996</v>
      </c>
      <c r="K741" s="259" t="str">
        <f>HYPERLINK("https://okcountyrecords.com/detail/roger+mills/1907-000157","OKCountyRecords: 1907-000157")</f>
        <v>OKCountyRecords: 1907-000157</v>
      </c>
    </row>
    <row r="742" spans="1:11" ht="32.1" customHeight="1" x14ac:dyDescent="0.25">
      <c r="A742" s="278" t="s">
        <v>8623</v>
      </c>
      <c r="B742" s="266"/>
      <c r="C742" s="266" t="s">
        <v>114</v>
      </c>
      <c r="D742" s="283" t="s">
        <v>5808</v>
      </c>
      <c r="E742" s="291"/>
      <c r="F742" s="295">
        <v>2893</v>
      </c>
      <c r="G742" s="287" t="s">
        <v>999</v>
      </c>
      <c r="H742" s="266" t="s">
        <v>1000</v>
      </c>
      <c r="I742" s="268" t="s">
        <v>242</v>
      </c>
      <c r="J742" s="299" t="s">
        <v>996</v>
      </c>
      <c r="K742" s="259" t="str">
        <f>HYPERLINK("https://okcountyrecords.com/detail/roger+mills/1907-000158","OKCountyRecords: 1907-000158")</f>
        <v>OKCountyRecords: 1907-000158</v>
      </c>
    </row>
    <row r="743" spans="1:11" ht="32.1" customHeight="1" x14ac:dyDescent="0.25">
      <c r="A743" s="278" t="s">
        <v>1004</v>
      </c>
      <c r="B743" s="266"/>
      <c r="C743" s="266" t="s">
        <v>969</v>
      </c>
      <c r="D743" s="283" t="s">
        <v>4424</v>
      </c>
      <c r="E743" s="291"/>
      <c r="F743" s="295">
        <v>3189</v>
      </c>
      <c r="G743" s="287" t="s">
        <v>1006</v>
      </c>
      <c r="H743" s="266" t="s">
        <v>1007</v>
      </c>
      <c r="I743" s="268" t="s">
        <v>5812</v>
      </c>
      <c r="J743" s="299" t="s">
        <v>985</v>
      </c>
      <c r="K743" s="259" t="str">
        <f>HYPERLINK("https://okcountyrecords.com/detail/roger+mills/1908-000607","OKCountyRecords: 1908-000607")</f>
        <v>OKCountyRecords: 1908-000607</v>
      </c>
    </row>
    <row r="744" spans="1:11" ht="32.1" customHeight="1" x14ac:dyDescent="0.25">
      <c r="A744" s="278" t="s">
        <v>1008</v>
      </c>
      <c r="B744" s="266"/>
      <c r="C744" s="266" t="s">
        <v>993</v>
      </c>
      <c r="D744" s="283" t="s">
        <v>5814</v>
      </c>
      <c r="E744" s="291"/>
      <c r="F744" s="295">
        <v>3191</v>
      </c>
      <c r="G744" s="287" t="s">
        <v>1010</v>
      </c>
      <c r="H744" s="266" t="s">
        <v>1011</v>
      </c>
      <c r="I744" s="268" t="s">
        <v>5812</v>
      </c>
      <c r="J744" s="299" t="s">
        <v>996</v>
      </c>
      <c r="K744" s="259" t="str">
        <f>HYPERLINK("https://okcountyrecords.com/detail/roger+mills/1908-003103","OKCountyRecords: 1908-003103")</f>
        <v>OKCountyRecords: 1908-003103</v>
      </c>
    </row>
    <row r="745" spans="1:11" ht="32.1" customHeight="1" x14ac:dyDescent="0.25">
      <c r="A745" s="278" t="s">
        <v>8624</v>
      </c>
      <c r="B745" s="266"/>
      <c r="C745" s="266" t="s">
        <v>993</v>
      </c>
      <c r="D745" s="283" t="s">
        <v>5814</v>
      </c>
      <c r="E745" s="291"/>
      <c r="F745" s="295">
        <v>3191</v>
      </c>
      <c r="G745" s="287" t="s">
        <v>1010</v>
      </c>
      <c r="H745" s="266" t="s">
        <v>1011</v>
      </c>
      <c r="I745" s="268" t="s">
        <v>5812</v>
      </c>
      <c r="J745" s="299" t="s">
        <v>996</v>
      </c>
      <c r="K745" s="259" t="str">
        <f>HYPERLINK("https://okcountyrecords.com/detail/roger+mills/1908-003104","OKCountyRecords: 1908-003104")</f>
        <v>OKCountyRecords: 1908-003104</v>
      </c>
    </row>
    <row r="746" spans="1:11" ht="32.1" customHeight="1" x14ac:dyDescent="0.25">
      <c r="A746" s="278" t="s">
        <v>1013</v>
      </c>
      <c r="B746" s="266"/>
      <c r="C746" s="266" t="s">
        <v>993</v>
      </c>
      <c r="D746" s="283" t="s">
        <v>5817</v>
      </c>
      <c r="E746" s="291"/>
      <c r="F746" s="295">
        <v>3191</v>
      </c>
      <c r="G746" s="287" t="s">
        <v>1010</v>
      </c>
      <c r="H746" s="266" t="s">
        <v>1011</v>
      </c>
      <c r="I746" s="268" t="s">
        <v>5812</v>
      </c>
      <c r="J746" s="299" t="s">
        <v>996</v>
      </c>
      <c r="K746" s="259" t="str">
        <f>HYPERLINK("https://okcountyrecords.com/detail/roger+mills/1908-003105","OKCountyRecords: 1908-003105")</f>
        <v>OKCountyRecords: 1908-003105</v>
      </c>
    </row>
    <row r="747" spans="1:11" ht="32.1" customHeight="1" x14ac:dyDescent="0.25">
      <c r="A747" s="278" t="s">
        <v>8625</v>
      </c>
      <c r="B747" s="266"/>
      <c r="C747" s="266" t="s">
        <v>993</v>
      </c>
      <c r="D747" s="283" t="s">
        <v>5817</v>
      </c>
      <c r="E747" s="291"/>
      <c r="F747" s="295">
        <v>3191</v>
      </c>
      <c r="G747" s="287" t="s">
        <v>1010</v>
      </c>
      <c r="H747" s="266" t="s">
        <v>1011</v>
      </c>
      <c r="I747" s="268" t="s">
        <v>5812</v>
      </c>
      <c r="J747" s="299" t="s">
        <v>996</v>
      </c>
      <c r="K747" s="259" t="str">
        <f>HYPERLINK("https://okcountyrecords.com/detail/roger+mills/1908-003106","OKCountyRecords: 1908-003106")</f>
        <v>OKCountyRecords: 1908-003106</v>
      </c>
    </row>
    <row r="748" spans="1:11" ht="32.1" customHeight="1" x14ac:dyDescent="0.25">
      <c r="A748" s="278" t="s">
        <v>1015</v>
      </c>
      <c r="B748" s="266"/>
      <c r="C748" s="266" t="s">
        <v>114</v>
      </c>
      <c r="D748" s="283" t="s">
        <v>5819</v>
      </c>
      <c r="E748" s="291"/>
      <c r="F748" s="295">
        <v>3313</v>
      </c>
      <c r="G748" s="287" t="s">
        <v>999</v>
      </c>
      <c r="H748" s="266" t="s">
        <v>1017</v>
      </c>
      <c r="I748" s="268" t="s">
        <v>5812</v>
      </c>
      <c r="J748" s="299" t="s">
        <v>996</v>
      </c>
      <c r="K748" s="259" t="str">
        <f>HYPERLINK("https://okcountyrecords.com/detail/roger+mills/1909-000004","OKCountyRecords: 1909-000004")</f>
        <v>OKCountyRecords: 1909-000004</v>
      </c>
    </row>
    <row r="749" spans="1:11" ht="32.1" customHeight="1" x14ac:dyDescent="0.25">
      <c r="A749" s="278" t="s">
        <v>1018</v>
      </c>
      <c r="B749" s="266"/>
      <c r="C749" s="266" t="s">
        <v>981</v>
      </c>
      <c r="D749" s="283" t="s">
        <v>4326</v>
      </c>
      <c r="E749" s="291"/>
      <c r="F749" s="295">
        <v>3652</v>
      </c>
      <c r="G749" s="287" t="s">
        <v>983</v>
      </c>
      <c r="H749" s="266" t="s">
        <v>989</v>
      </c>
      <c r="I749" s="268" t="s">
        <v>242</v>
      </c>
      <c r="J749" s="299" t="s">
        <v>985</v>
      </c>
      <c r="K749" s="259" t="str">
        <f>HYPERLINK("https://okcountyrecords.com/detail/roger+mills/1909-002932","OKCountyRecords: 1909-002932")</f>
        <v>OKCountyRecords: 1909-002932</v>
      </c>
    </row>
    <row r="750" spans="1:11" ht="32.1" customHeight="1" x14ac:dyDescent="0.25">
      <c r="A750" s="278" t="s">
        <v>1020</v>
      </c>
      <c r="B750" s="266"/>
      <c r="C750" s="266" t="s">
        <v>114</v>
      </c>
      <c r="D750" s="283" t="s">
        <v>5824</v>
      </c>
      <c r="E750" s="291"/>
      <c r="F750" s="295">
        <v>3737</v>
      </c>
      <c r="G750" s="287" t="s">
        <v>1022</v>
      </c>
      <c r="H750" s="266" t="s">
        <v>1023</v>
      </c>
      <c r="I750" s="268" t="s">
        <v>5812</v>
      </c>
      <c r="J750" s="299" t="s">
        <v>996</v>
      </c>
      <c r="K750" s="259" t="str">
        <f>HYPERLINK("https://okcountyrecords.com/detail/roger+mills/1910-000114","OKCountyRecords: 1910-000114")</f>
        <v>OKCountyRecords: 1910-000114</v>
      </c>
    </row>
    <row r="751" spans="1:11" ht="32.1" customHeight="1" x14ac:dyDescent="0.25">
      <c r="A751" s="278" t="s">
        <v>1024</v>
      </c>
      <c r="B751" s="266"/>
      <c r="C751" s="266" t="s">
        <v>114</v>
      </c>
      <c r="D751" s="283" t="s">
        <v>5827</v>
      </c>
      <c r="E751" s="291"/>
      <c r="F751" s="295">
        <v>4163</v>
      </c>
      <c r="G751" s="287" t="s">
        <v>1026</v>
      </c>
      <c r="H751" s="266" t="s">
        <v>1027</v>
      </c>
      <c r="I751" s="268" t="s">
        <v>5812</v>
      </c>
      <c r="J751" s="299" t="s">
        <v>996</v>
      </c>
      <c r="K751" s="259" t="str">
        <f>HYPERLINK("https://okcountyrecords.com/detail/roger+mills/1911-000098","OKCountyRecords: 1911-000098")</f>
        <v>OKCountyRecords: 1911-000098</v>
      </c>
    </row>
    <row r="752" spans="1:11" ht="32.1" customHeight="1" x14ac:dyDescent="0.25">
      <c r="A752" s="278" t="s">
        <v>1028</v>
      </c>
      <c r="B752" s="266"/>
      <c r="C752" s="266" t="s">
        <v>969</v>
      </c>
      <c r="D752" s="283" t="s">
        <v>5830</v>
      </c>
      <c r="E752" s="291"/>
      <c r="F752" s="295">
        <v>4759</v>
      </c>
      <c r="G752" s="287" t="s">
        <v>1030</v>
      </c>
      <c r="H752" s="266" t="s">
        <v>317</v>
      </c>
      <c r="I752" s="268" t="s">
        <v>242</v>
      </c>
      <c r="J752" s="299" t="s">
        <v>985</v>
      </c>
      <c r="K752" s="259" t="str">
        <f>HYPERLINK("https://okcountyrecords.com/detail/roger+mills/1913-000413","OKCountyRecords: 1913-000413")</f>
        <v>OKCountyRecords: 1913-000413</v>
      </c>
    </row>
    <row r="753" spans="1:11" ht="32.1" customHeight="1" x14ac:dyDescent="0.25">
      <c r="A753" s="278" t="s">
        <v>1031</v>
      </c>
      <c r="B753" s="266"/>
      <c r="C753" s="266" t="s">
        <v>114</v>
      </c>
      <c r="D753" s="283" t="s">
        <v>5833</v>
      </c>
      <c r="E753" s="291"/>
      <c r="F753" s="295">
        <v>4820</v>
      </c>
      <c r="G753" s="287" t="s">
        <v>1022</v>
      </c>
      <c r="H753" s="266" t="s">
        <v>1033</v>
      </c>
      <c r="I753" s="268" t="s">
        <v>242</v>
      </c>
      <c r="J753" s="299" t="s">
        <v>996</v>
      </c>
      <c r="K753" s="259" t="str">
        <f>HYPERLINK("https://okcountyrecords.com/detail/roger+mills/1913-000024","OKCountyRecords: 1913-000024")</f>
        <v>OKCountyRecords: 1913-000024</v>
      </c>
    </row>
    <row r="754" spans="1:11" ht="32.1" customHeight="1" x14ac:dyDescent="0.25">
      <c r="A754" s="278" t="s">
        <v>1034</v>
      </c>
      <c r="B754" s="266"/>
      <c r="C754" s="266" t="s">
        <v>114</v>
      </c>
      <c r="D754" s="283" t="s">
        <v>5836</v>
      </c>
      <c r="E754" s="291"/>
      <c r="F754" s="295">
        <v>4839</v>
      </c>
      <c r="G754" s="287" t="s">
        <v>1036</v>
      </c>
      <c r="H754" s="266" t="s">
        <v>306</v>
      </c>
      <c r="I754" s="268" t="s">
        <v>5812</v>
      </c>
      <c r="J754" s="299" t="s">
        <v>996</v>
      </c>
      <c r="K754" s="259" t="str">
        <f>HYPERLINK("https://okcountyrecords.com/detail/roger+mills/1913-000133","OKCountyRecords: 1913-000133")</f>
        <v>OKCountyRecords: 1913-000133</v>
      </c>
    </row>
    <row r="755" spans="1:11" ht="32.1" customHeight="1" x14ac:dyDescent="0.25">
      <c r="A755" s="278" t="s">
        <v>1037</v>
      </c>
      <c r="B755" s="266"/>
      <c r="C755" s="266" t="s">
        <v>114</v>
      </c>
      <c r="D755" s="283" t="s">
        <v>5839</v>
      </c>
      <c r="E755" s="291"/>
      <c r="F755" s="295">
        <v>4852</v>
      </c>
      <c r="G755" s="287" t="s">
        <v>1022</v>
      </c>
      <c r="H755" s="266" t="s">
        <v>1039</v>
      </c>
      <c r="I755" s="268" t="s">
        <v>242</v>
      </c>
      <c r="J755" s="299" t="s">
        <v>996</v>
      </c>
      <c r="K755" s="259" t="str">
        <f>HYPERLINK("https://okcountyrecords.com/detail/roger+mills/1913-000192","OKCountyRecords: 1913-000192")</f>
        <v>OKCountyRecords: 1913-000192</v>
      </c>
    </row>
    <row r="756" spans="1:11" ht="32.1" customHeight="1" x14ac:dyDescent="0.25">
      <c r="A756" s="278" t="s">
        <v>1040</v>
      </c>
      <c r="B756" s="266"/>
      <c r="C756" s="266" t="s">
        <v>993</v>
      </c>
      <c r="D756" s="283" t="s">
        <v>5842</v>
      </c>
      <c r="E756" s="291"/>
      <c r="F756" s="295">
        <v>5287</v>
      </c>
      <c r="G756" s="287" t="s">
        <v>1042</v>
      </c>
      <c r="H756" s="266" t="s">
        <v>1043</v>
      </c>
      <c r="I756" s="268" t="s">
        <v>5812</v>
      </c>
      <c r="J756" s="299" t="s">
        <v>996</v>
      </c>
      <c r="K756" s="259" t="str">
        <f>HYPERLINK("https://okcountyrecords.com/detail/roger+mills/1914-002273","OKCountyRecords: 1914-002273")</f>
        <v>OKCountyRecords: 1914-002273</v>
      </c>
    </row>
    <row r="757" spans="1:11" ht="32.1" customHeight="1" x14ac:dyDescent="0.25">
      <c r="A757" s="278" t="s">
        <v>1044</v>
      </c>
      <c r="B757" s="266"/>
      <c r="C757" s="266" t="s">
        <v>993</v>
      </c>
      <c r="D757" s="283" t="s">
        <v>5845</v>
      </c>
      <c r="E757" s="291"/>
      <c r="F757" s="295">
        <v>5328</v>
      </c>
      <c r="G757" s="287" t="s">
        <v>1022</v>
      </c>
      <c r="H757" s="266" t="s">
        <v>1046</v>
      </c>
      <c r="I757" s="268" t="s">
        <v>5812</v>
      </c>
      <c r="J757" s="299" t="s">
        <v>996</v>
      </c>
      <c r="K757" s="259" t="str">
        <f>HYPERLINK("https://okcountyrecords.com/detail/roger+mills/1914-002098","OKCountyRecords: 1914-002098")</f>
        <v>OKCountyRecords: 1914-002098</v>
      </c>
    </row>
    <row r="758" spans="1:11" ht="32.1" customHeight="1" x14ac:dyDescent="0.25">
      <c r="A758" s="278" t="s">
        <v>1047</v>
      </c>
      <c r="B758" s="266"/>
      <c r="C758" s="266" t="s">
        <v>993</v>
      </c>
      <c r="D758" s="283" t="s">
        <v>5848</v>
      </c>
      <c r="E758" s="291"/>
      <c r="F758" s="295">
        <v>5340</v>
      </c>
      <c r="G758" s="287" t="s">
        <v>1049</v>
      </c>
      <c r="H758" s="266" t="s">
        <v>314</v>
      </c>
      <c r="I758" s="268" t="s">
        <v>242</v>
      </c>
      <c r="J758" s="299" t="s">
        <v>996</v>
      </c>
      <c r="K758" s="259" t="str">
        <f>HYPERLINK("https://okcountyrecords.com/detail/roger+mills/1914-002382","OKCountyRecords: 1914-002382")</f>
        <v>OKCountyRecords: 1914-002382</v>
      </c>
    </row>
    <row r="759" spans="1:11" ht="32.1" customHeight="1" x14ac:dyDescent="0.25">
      <c r="A759" s="278" t="s">
        <v>1050</v>
      </c>
      <c r="B759" s="266"/>
      <c r="C759" s="266" t="s">
        <v>114</v>
      </c>
      <c r="D759" s="283" t="s">
        <v>5851</v>
      </c>
      <c r="E759" s="291"/>
      <c r="F759" s="295">
        <v>5439</v>
      </c>
      <c r="G759" s="287" t="s">
        <v>1052</v>
      </c>
      <c r="H759" s="266" t="s">
        <v>1053</v>
      </c>
      <c r="I759" s="268" t="s">
        <v>242</v>
      </c>
      <c r="J759" s="299" t="s">
        <v>996</v>
      </c>
      <c r="K759" s="259" t="str">
        <f>HYPERLINK("https://okcountyrecords.com/detail/roger+mills/1914-000130","OKCountyRecords: 1914-000130")</f>
        <v>OKCountyRecords: 1914-000130</v>
      </c>
    </row>
    <row r="760" spans="1:11" ht="32.1" customHeight="1" x14ac:dyDescent="0.25">
      <c r="A760" s="278" t="s">
        <v>1054</v>
      </c>
      <c r="B760" s="266"/>
      <c r="C760" s="266" t="s">
        <v>993</v>
      </c>
      <c r="D760" s="283" t="s">
        <v>5854</v>
      </c>
      <c r="E760" s="291"/>
      <c r="F760" s="295">
        <v>5439</v>
      </c>
      <c r="G760" s="287" t="s">
        <v>1000</v>
      </c>
      <c r="H760" s="266" t="s">
        <v>1056</v>
      </c>
      <c r="I760" s="268" t="s">
        <v>242</v>
      </c>
      <c r="J760" s="299" t="s">
        <v>996</v>
      </c>
      <c r="K760" s="259" t="str">
        <f>HYPERLINK("https://okcountyrecords.com/detail/roger+mills/1914-002143","OKCountyRecords: 1914-002143")</f>
        <v>OKCountyRecords: 1914-002143</v>
      </c>
    </row>
    <row r="761" spans="1:11" ht="32.1" customHeight="1" x14ac:dyDescent="0.25">
      <c r="A761" s="278" t="s">
        <v>1057</v>
      </c>
      <c r="B761" s="266"/>
      <c r="C761" s="266" t="s">
        <v>238</v>
      </c>
      <c r="D761" s="283" t="s">
        <v>305</v>
      </c>
      <c r="E761" s="291"/>
      <c r="F761" s="295">
        <v>5913</v>
      </c>
      <c r="G761" s="287" t="s">
        <v>306</v>
      </c>
      <c r="H761" s="266" t="s">
        <v>307</v>
      </c>
      <c r="I761" s="268" t="s">
        <v>5812</v>
      </c>
      <c r="J761" s="299" t="s">
        <v>996</v>
      </c>
      <c r="K761" s="259" t="str">
        <f>HYPERLINK("https://okcountyrecords.com/detail/roger+mills/1916-001105","OKCountyRecords: 1916-001105")</f>
        <v>OKCountyRecords: 1916-001105</v>
      </c>
    </row>
    <row r="762" spans="1:11" ht="32.1" customHeight="1" x14ac:dyDescent="0.25">
      <c r="A762" s="278" t="s">
        <v>1059</v>
      </c>
      <c r="B762" s="266"/>
      <c r="C762" s="266" t="s">
        <v>969</v>
      </c>
      <c r="D762" s="283" t="s">
        <v>5858</v>
      </c>
      <c r="E762" s="291"/>
      <c r="F762" s="295">
        <v>5925</v>
      </c>
      <c r="G762" s="287" t="s">
        <v>1061</v>
      </c>
      <c r="H762" s="266" t="s">
        <v>1062</v>
      </c>
      <c r="I762" s="268" t="s">
        <v>5812</v>
      </c>
      <c r="J762" s="299" t="s">
        <v>985</v>
      </c>
      <c r="K762" s="259" t="str">
        <f>HYPERLINK("https://okcountyrecords.com/detail/roger+mills/1916-000332","OKCountyRecords: 1916-000332")</f>
        <v>OKCountyRecords: 1916-000332</v>
      </c>
    </row>
    <row r="763" spans="1:11" ht="32.1" customHeight="1" x14ac:dyDescent="0.25">
      <c r="A763" s="278" t="s">
        <v>1063</v>
      </c>
      <c r="B763" s="266"/>
      <c r="C763" s="266" t="s">
        <v>993</v>
      </c>
      <c r="D763" s="283" t="s">
        <v>5861</v>
      </c>
      <c r="E763" s="291"/>
      <c r="F763" s="295">
        <v>6271</v>
      </c>
      <c r="G763" s="287" t="s">
        <v>1000</v>
      </c>
      <c r="H763" s="266" t="s">
        <v>1065</v>
      </c>
      <c r="I763" s="268" t="s">
        <v>242</v>
      </c>
      <c r="J763" s="299" t="s">
        <v>996</v>
      </c>
      <c r="K763" s="259" t="str">
        <f>HYPERLINK("https://okcountyrecords.com/detail/roger+mills/1917-004125","OKCountyRecords: 1917-004125")</f>
        <v>OKCountyRecords: 1917-004125</v>
      </c>
    </row>
    <row r="764" spans="1:11" ht="32.1" customHeight="1" x14ac:dyDescent="0.25">
      <c r="A764" s="278" t="s">
        <v>1066</v>
      </c>
      <c r="B764" s="266"/>
      <c r="C764" s="266" t="s">
        <v>309</v>
      </c>
      <c r="D764" s="283" t="s">
        <v>5864</v>
      </c>
      <c r="E764" s="291"/>
      <c r="F764" s="295">
        <v>6333</v>
      </c>
      <c r="G764" s="287" t="s">
        <v>310</v>
      </c>
      <c r="H764" s="266" t="s">
        <v>1068</v>
      </c>
      <c r="I764" s="268" t="s">
        <v>5812</v>
      </c>
      <c r="J764" s="299" t="s">
        <v>996</v>
      </c>
      <c r="K764" s="259" t="str">
        <f>HYPERLINK("https://okcountyrecords.com/detail/roger+mills/1917-003351","OKCountyRecords: 1917-003351")</f>
        <v>OKCountyRecords: 1917-003351</v>
      </c>
    </row>
    <row r="765" spans="1:11" ht="32.1" customHeight="1" x14ac:dyDescent="0.25">
      <c r="A765" s="278" t="s">
        <v>1069</v>
      </c>
      <c r="B765" s="266"/>
      <c r="C765" s="266" t="s">
        <v>309</v>
      </c>
      <c r="D765" s="283" t="s">
        <v>5867</v>
      </c>
      <c r="E765" s="291"/>
      <c r="F765" s="295">
        <v>6333</v>
      </c>
      <c r="G765" s="287" t="s">
        <v>312</v>
      </c>
      <c r="H765" s="266" t="s">
        <v>1068</v>
      </c>
      <c r="I765" s="268" t="s">
        <v>242</v>
      </c>
      <c r="J765" s="299" t="s">
        <v>996</v>
      </c>
      <c r="K765" s="259" t="str">
        <f>HYPERLINK("https://okcountyrecords.com/detail/roger+mills/1917-003354","OKCountyRecords: 1917-003354")</f>
        <v>OKCountyRecords: 1917-003354</v>
      </c>
    </row>
    <row r="766" spans="1:11" ht="32.1" customHeight="1" x14ac:dyDescent="0.25">
      <c r="A766" s="278" t="s">
        <v>1071</v>
      </c>
      <c r="B766" s="266"/>
      <c r="C766" s="266" t="s">
        <v>309</v>
      </c>
      <c r="D766" s="283" t="s">
        <v>5869</v>
      </c>
      <c r="E766" s="291"/>
      <c r="F766" s="295">
        <v>6399</v>
      </c>
      <c r="G766" s="287" t="s">
        <v>314</v>
      </c>
      <c r="H766" s="266" t="s">
        <v>315</v>
      </c>
      <c r="I766" s="268" t="s">
        <v>242</v>
      </c>
      <c r="J766" s="299" t="s">
        <v>996</v>
      </c>
      <c r="K766" s="259" t="str">
        <f>HYPERLINK("https://okcountyrecords.com/detail/roger+mills/1917-003731","OKCountyRecords: 1917-003731")</f>
        <v>OKCountyRecords: 1917-003731</v>
      </c>
    </row>
    <row r="767" spans="1:11" ht="32.1" customHeight="1" x14ac:dyDescent="0.25">
      <c r="A767" s="278" t="s">
        <v>1073</v>
      </c>
      <c r="B767" s="266"/>
      <c r="C767" s="266" t="s">
        <v>309</v>
      </c>
      <c r="D767" s="283" t="s">
        <v>5872</v>
      </c>
      <c r="E767" s="291"/>
      <c r="F767" s="295">
        <v>6399</v>
      </c>
      <c r="G767" s="287" t="s">
        <v>316</v>
      </c>
      <c r="H767" s="266" t="s">
        <v>315</v>
      </c>
      <c r="I767" s="268" t="s">
        <v>242</v>
      </c>
      <c r="J767" s="299" t="s">
        <v>996</v>
      </c>
      <c r="K767" s="259" t="str">
        <f>HYPERLINK("https://okcountyrecords.com/detail/roger+mills/1917-003743","OKCountyRecords: 1917-003743")</f>
        <v>OKCountyRecords: 1917-003743</v>
      </c>
    </row>
    <row r="768" spans="1:11" ht="32.1" customHeight="1" x14ac:dyDescent="0.25">
      <c r="A768" s="278" t="s">
        <v>1075</v>
      </c>
      <c r="B768" s="266"/>
      <c r="C768" s="266" t="s">
        <v>993</v>
      </c>
      <c r="D768" s="283" t="s">
        <v>5874</v>
      </c>
      <c r="E768" s="291"/>
      <c r="F768" s="295">
        <v>6566</v>
      </c>
      <c r="G768" s="287" t="s">
        <v>1039</v>
      </c>
      <c r="H768" s="266" t="s">
        <v>1077</v>
      </c>
      <c r="I768" s="268" t="s">
        <v>242</v>
      </c>
      <c r="J768" s="299" t="s">
        <v>996</v>
      </c>
      <c r="K768" s="259" t="str">
        <f>HYPERLINK("https://okcountyrecords.com/detail/roger+mills/1917-004775","OKCountyRecords: 1917-004775")</f>
        <v>OKCountyRecords: 1917-004775</v>
      </c>
    </row>
    <row r="769" spans="1:11" ht="32.1" customHeight="1" x14ac:dyDescent="0.25">
      <c r="A769" s="278" t="s">
        <v>1078</v>
      </c>
      <c r="B769" s="266"/>
      <c r="C769" s="266" t="s">
        <v>993</v>
      </c>
      <c r="D769" s="283" t="s">
        <v>5877</v>
      </c>
      <c r="E769" s="291"/>
      <c r="F769" s="295">
        <v>6589</v>
      </c>
      <c r="G769" s="287" t="s">
        <v>1080</v>
      </c>
      <c r="H769" s="266" t="s">
        <v>314</v>
      </c>
      <c r="I769" s="268" t="s">
        <v>242</v>
      </c>
      <c r="J769" s="299" t="s">
        <v>996</v>
      </c>
      <c r="K769" s="259" t="str">
        <f>HYPERLINK("https://okcountyrecords.com/detail/roger+mills/1918-002463","OKCountyRecords: 1918-002463")</f>
        <v>OKCountyRecords: 1918-002463</v>
      </c>
    </row>
    <row r="770" spans="1:11" ht="32.1" customHeight="1" x14ac:dyDescent="0.25">
      <c r="A770" s="278" t="s">
        <v>1081</v>
      </c>
      <c r="B770" s="266"/>
      <c r="C770" s="266" t="s">
        <v>993</v>
      </c>
      <c r="D770" s="283" t="s">
        <v>5880</v>
      </c>
      <c r="E770" s="291"/>
      <c r="F770" s="295">
        <v>6596</v>
      </c>
      <c r="G770" s="287" t="s">
        <v>1052</v>
      </c>
      <c r="H770" s="266" t="s">
        <v>1083</v>
      </c>
      <c r="I770" s="268" t="s">
        <v>242</v>
      </c>
      <c r="J770" s="299" t="s">
        <v>996</v>
      </c>
      <c r="K770" s="259" t="str">
        <f>HYPERLINK("https://okcountyrecords.com/detail/roger+mills/1918-002091","OKCountyRecords: 1918-002091")</f>
        <v>OKCountyRecords: 1918-002091</v>
      </c>
    </row>
    <row r="771" spans="1:11" ht="32.1" customHeight="1" x14ac:dyDescent="0.25">
      <c r="A771" s="278" t="s">
        <v>1084</v>
      </c>
      <c r="B771" s="266"/>
      <c r="C771" s="266" t="s">
        <v>969</v>
      </c>
      <c r="D771" s="283" t="s">
        <v>5883</v>
      </c>
      <c r="E771" s="291"/>
      <c r="F771" s="295">
        <v>6887</v>
      </c>
      <c r="G771" s="287" t="s">
        <v>314</v>
      </c>
      <c r="H771" s="266" t="s">
        <v>1086</v>
      </c>
      <c r="I771" s="268" t="s">
        <v>242</v>
      </c>
      <c r="J771" s="299" t="s">
        <v>985</v>
      </c>
      <c r="K771" s="259" t="str">
        <f>HYPERLINK("https://okcountyrecords.com/detail/roger+mills/1918-000943","OKCountyRecords: 1918-000943")</f>
        <v>OKCountyRecords: 1918-000943</v>
      </c>
    </row>
    <row r="772" spans="1:11" ht="32.1" customHeight="1" x14ac:dyDescent="0.25">
      <c r="A772" s="278" t="s">
        <v>1087</v>
      </c>
      <c r="B772" s="266"/>
      <c r="C772" s="266" t="s">
        <v>993</v>
      </c>
      <c r="D772" s="283" t="s">
        <v>5886</v>
      </c>
      <c r="E772" s="291"/>
      <c r="F772" s="295">
        <v>6888</v>
      </c>
      <c r="G772" s="287" t="s">
        <v>1089</v>
      </c>
      <c r="H772" s="266" t="s">
        <v>314</v>
      </c>
      <c r="I772" s="268" t="s">
        <v>242</v>
      </c>
      <c r="J772" s="299" t="s">
        <v>996</v>
      </c>
      <c r="K772" s="259" t="str">
        <f>HYPERLINK("https://okcountyrecords.com/detail/roger+mills/1918-002849","OKCountyRecords: 1918-002849")</f>
        <v>OKCountyRecords: 1918-002849</v>
      </c>
    </row>
    <row r="773" spans="1:11" ht="32.1" customHeight="1" x14ac:dyDescent="0.25">
      <c r="A773" s="278" t="s">
        <v>1090</v>
      </c>
      <c r="B773" s="266"/>
      <c r="C773" s="266" t="s">
        <v>1091</v>
      </c>
      <c r="D773" s="283" t="s">
        <v>5889</v>
      </c>
      <c r="E773" s="291"/>
      <c r="F773" s="295">
        <v>6902</v>
      </c>
      <c r="G773" s="287" t="s">
        <v>1093</v>
      </c>
      <c r="H773" s="266" t="s">
        <v>1094</v>
      </c>
      <c r="I773" s="268" t="s">
        <v>242</v>
      </c>
      <c r="J773" s="299" t="s">
        <v>1095</v>
      </c>
      <c r="K773" s="259" t="str">
        <f>HYPERLINK("https://okcountyrecords.com/detail/roger+mills/1918-001215","OKCountyRecords: 1918-001215")</f>
        <v>OKCountyRecords: 1918-001215</v>
      </c>
    </row>
    <row r="774" spans="1:11" ht="32.1" customHeight="1" x14ac:dyDescent="0.25">
      <c r="A774" s="278" t="s">
        <v>1096</v>
      </c>
      <c r="B774" s="266"/>
      <c r="C774" s="266" t="s">
        <v>309</v>
      </c>
      <c r="D774" s="283" t="s">
        <v>5892</v>
      </c>
      <c r="E774" s="291"/>
      <c r="F774" s="295">
        <v>7090</v>
      </c>
      <c r="G774" s="287" t="s">
        <v>317</v>
      </c>
      <c r="H774" s="266" t="s">
        <v>318</v>
      </c>
      <c r="I774" s="268" t="s">
        <v>242</v>
      </c>
      <c r="J774" s="299" t="s">
        <v>996</v>
      </c>
      <c r="K774" s="259" t="str">
        <f>HYPERLINK("https://okcountyrecords.com/detail/roger+mills/1919-002106","OKCountyRecords: 1919-002106")</f>
        <v>OKCountyRecords: 1919-002106</v>
      </c>
    </row>
    <row r="775" spans="1:11" ht="32.1" customHeight="1" x14ac:dyDescent="0.25">
      <c r="A775" s="278" t="s">
        <v>1098</v>
      </c>
      <c r="B775" s="266"/>
      <c r="C775" s="266" t="s">
        <v>309</v>
      </c>
      <c r="D775" s="283" t="s">
        <v>5895</v>
      </c>
      <c r="E775" s="291"/>
      <c r="F775" s="295">
        <v>7116</v>
      </c>
      <c r="G775" s="287" t="s">
        <v>319</v>
      </c>
      <c r="H775" s="266" t="s">
        <v>320</v>
      </c>
      <c r="I775" s="268" t="s">
        <v>242</v>
      </c>
      <c r="J775" s="299" t="s">
        <v>996</v>
      </c>
      <c r="K775" s="259" t="str">
        <f>HYPERLINK("https://okcountyrecords.com/detail/roger+mills/1919-002150","OKCountyRecords: 1919-002150")</f>
        <v>OKCountyRecords: 1919-002150</v>
      </c>
    </row>
    <row r="776" spans="1:11" ht="32.1" customHeight="1" x14ac:dyDescent="0.25">
      <c r="A776" s="278" t="s">
        <v>1100</v>
      </c>
      <c r="B776" s="266"/>
      <c r="C776" s="266" t="s">
        <v>114</v>
      </c>
      <c r="D776" s="283" t="s">
        <v>5898</v>
      </c>
      <c r="E776" s="291"/>
      <c r="F776" s="295">
        <v>7291</v>
      </c>
      <c r="G776" s="287" t="s">
        <v>1023</v>
      </c>
      <c r="H776" s="266" t="s">
        <v>1102</v>
      </c>
      <c r="I776" s="268" t="s">
        <v>5812</v>
      </c>
      <c r="J776" s="299" t="s">
        <v>996</v>
      </c>
      <c r="K776" s="259" t="str">
        <f>HYPERLINK("https://okcountyrecords.com/detail/roger+mills/1919-000296","OKCountyRecords: 1919-000296")</f>
        <v>OKCountyRecords: 1919-000296</v>
      </c>
    </row>
    <row r="777" spans="1:11" ht="32.1" customHeight="1" x14ac:dyDescent="0.25">
      <c r="A777" s="278" t="s">
        <v>1103</v>
      </c>
      <c r="B777" s="266"/>
      <c r="C777" s="266" t="s">
        <v>969</v>
      </c>
      <c r="D777" s="283" t="s">
        <v>4425</v>
      </c>
      <c r="E777" s="291"/>
      <c r="F777" s="295">
        <v>7291</v>
      </c>
      <c r="G777" s="287" t="s">
        <v>1105</v>
      </c>
      <c r="H777" s="266" t="s">
        <v>1094</v>
      </c>
      <c r="I777" s="268" t="s">
        <v>242</v>
      </c>
      <c r="J777" s="299" t="s">
        <v>985</v>
      </c>
      <c r="K777" s="259" t="str">
        <f>HYPERLINK("https://okcountyrecords.com/detail/roger+mills/1919-000971","OKCountyRecords: 1919-000971")</f>
        <v>OKCountyRecords: 1919-000971</v>
      </c>
    </row>
    <row r="778" spans="1:11" ht="32.1" customHeight="1" x14ac:dyDescent="0.25">
      <c r="A778" s="278" t="s">
        <v>1106</v>
      </c>
      <c r="B778" s="266"/>
      <c r="C778" s="266" t="s">
        <v>1107</v>
      </c>
      <c r="D778" s="283" t="s">
        <v>5902</v>
      </c>
      <c r="E778" s="291"/>
      <c r="F778" s="295">
        <v>7291</v>
      </c>
      <c r="G778" s="287" t="s">
        <v>1109</v>
      </c>
      <c r="H778" s="266" t="s">
        <v>1110</v>
      </c>
      <c r="I778" s="268" t="s">
        <v>242</v>
      </c>
      <c r="J778" s="299" t="s">
        <v>1095</v>
      </c>
      <c r="K778" s="259" t="str">
        <f>HYPERLINK("https://okcountyrecords.com/detail/roger+mills/1919-001437","OKCountyRecords: 1919-001437")</f>
        <v>OKCountyRecords: 1919-001437</v>
      </c>
    </row>
    <row r="779" spans="1:11" ht="32.1" customHeight="1" x14ac:dyDescent="0.25">
      <c r="A779" s="278" t="s">
        <v>1111</v>
      </c>
      <c r="B779" s="266"/>
      <c r="C779" s="266" t="s">
        <v>993</v>
      </c>
      <c r="D779" s="283" t="s">
        <v>5904</v>
      </c>
      <c r="E779" s="291"/>
      <c r="F779" s="295">
        <v>7291</v>
      </c>
      <c r="G779" s="287" t="s">
        <v>1113</v>
      </c>
      <c r="H779" s="266" t="s">
        <v>1046</v>
      </c>
      <c r="I779" s="268" t="s">
        <v>242</v>
      </c>
      <c r="J779" s="299" t="s">
        <v>996</v>
      </c>
      <c r="K779" s="259" t="str">
        <f>HYPERLINK("https://okcountyrecords.com/detail/roger+mills/1919-003329","OKCountyRecords: 1919-003329")</f>
        <v>OKCountyRecords: 1919-003329</v>
      </c>
    </row>
    <row r="780" spans="1:11" ht="32.1" customHeight="1" x14ac:dyDescent="0.25">
      <c r="A780" s="278" t="s">
        <v>1114</v>
      </c>
      <c r="B780" s="266"/>
      <c r="C780" s="266" t="s">
        <v>114</v>
      </c>
      <c r="D780" s="283" t="s">
        <v>5906</v>
      </c>
      <c r="E780" s="291"/>
      <c r="F780" s="295">
        <v>7317</v>
      </c>
      <c r="G780" s="287" t="s">
        <v>1116</v>
      </c>
      <c r="H780" s="266" t="s">
        <v>1117</v>
      </c>
      <c r="I780" s="268" t="s">
        <v>242</v>
      </c>
      <c r="J780" s="299" t="s">
        <v>996</v>
      </c>
      <c r="K780" s="259" t="str">
        <f>HYPERLINK("https://okcountyrecords.com/detail/roger+mills/1920-000012","OKCountyRecords: 1920-000012")</f>
        <v>OKCountyRecords: 1920-000012</v>
      </c>
    </row>
    <row r="781" spans="1:11" ht="32.1" customHeight="1" x14ac:dyDescent="0.25">
      <c r="A781" s="278" t="s">
        <v>1118</v>
      </c>
      <c r="B781" s="266"/>
      <c r="C781" s="266" t="s">
        <v>309</v>
      </c>
      <c r="D781" s="283" t="s">
        <v>5909</v>
      </c>
      <c r="E781" s="291"/>
      <c r="F781" s="295">
        <v>7341</v>
      </c>
      <c r="G781" s="287" t="s">
        <v>321</v>
      </c>
      <c r="H781" s="266" t="s">
        <v>322</v>
      </c>
      <c r="I781" s="268" t="s">
        <v>5812</v>
      </c>
      <c r="J781" s="299" t="s">
        <v>996</v>
      </c>
      <c r="K781" s="259" t="str">
        <f>HYPERLINK("https://okcountyrecords.com/detail/roger+mills/1920-002046","OKCountyRecords: 1920-002046")</f>
        <v>OKCountyRecords: 1920-002046</v>
      </c>
    </row>
    <row r="782" spans="1:11" ht="32.1" customHeight="1" x14ac:dyDescent="0.25">
      <c r="A782" s="278" t="s">
        <v>1120</v>
      </c>
      <c r="B782" s="266"/>
      <c r="C782" s="266" t="s">
        <v>993</v>
      </c>
      <c r="D782" s="283" t="s">
        <v>5912</v>
      </c>
      <c r="E782" s="291"/>
      <c r="F782" s="295">
        <v>7663</v>
      </c>
      <c r="G782" s="287" t="s">
        <v>1052</v>
      </c>
      <c r="H782" s="266" t="s">
        <v>314</v>
      </c>
      <c r="I782" s="268" t="s">
        <v>242</v>
      </c>
      <c r="J782" s="299" t="s">
        <v>996</v>
      </c>
      <c r="K782" s="259" t="str">
        <f>HYPERLINK("https://okcountyrecords.com/detail/roger+mills/1920-003327","OKCountyRecords: 1920-003327")</f>
        <v>OKCountyRecords: 1920-003327</v>
      </c>
    </row>
    <row r="783" spans="1:11" ht="32.1" customHeight="1" x14ac:dyDescent="0.25">
      <c r="A783" s="278" t="s">
        <v>1122</v>
      </c>
      <c r="B783" s="266"/>
      <c r="C783" s="266" t="s">
        <v>993</v>
      </c>
      <c r="D783" s="283" t="s">
        <v>5915</v>
      </c>
      <c r="E783" s="291"/>
      <c r="F783" s="295">
        <v>7682</v>
      </c>
      <c r="G783" s="287" t="s">
        <v>1124</v>
      </c>
      <c r="H783" s="266" t="s">
        <v>1125</v>
      </c>
      <c r="I783" s="268" t="s">
        <v>5812</v>
      </c>
      <c r="J783" s="299" t="s">
        <v>996</v>
      </c>
      <c r="K783" s="259" t="str">
        <f>HYPERLINK("https://okcountyrecords.com/detail/roger+mills/1921-001533","OKCountyRecords: 1921-001533")</f>
        <v>OKCountyRecords: 1921-001533</v>
      </c>
    </row>
    <row r="784" spans="1:11" ht="32.1" customHeight="1" x14ac:dyDescent="0.25">
      <c r="A784" s="278" t="s">
        <v>1126</v>
      </c>
      <c r="B784" s="266"/>
      <c r="C784" s="266" t="s">
        <v>993</v>
      </c>
      <c r="D784" s="283" t="s">
        <v>5918</v>
      </c>
      <c r="E784" s="291"/>
      <c r="F784" s="295">
        <v>7750</v>
      </c>
      <c r="G784" s="287" t="s">
        <v>1124</v>
      </c>
      <c r="H784" s="266" t="s">
        <v>1128</v>
      </c>
      <c r="I784" s="268" t="s">
        <v>5812</v>
      </c>
      <c r="J784" s="299" t="s">
        <v>996</v>
      </c>
      <c r="K784" s="259" t="str">
        <f>HYPERLINK("https://okcountyrecords.com/detail/roger+mills/1921-001998","OKCountyRecords: 1921-001998")</f>
        <v>OKCountyRecords: 1921-001998</v>
      </c>
    </row>
    <row r="785" spans="1:11" ht="32.1" customHeight="1" x14ac:dyDescent="0.25">
      <c r="A785" s="278" t="s">
        <v>1129</v>
      </c>
      <c r="B785" s="266"/>
      <c r="C785" s="266" t="s">
        <v>969</v>
      </c>
      <c r="D785" s="283" t="s">
        <v>5921</v>
      </c>
      <c r="E785" s="291"/>
      <c r="F785" s="295">
        <v>7805</v>
      </c>
      <c r="G785" s="287" t="s">
        <v>319</v>
      </c>
      <c r="H785" s="266" t="s">
        <v>1131</v>
      </c>
      <c r="I785" s="268" t="s">
        <v>5812</v>
      </c>
      <c r="J785" s="299" t="s">
        <v>985</v>
      </c>
      <c r="K785" s="259" t="str">
        <f>HYPERLINK("https://okcountyrecords.com/detail/roger+mills/1921-000501","OKCountyRecords: 1921-000501")</f>
        <v>OKCountyRecords: 1921-000501</v>
      </c>
    </row>
    <row r="786" spans="1:11" ht="32.1" customHeight="1" x14ac:dyDescent="0.25">
      <c r="A786" s="278" t="s">
        <v>1132</v>
      </c>
      <c r="B786" s="266"/>
      <c r="C786" s="266" t="s">
        <v>969</v>
      </c>
      <c r="D786" s="283" t="s">
        <v>5924</v>
      </c>
      <c r="E786" s="291"/>
      <c r="F786" s="295">
        <v>7805</v>
      </c>
      <c r="G786" s="287" t="s">
        <v>1134</v>
      </c>
      <c r="H786" s="266" t="s">
        <v>1135</v>
      </c>
      <c r="I786" s="268" t="s">
        <v>5812</v>
      </c>
      <c r="J786" s="299" t="s">
        <v>985</v>
      </c>
      <c r="K786" s="259" t="str">
        <f>HYPERLINK("https://okcountyrecords.com/detail/roger+mills/1921-000502","OKCountyRecords: 1921-000502")</f>
        <v>OKCountyRecords: 1921-000502</v>
      </c>
    </row>
    <row r="787" spans="1:11" ht="32.1" customHeight="1" x14ac:dyDescent="0.25">
      <c r="A787" s="278" t="s">
        <v>1136</v>
      </c>
      <c r="B787" s="266"/>
      <c r="C787" s="266" t="s">
        <v>993</v>
      </c>
      <c r="D787" s="283" t="s">
        <v>5926</v>
      </c>
      <c r="E787" s="291"/>
      <c r="F787" s="295">
        <v>7807</v>
      </c>
      <c r="G787" s="287" t="s">
        <v>315</v>
      </c>
      <c r="H787" s="266" t="s">
        <v>1105</v>
      </c>
      <c r="I787" s="268" t="s">
        <v>242</v>
      </c>
      <c r="J787" s="299" t="s">
        <v>996</v>
      </c>
      <c r="K787" s="259" t="str">
        <f>HYPERLINK("https://okcountyrecords.com/detail/roger+mills/1921-001778","OKCountyRecords: 1921-001778")</f>
        <v>OKCountyRecords: 1921-001778</v>
      </c>
    </row>
    <row r="788" spans="1:11" ht="32.1" customHeight="1" x14ac:dyDescent="0.25">
      <c r="A788" s="278" t="s">
        <v>1138</v>
      </c>
      <c r="B788" s="266"/>
      <c r="C788" s="266" t="s">
        <v>993</v>
      </c>
      <c r="D788" s="283" t="s">
        <v>5929</v>
      </c>
      <c r="E788" s="291"/>
      <c r="F788" s="295">
        <v>7860</v>
      </c>
      <c r="G788" s="287" t="s">
        <v>318</v>
      </c>
      <c r="H788" s="266" t="s">
        <v>317</v>
      </c>
      <c r="I788" s="268" t="s">
        <v>242</v>
      </c>
      <c r="J788" s="299" t="s">
        <v>996</v>
      </c>
      <c r="K788" s="259" t="str">
        <f>HYPERLINK("https://okcountyrecords.com/detail/roger+mills/1921-001835","OKCountyRecords: 1921-001835")</f>
        <v>OKCountyRecords: 1921-001835</v>
      </c>
    </row>
    <row r="789" spans="1:11" ht="32.1" customHeight="1" x14ac:dyDescent="0.25">
      <c r="A789" s="278" t="s">
        <v>1140</v>
      </c>
      <c r="B789" s="266"/>
      <c r="C789" s="266" t="s">
        <v>969</v>
      </c>
      <c r="D789" s="283" t="s">
        <v>5932</v>
      </c>
      <c r="E789" s="291"/>
      <c r="F789" s="295">
        <v>8121</v>
      </c>
      <c r="G789" s="287" t="s">
        <v>317</v>
      </c>
      <c r="H789" s="266" t="s">
        <v>1142</v>
      </c>
      <c r="I789" s="268" t="s">
        <v>242</v>
      </c>
      <c r="J789" s="299" t="s">
        <v>985</v>
      </c>
      <c r="K789" s="259" t="str">
        <f>HYPERLINK("https://okcountyrecords.com/detail/roger+mills/1922-000463","OKCountyRecords: 1922-000463")</f>
        <v>OKCountyRecords: 1922-000463</v>
      </c>
    </row>
    <row r="790" spans="1:11" ht="32.1" customHeight="1" x14ac:dyDescent="0.25">
      <c r="A790" s="278" t="s">
        <v>1143</v>
      </c>
      <c r="B790" s="266"/>
      <c r="C790" s="266" t="s">
        <v>993</v>
      </c>
      <c r="D790" s="283" t="s">
        <v>5935</v>
      </c>
      <c r="E790" s="291"/>
      <c r="F790" s="295">
        <v>8121</v>
      </c>
      <c r="G790" s="287" t="s">
        <v>1033</v>
      </c>
      <c r="H790" s="266" t="s">
        <v>1030</v>
      </c>
      <c r="I790" s="268" t="s">
        <v>242</v>
      </c>
      <c r="J790" s="299" t="s">
        <v>996</v>
      </c>
      <c r="K790" s="259" t="str">
        <f>HYPERLINK("https://okcountyrecords.com/detail/roger+mills/1922-001969","OKCountyRecords: 1922-001969")</f>
        <v>OKCountyRecords: 1922-001969</v>
      </c>
    </row>
    <row r="791" spans="1:11" ht="32.1" customHeight="1" x14ac:dyDescent="0.25">
      <c r="A791" s="278" t="s">
        <v>1145</v>
      </c>
      <c r="B791" s="266"/>
      <c r="C791" s="266" t="s">
        <v>993</v>
      </c>
      <c r="D791" s="283" t="s">
        <v>5937</v>
      </c>
      <c r="E791" s="291"/>
      <c r="F791" s="295">
        <v>8143</v>
      </c>
      <c r="G791" s="287" t="s">
        <v>1147</v>
      </c>
      <c r="H791" s="266" t="s">
        <v>1011</v>
      </c>
      <c r="I791" s="268" t="s">
        <v>5812</v>
      </c>
      <c r="J791" s="299" t="s">
        <v>996</v>
      </c>
      <c r="K791" s="259" t="str">
        <f>HYPERLINK("https://okcountyrecords.com/detail/roger+mills/1922-001979","OKCountyRecords: 1922-001979")</f>
        <v>OKCountyRecords: 1922-001979</v>
      </c>
    </row>
    <row r="792" spans="1:11" ht="32.1" customHeight="1" x14ac:dyDescent="0.25">
      <c r="A792" s="278" t="s">
        <v>1148</v>
      </c>
      <c r="B792" s="266"/>
      <c r="C792" s="266" t="s">
        <v>114</v>
      </c>
      <c r="D792" s="283" t="s">
        <v>5940</v>
      </c>
      <c r="E792" s="291"/>
      <c r="F792" s="295">
        <v>8508</v>
      </c>
      <c r="G792" s="287" t="s">
        <v>1086</v>
      </c>
      <c r="H792" s="266" t="s">
        <v>331</v>
      </c>
      <c r="I792" s="268" t="s">
        <v>242</v>
      </c>
      <c r="J792" s="299" t="s">
        <v>996</v>
      </c>
      <c r="K792" s="259" t="str">
        <f>HYPERLINK("https://okcountyrecords.com/detail/roger+mills/1923-001298","OKCountyRecords: 1923-001298")</f>
        <v>OKCountyRecords: 1923-001298</v>
      </c>
    </row>
    <row r="793" spans="1:11" ht="32.1" customHeight="1" x14ac:dyDescent="0.25">
      <c r="A793" s="278" t="s">
        <v>1150</v>
      </c>
      <c r="B793" s="266"/>
      <c r="C793" s="266" t="s">
        <v>309</v>
      </c>
      <c r="D793" s="283" t="s">
        <v>5943</v>
      </c>
      <c r="E793" s="291"/>
      <c r="F793" s="295">
        <v>8513</v>
      </c>
      <c r="G793" s="287" t="s">
        <v>323</v>
      </c>
      <c r="H793" s="266" t="s">
        <v>324</v>
      </c>
      <c r="I793" s="268" t="s">
        <v>242</v>
      </c>
      <c r="J793" s="299" t="s">
        <v>996</v>
      </c>
      <c r="K793" s="259" t="str">
        <f>HYPERLINK("https://okcountyrecords.com/detail/roger+mills/1923-002282","OKCountyRecords: 1923-002282")</f>
        <v>OKCountyRecords: 1923-002282</v>
      </c>
    </row>
    <row r="794" spans="1:11" ht="32.1" customHeight="1" x14ac:dyDescent="0.25">
      <c r="A794" s="278" t="s">
        <v>1152</v>
      </c>
      <c r="B794" s="266"/>
      <c r="C794" s="266" t="s">
        <v>1107</v>
      </c>
      <c r="D794" s="283" t="s">
        <v>5946</v>
      </c>
      <c r="E794" s="291"/>
      <c r="F794" s="295">
        <v>8518</v>
      </c>
      <c r="G794" s="287" t="s">
        <v>1154</v>
      </c>
      <c r="H794" s="266" t="s">
        <v>1110</v>
      </c>
      <c r="I794" s="268" t="s">
        <v>242</v>
      </c>
      <c r="J794" s="299" t="s">
        <v>1095</v>
      </c>
      <c r="K794" s="259" t="str">
        <f>HYPERLINK("https://okcountyrecords.com/detail/roger+mills/1923-001306","OKCountyRecords: 1923-001306")</f>
        <v>OKCountyRecords: 1923-001306</v>
      </c>
    </row>
    <row r="795" spans="1:11" ht="32.1" customHeight="1" x14ac:dyDescent="0.25">
      <c r="A795" s="278" t="s">
        <v>1155</v>
      </c>
      <c r="B795" s="266"/>
      <c r="C795" s="266" t="s">
        <v>969</v>
      </c>
      <c r="D795" s="283" t="s">
        <v>5949</v>
      </c>
      <c r="E795" s="291"/>
      <c r="F795" s="295">
        <v>9137</v>
      </c>
      <c r="G795" s="287" t="s">
        <v>1157</v>
      </c>
      <c r="H795" s="266" t="s">
        <v>1158</v>
      </c>
      <c r="I795" s="268" t="s">
        <v>242</v>
      </c>
      <c r="J795" s="299" t="s">
        <v>985</v>
      </c>
      <c r="K795" s="259" t="str">
        <f>HYPERLINK("https://okcountyrecords.com/detail/roger+mills/1925-000406","OKCountyRecords: 1925-000406")</f>
        <v>OKCountyRecords: 1925-000406</v>
      </c>
    </row>
    <row r="796" spans="1:11" ht="32.1" customHeight="1" x14ac:dyDescent="0.25">
      <c r="A796" s="278" t="s">
        <v>1159</v>
      </c>
      <c r="B796" s="266"/>
      <c r="C796" s="266" t="s">
        <v>993</v>
      </c>
      <c r="D796" s="283" t="s">
        <v>5952</v>
      </c>
      <c r="E796" s="291"/>
      <c r="F796" s="295">
        <v>9801</v>
      </c>
      <c r="G796" s="287" t="s">
        <v>1116</v>
      </c>
      <c r="H796" s="266" t="s">
        <v>1161</v>
      </c>
      <c r="I796" s="268" t="s">
        <v>242</v>
      </c>
      <c r="J796" s="299" t="s">
        <v>996</v>
      </c>
      <c r="K796" s="259" t="str">
        <f>HYPERLINK("https://okcountyrecords.com/detail/roger+mills/1926-001354","OKCountyRecords: 1926-001354")</f>
        <v>OKCountyRecords: 1926-001354</v>
      </c>
    </row>
    <row r="797" spans="1:11" ht="32.1" customHeight="1" x14ac:dyDescent="0.25">
      <c r="A797" s="278" t="s">
        <v>1162</v>
      </c>
      <c r="B797" s="266"/>
      <c r="C797" s="266" t="s">
        <v>969</v>
      </c>
      <c r="D797" s="283" t="s">
        <v>4340</v>
      </c>
      <c r="E797" s="291"/>
      <c r="F797" s="295">
        <v>10077</v>
      </c>
      <c r="G797" s="287" t="s">
        <v>328</v>
      </c>
      <c r="H797" s="266" t="s">
        <v>1164</v>
      </c>
      <c r="I797" s="268" t="s">
        <v>242</v>
      </c>
      <c r="J797" s="299" t="s">
        <v>985</v>
      </c>
      <c r="K797" s="259" t="str">
        <f>HYPERLINK("https://okcountyrecords.com/detail/roger+mills/1927-000706","OKCountyRecords: 1927-000706")</f>
        <v>OKCountyRecords: 1927-000706</v>
      </c>
    </row>
    <row r="798" spans="1:11" ht="32.1" customHeight="1" x14ac:dyDescent="0.25">
      <c r="A798" s="278" t="s">
        <v>1165</v>
      </c>
      <c r="B798" s="266"/>
      <c r="C798" s="266" t="s">
        <v>969</v>
      </c>
      <c r="D798" s="283" t="s">
        <v>5957</v>
      </c>
      <c r="E798" s="291"/>
      <c r="F798" s="295">
        <v>10077</v>
      </c>
      <c r="G798" s="287" t="s">
        <v>1167</v>
      </c>
      <c r="H798" s="266" t="s">
        <v>1168</v>
      </c>
      <c r="I798" s="268" t="s">
        <v>242</v>
      </c>
      <c r="J798" s="299" t="s">
        <v>985</v>
      </c>
      <c r="K798" s="259" t="str">
        <f>HYPERLINK("https://okcountyrecords.com/detail/roger+mills/1927-000712","OKCountyRecords: 1927-000712")</f>
        <v>OKCountyRecords: 1927-000712</v>
      </c>
    </row>
    <row r="799" spans="1:11" ht="32.1" customHeight="1" x14ac:dyDescent="0.25">
      <c r="A799" s="278" t="s">
        <v>1170</v>
      </c>
      <c r="B799" s="266"/>
      <c r="C799" s="266" t="s">
        <v>993</v>
      </c>
      <c r="D799" s="283" t="s">
        <v>5959</v>
      </c>
      <c r="E799" s="291"/>
      <c r="F799" s="295">
        <v>10238</v>
      </c>
      <c r="G799" s="287" t="s">
        <v>1052</v>
      </c>
      <c r="H799" s="266" t="s">
        <v>314</v>
      </c>
      <c r="I799" s="268" t="s">
        <v>242</v>
      </c>
      <c r="J799" s="299" t="s">
        <v>996</v>
      </c>
      <c r="K799" s="259" t="str">
        <f>HYPERLINK("https://okcountyrecords.com/detail/roger+mills/1928-002014","OKCountyRecords: 1928-002014")</f>
        <v>OKCountyRecords: 1928-002014</v>
      </c>
    </row>
    <row r="800" spans="1:11" ht="32.1" customHeight="1" x14ac:dyDescent="0.25">
      <c r="A800" s="278" t="s">
        <v>1172</v>
      </c>
      <c r="B800" s="266"/>
      <c r="C800" s="266" t="s">
        <v>993</v>
      </c>
      <c r="D800" s="283" t="s">
        <v>5962</v>
      </c>
      <c r="E800" s="291"/>
      <c r="F800" s="295">
        <v>10920</v>
      </c>
      <c r="G800" s="287" t="s">
        <v>1116</v>
      </c>
      <c r="H800" s="266" t="s">
        <v>329</v>
      </c>
      <c r="I800" s="268" t="s">
        <v>242</v>
      </c>
      <c r="J800" s="299" t="s">
        <v>996</v>
      </c>
      <c r="K800" s="259" t="str">
        <f>HYPERLINK("https://okcountyrecords.com/detail/roger+mills/1929-002475","OKCountyRecords: 1929-002475")</f>
        <v>OKCountyRecords: 1929-002475</v>
      </c>
    </row>
    <row r="801" spans="1:11" ht="32.1" customHeight="1" x14ac:dyDescent="0.25">
      <c r="A801" s="278" t="s">
        <v>1174</v>
      </c>
      <c r="B801" s="266"/>
      <c r="C801" s="266" t="s">
        <v>993</v>
      </c>
      <c r="D801" s="283" t="s">
        <v>5965</v>
      </c>
      <c r="E801" s="291"/>
      <c r="F801" s="295">
        <v>10964</v>
      </c>
      <c r="G801" s="287" t="s">
        <v>1176</v>
      </c>
      <c r="H801" s="266" t="s">
        <v>1128</v>
      </c>
      <c r="I801" s="268" t="s">
        <v>5812</v>
      </c>
      <c r="J801" s="299" t="s">
        <v>996</v>
      </c>
      <c r="K801" s="259" t="str">
        <f>HYPERLINK("https://okcountyrecords.com/detail/roger+mills/1930-003190","OKCountyRecords: 1930-003190")</f>
        <v>OKCountyRecords: 1930-003190</v>
      </c>
    </row>
    <row r="802" spans="1:11" ht="32.1" customHeight="1" x14ac:dyDescent="0.25">
      <c r="A802" s="278" t="s">
        <v>1177</v>
      </c>
      <c r="B802" s="266"/>
      <c r="C802" s="266" t="s">
        <v>981</v>
      </c>
      <c r="D802" s="283" t="s">
        <v>4149</v>
      </c>
      <c r="E802" s="291"/>
      <c r="F802" s="295">
        <v>11021</v>
      </c>
      <c r="G802" s="287" t="s">
        <v>983</v>
      </c>
      <c r="H802" s="266" t="s">
        <v>1179</v>
      </c>
      <c r="I802" s="268" t="s">
        <v>5812</v>
      </c>
      <c r="J802" s="299" t="s">
        <v>985</v>
      </c>
      <c r="K802" s="259" t="str">
        <f>HYPERLINK("https://okcountyrecords.com/detail/roger+mills/1930-002914","OKCountyRecords: 1930-002914")</f>
        <v>OKCountyRecords: 1930-002914</v>
      </c>
    </row>
    <row r="803" spans="1:11" ht="32.1" customHeight="1" x14ac:dyDescent="0.25">
      <c r="A803" s="278" t="s">
        <v>1180</v>
      </c>
      <c r="B803" s="266"/>
      <c r="C803" s="266" t="s">
        <v>993</v>
      </c>
      <c r="D803" s="283" t="s">
        <v>5970</v>
      </c>
      <c r="E803" s="291"/>
      <c r="F803" s="295">
        <v>11069</v>
      </c>
      <c r="G803" s="287" t="s">
        <v>1176</v>
      </c>
      <c r="H803" s="266" t="s">
        <v>1128</v>
      </c>
      <c r="I803" s="268" t="s">
        <v>5812</v>
      </c>
      <c r="J803" s="299" t="s">
        <v>996</v>
      </c>
      <c r="K803" s="259" t="str">
        <f>HYPERLINK("https://okcountyrecords.com/detail/roger+mills/1930-003271","OKCountyRecords: 1930-003271")</f>
        <v>OKCountyRecords: 1930-003271</v>
      </c>
    </row>
    <row r="804" spans="1:11" ht="32.1" customHeight="1" x14ac:dyDescent="0.25">
      <c r="A804" s="278" t="s">
        <v>1182</v>
      </c>
      <c r="B804" s="266"/>
      <c r="C804" s="266" t="s">
        <v>1091</v>
      </c>
      <c r="D804" s="283" t="s">
        <v>5973</v>
      </c>
      <c r="E804" s="291"/>
      <c r="F804" s="295">
        <v>11139</v>
      </c>
      <c r="G804" s="287" t="s">
        <v>1184</v>
      </c>
      <c r="H804" s="266" t="s">
        <v>1110</v>
      </c>
      <c r="I804" s="268" t="s">
        <v>5812</v>
      </c>
      <c r="J804" s="299" t="s">
        <v>1095</v>
      </c>
      <c r="K804" s="259" t="str">
        <f>HYPERLINK("https://okcountyrecords.com/detail/roger+mills/1930-001678","OKCountyRecords: 1930-001678")</f>
        <v>OKCountyRecords: 1930-001678</v>
      </c>
    </row>
    <row r="805" spans="1:11" ht="32.1" customHeight="1" x14ac:dyDescent="0.25">
      <c r="A805" s="278" t="s">
        <v>1185</v>
      </c>
      <c r="B805" s="266"/>
      <c r="C805" s="266" t="s">
        <v>1091</v>
      </c>
      <c r="D805" s="283" t="s">
        <v>5976</v>
      </c>
      <c r="E805" s="291"/>
      <c r="F805" s="295">
        <v>11164</v>
      </c>
      <c r="G805" s="287" t="s">
        <v>326</v>
      </c>
      <c r="H805" s="266" t="s">
        <v>1110</v>
      </c>
      <c r="I805" s="268" t="s">
        <v>5812</v>
      </c>
      <c r="J805" s="299" t="s">
        <v>1095</v>
      </c>
      <c r="K805" s="259" t="str">
        <f>HYPERLINK("https://okcountyrecords.com/detail/roger+mills/1930-001681","OKCountyRecords: 1930-001681")</f>
        <v>OKCountyRecords: 1930-001681</v>
      </c>
    </row>
    <row r="806" spans="1:11" ht="32.1" customHeight="1" x14ac:dyDescent="0.25">
      <c r="A806" s="278" t="s">
        <v>1187</v>
      </c>
      <c r="B806" s="266"/>
      <c r="C806" s="266" t="s">
        <v>309</v>
      </c>
      <c r="D806" s="283" t="s">
        <v>5979</v>
      </c>
      <c r="E806" s="291"/>
      <c r="F806" s="295">
        <v>11164</v>
      </c>
      <c r="G806" s="287" t="s">
        <v>325</v>
      </c>
      <c r="H806" s="266" t="s">
        <v>326</v>
      </c>
      <c r="I806" s="268" t="s">
        <v>5812</v>
      </c>
      <c r="J806" s="299" t="s">
        <v>996</v>
      </c>
      <c r="K806" s="259" t="str">
        <f>HYPERLINK("https://okcountyrecords.com/detail/roger+mills/1930-002708","OKCountyRecords: 1930-002708")</f>
        <v>OKCountyRecords: 1930-002708</v>
      </c>
    </row>
    <row r="807" spans="1:11" ht="32.1" customHeight="1" x14ac:dyDescent="0.25">
      <c r="A807" s="278" t="s">
        <v>1189</v>
      </c>
      <c r="B807" s="266"/>
      <c r="C807" s="266" t="s">
        <v>309</v>
      </c>
      <c r="D807" s="283" t="s">
        <v>5981</v>
      </c>
      <c r="E807" s="291"/>
      <c r="F807" s="295">
        <v>11174</v>
      </c>
      <c r="G807" s="287" t="s">
        <v>327</v>
      </c>
      <c r="H807" s="266" t="s">
        <v>326</v>
      </c>
      <c r="I807" s="268" t="s">
        <v>242</v>
      </c>
      <c r="J807" s="299" t="s">
        <v>996</v>
      </c>
      <c r="K807" s="259" t="str">
        <f>HYPERLINK("https://okcountyrecords.com/detail/roger+mills/1930-002773","OKCountyRecords: 1930-002773")</f>
        <v>OKCountyRecords: 1930-002773</v>
      </c>
    </row>
    <row r="808" spans="1:11" ht="32.1" customHeight="1" x14ac:dyDescent="0.25">
      <c r="A808" s="278" t="s">
        <v>1191</v>
      </c>
      <c r="B808" s="266"/>
      <c r="C808" s="266" t="s">
        <v>309</v>
      </c>
      <c r="D808" s="283" t="s">
        <v>5984</v>
      </c>
      <c r="E808" s="291"/>
      <c r="F808" s="295">
        <v>11177</v>
      </c>
      <c r="G808" s="287" t="s">
        <v>328</v>
      </c>
      <c r="H808" s="266" t="s">
        <v>326</v>
      </c>
      <c r="I808" s="268" t="s">
        <v>242</v>
      </c>
      <c r="J808" s="299" t="s">
        <v>996</v>
      </c>
      <c r="K808" s="259" t="str">
        <f>HYPERLINK("https://okcountyrecords.com/detail/roger+mills/1930-002771","OKCountyRecords: 1930-002771")</f>
        <v>OKCountyRecords: 1930-002771</v>
      </c>
    </row>
    <row r="809" spans="1:11" ht="32.1" customHeight="1" x14ac:dyDescent="0.25">
      <c r="A809" s="278" t="s">
        <v>1193</v>
      </c>
      <c r="B809" s="266"/>
      <c r="C809" s="266" t="s">
        <v>309</v>
      </c>
      <c r="D809" s="283" t="s">
        <v>5987</v>
      </c>
      <c r="E809" s="291"/>
      <c r="F809" s="295">
        <v>11223</v>
      </c>
      <c r="G809" s="287" t="s">
        <v>329</v>
      </c>
      <c r="H809" s="266" t="s">
        <v>326</v>
      </c>
      <c r="I809" s="268" t="s">
        <v>242</v>
      </c>
      <c r="J809" s="299" t="s">
        <v>996</v>
      </c>
      <c r="K809" s="259" t="str">
        <f>HYPERLINK("https://okcountyrecords.com/detail/roger+mills/1930-002803","OKCountyRecords: 1930-002803")</f>
        <v>OKCountyRecords: 1930-002803</v>
      </c>
    </row>
    <row r="810" spans="1:11" ht="32.1" customHeight="1" x14ac:dyDescent="0.25">
      <c r="A810" s="278" t="s">
        <v>1195</v>
      </c>
      <c r="B810" s="266"/>
      <c r="C810" s="266" t="s">
        <v>1196</v>
      </c>
      <c r="D810" s="283" t="s">
        <v>5990</v>
      </c>
      <c r="E810" s="291"/>
      <c r="F810" s="295">
        <v>11237</v>
      </c>
      <c r="G810" s="287" t="s">
        <v>327</v>
      </c>
      <c r="H810" s="266" t="s">
        <v>326</v>
      </c>
      <c r="I810" s="268" t="s">
        <v>242</v>
      </c>
      <c r="J810" s="299" t="s">
        <v>1095</v>
      </c>
      <c r="K810" s="259" t="str">
        <f>HYPERLINK("https://okcountyrecords.com/detail/roger+mills/1930-001789","OKCountyRecords: 1930-001789")</f>
        <v>OKCountyRecords: 1930-001789</v>
      </c>
    </row>
    <row r="811" spans="1:11" ht="32.1" customHeight="1" x14ac:dyDescent="0.25">
      <c r="A811" s="278" t="s">
        <v>1198</v>
      </c>
      <c r="B811" s="266"/>
      <c r="C811" s="266" t="s">
        <v>1196</v>
      </c>
      <c r="D811" s="283" t="s">
        <v>5993</v>
      </c>
      <c r="E811" s="291"/>
      <c r="F811" s="295">
        <v>11237</v>
      </c>
      <c r="G811" s="287" t="s">
        <v>325</v>
      </c>
      <c r="H811" s="266" t="s">
        <v>326</v>
      </c>
      <c r="I811" s="268" t="s">
        <v>5812</v>
      </c>
      <c r="J811" s="299" t="s">
        <v>1095</v>
      </c>
      <c r="K811" s="259" t="str">
        <f>HYPERLINK("https://okcountyrecords.com/detail/roger+mills/1930-001819","OKCountyRecords: 1930-001819")</f>
        <v>OKCountyRecords: 1930-001819</v>
      </c>
    </row>
    <row r="812" spans="1:11" ht="32.1" customHeight="1" x14ac:dyDescent="0.25">
      <c r="A812" s="278" t="s">
        <v>1200</v>
      </c>
      <c r="B812" s="266"/>
      <c r="C812" s="266" t="s">
        <v>309</v>
      </c>
      <c r="D812" s="283" t="s">
        <v>5995</v>
      </c>
      <c r="E812" s="291"/>
      <c r="F812" s="295">
        <v>11260</v>
      </c>
      <c r="G812" s="287" t="s">
        <v>330</v>
      </c>
      <c r="H812" s="266" t="s">
        <v>326</v>
      </c>
      <c r="I812" s="268" t="s">
        <v>242</v>
      </c>
      <c r="J812" s="299" t="s">
        <v>996</v>
      </c>
      <c r="K812" s="259" t="str">
        <f>HYPERLINK("https://okcountyrecords.com/detail/roger+mills/1930-002841","OKCountyRecords: 1930-002841")</f>
        <v>OKCountyRecords: 1930-002841</v>
      </c>
    </row>
    <row r="813" spans="1:11" ht="32.1" customHeight="1" x14ac:dyDescent="0.25">
      <c r="A813" s="278" t="s">
        <v>1202</v>
      </c>
      <c r="B813" s="266"/>
      <c r="C813" s="266" t="s">
        <v>309</v>
      </c>
      <c r="D813" s="283" t="s">
        <v>5998</v>
      </c>
      <c r="E813" s="291"/>
      <c r="F813" s="295">
        <v>11272</v>
      </c>
      <c r="G813" s="287" t="s">
        <v>331</v>
      </c>
      <c r="H813" s="266" t="s">
        <v>326</v>
      </c>
      <c r="I813" s="268" t="s">
        <v>242</v>
      </c>
      <c r="J813" s="299" t="s">
        <v>996</v>
      </c>
      <c r="K813" s="259" t="str">
        <f>HYPERLINK("https://okcountyrecords.com/detail/roger+mills/1930-002854","OKCountyRecords: 1930-002854")</f>
        <v>OKCountyRecords: 1930-002854</v>
      </c>
    </row>
    <row r="814" spans="1:11" ht="32.1" customHeight="1" x14ac:dyDescent="0.25">
      <c r="A814" s="278" t="s">
        <v>1204</v>
      </c>
      <c r="B814" s="266"/>
      <c r="C814" s="266" t="s">
        <v>309</v>
      </c>
      <c r="D814" s="283" t="s">
        <v>6001</v>
      </c>
      <c r="E814" s="291"/>
      <c r="F814" s="295">
        <v>11279</v>
      </c>
      <c r="G814" s="287" t="s">
        <v>332</v>
      </c>
      <c r="H814" s="266" t="s">
        <v>326</v>
      </c>
      <c r="I814" s="268" t="s">
        <v>242</v>
      </c>
      <c r="J814" s="299" t="s">
        <v>996</v>
      </c>
      <c r="K814" s="259" t="str">
        <f>HYPERLINK("https://okcountyrecords.com/detail/roger+mills/1930-002857","OKCountyRecords: 1930-002857")</f>
        <v>OKCountyRecords: 1930-002857</v>
      </c>
    </row>
    <row r="815" spans="1:11" ht="32.1" customHeight="1" x14ac:dyDescent="0.25">
      <c r="A815" s="278" t="s">
        <v>1206</v>
      </c>
      <c r="B815" s="266"/>
      <c r="C815" s="266" t="s">
        <v>114</v>
      </c>
      <c r="D815" s="283" t="s">
        <v>6004</v>
      </c>
      <c r="E815" s="291"/>
      <c r="F815" s="295">
        <v>11304</v>
      </c>
      <c r="G815" s="287" t="s">
        <v>1094</v>
      </c>
      <c r="H815" s="266" t="s">
        <v>1208</v>
      </c>
      <c r="I815" s="268" t="s">
        <v>242</v>
      </c>
      <c r="J815" s="299" t="s">
        <v>996</v>
      </c>
      <c r="K815" s="259" t="str">
        <f>HYPERLINK("https://okcountyrecords.com/detail/roger+mills/1930-000125","OKCountyRecords: 1930-000125")</f>
        <v>OKCountyRecords: 1930-000125</v>
      </c>
    </row>
    <row r="816" spans="1:11" ht="32.1" customHeight="1" x14ac:dyDescent="0.25">
      <c r="A816" s="278" t="s">
        <v>1209</v>
      </c>
      <c r="B816" s="266"/>
      <c r="C816" s="266" t="s">
        <v>309</v>
      </c>
      <c r="D816" s="283" t="s">
        <v>6007</v>
      </c>
      <c r="E816" s="291"/>
      <c r="F816" s="295">
        <v>11364</v>
      </c>
      <c r="G816" s="287" t="s">
        <v>331</v>
      </c>
      <c r="H816" s="266" t="s">
        <v>326</v>
      </c>
      <c r="I816" s="268" t="s">
        <v>242</v>
      </c>
      <c r="J816" s="299" t="s">
        <v>996</v>
      </c>
      <c r="K816" s="259" t="str">
        <f>HYPERLINK("https://okcountyrecords.com/detail/roger+mills/1931-001768","OKCountyRecords: 1931-001768")</f>
        <v>OKCountyRecords: 1931-001768</v>
      </c>
    </row>
    <row r="817" spans="1:11" ht="32.1" customHeight="1" x14ac:dyDescent="0.25">
      <c r="A817" s="278" t="s">
        <v>1211</v>
      </c>
      <c r="B817" s="266"/>
      <c r="C817" s="266" t="s">
        <v>993</v>
      </c>
      <c r="D817" s="283" t="s">
        <v>6010</v>
      </c>
      <c r="E817" s="291"/>
      <c r="F817" s="295">
        <v>11364</v>
      </c>
      <c r="G817" s="287" t="s">
        <v>326</v>
      </c>
      <c r="H817" s="266" t="s">
        <v>331</v>
      </c>
      <c r="I817" s="268" t="s">
        <v>5812</v>
      </c>
      <c r="J817" s="299" t="s">
        <v>996</v>
      </c>
      <c r="K817" s="259" t="str">
        <f>HYPERLINK("https://okcountyrecords.com/detail/roger+mills/1931-001962","OKCountyRecords: 1931-001962")</f>
        <v>OKCountyRecords: 1931-001962</v>
      </c>
    </row>
    <row r="818" spans="1:11" ht="32.1" customHeight="1" x14ac:dyDescent="0.25">
      <c r="A818" s="278" t="s">
        <v>1213</v>
      </c>
      <c r="B818" s="266"/>
      <c r="C818" s="266" t="s">
        <v>969</v>
      </c>
      <c r="D818" s="283" t="s">
        <v>6012</v>
      </c>
      <c r="E818" s="291"/>
      <c r="F818" s="295">
        <v>11394</v>
      </c>
      <c r="G818" s="287" t="s">
        <v>1215</v>
      </c>
      <c r="H818" s="266" t="s">
        <v>1216</v>
      </c>
      <c r="I818" s="268" t="s">
        <v>242</v>
      </c>
      <c r="J818" s="299" t="s">
        <v>985</v>
      </c>
      <c r="K818" s="259" t="str">
        <f>HYPERLINK("https://okcountyrecords.com/detail/roger+mills/1931-000573","OKCountyRecords: 1931-000573")</f>
        <v>OKCountyRecords: 1931-000573</v>
      </c>
    </row>
    <row r="819" spans="1:11" ht="32.1" customHeight="1" x14ac:dyDescent="0.25">
      <c r="A819" s="278" t="s">
        <v>1217</v>
      </c>
      <c r="B819" s="266"/>
      <c r="C819" s="266" t="s">
        <v>993</v>
      </c>
      <c r="D819" s="283" t="s">
        <v>6015</v>
      </c>
      <c r="E819" s="291"/>
      <c r="F819" s="295">
        <v>11400</v>
      </c>
      <c r="G819" s="287" t="s">
        <v>1219</v>
      </c>
      <c r="H819" s="266" t="s">
        <v>328</v>
      </c>
      <c r="I819" s="268" t="s">
        <v>242</v>
      </c>
      <c r="J819" s="299" t="s">
        <v>996</v>
      </c>
      <c r="K819" s="259" t="str">
        <f>HYPERLINK("https://okcountyrecords.com/detail/roger+mills/1931-001910","OKCountyRecords: 1931-001910")</f>
        <v>OKCountyRecords: 1931-001910</v>
      </c>
    </row>
    <row r="820" spans="1:11" ht="32.1" customHeight="1" x14ac:dyDescent="0.25">
      <c r="A820" s="278" t="s">
        <v>1220</v>
      </c>
      <c r="B820" s="266"/>
      <c r="C820" s="266" t="s">
        <v>981</v>
      </c>
      <c r="D820" s="283" t="s">
        <v>6018</v>
      </c>
      <c r="E820" s="291"/>
      <c r="F820" s="295">
        <v>11450</v>
      </c>
      <c r="G820" s="287" t="s">
        <v>983</v>
      </c>
      <c r="H820" s="266" t="s">
        <v>1222</v>
      </c>
      <c r="I820" s="268" t="s">
        <v>242</v>
      </c>
      <c r="J820" s="299" t="s">
        <v>985</v>
      </c>
      <c r="K820" s="259" t="str">
        <f>HYPERLINK("https://okcountyrecords.com/detail/roger+mills/1931-001789","OKCountyRecords: 1931-001789")</f>
        <v>OKCountyRecords: 1931-001789</v>
      </c>
    </row>
    <row r="821" spans="1:11" ht="32.1" customHeight="1" x14ac:dyDescent="0.25">
      <c r="A821" s="278" t="s">
        <v>1223</v>
      </c>
      <c r="B821" s="266"/>
      <c r="C821" s="266" t="s">
        <v>969</v>
      </c>
      <c r="D821" s="283" t="s">
        <v>6021</v>
      </c>
      <c r="E821" s="291"/>
      <c r="F821" s="295">
        <v>11578</v>
      </c>
      <c r="G821" s="287" t="s">
        <v>1225</v>
      </c>
      <c r="H821" s="266" t="s">
        <v>1226</v>
      </c>
      <c r="I821" s="268" t="s">
        <v>242</v>
      </c>
      <c r="J821" s="299" t="s">
        <v>985</v>
      </c>
      <c r="K821" s="259" t="str">
        <f>HYPERLINK("https://okcountyrecords.com/detail/roger+mills/1931-000994","OKCountyRecords: 1931-000994")</f>
        <v>OKCountyRecords: 1931-000994</v>
      </c>
    </row>
    <row r="822" spans="1:11" ht="32.1" customHeight="1" x14ac:dyDescent="0.25">
      <c r="A822" s="278" t="s">
        <v>1227</v>
      </c>
      <c r="B822" s="266"/>
      <c r="C822" s="266" t="s">
        <v>993</v>
      </c>
      <c r="D822" s="283" t="s">
        <v>6024</v>
      </c>
      <c r="E822" s="291"/>
      <c r="F822" s="295">
        <v>11842</v>
      </c>
      <c r="G822" s="287" t="s">
        <v>326</v>
      </c>
      <c r="H822" s="266" t="s">
        <v>331</v>
      </c>
      <c r="I822" s="268" t="s">
        <v>5812</v>
      </c>
      <c r="J822" s="299" t="s">
        <v>996</v>
      </c>
      <c r="K822" s="259" t="str">
        <f>HYPERLINK("https://okcountyrecords.com/detail/roger+mills/1932-001278","OKCountyRecords: 1932-001278")</f>
        <v>OKCountyRecords: 1932-001278</v>
      </c>
    </row>
    <row r="823" spans="1:11" ht="32.1" customHeight="1" x14ac:dyDescent="0.25">
      <c r="A823" s="278" t="s">
        <v>1229</v>
      </c>
      <c r="B823" s="266"/>
      <c r="C823" s="266" t="s">
        <v>969</v>
      </c>
      <c r="D823" s="283" t="s">
        <v>6027</v>
      </c>
      <c r="E823" s="291"/>
      <c r="F823" s="295">
        <v>12035</v>
      </c>
      <c r="G823" s="287" t="s">
        <v>1216</v>
      </c>
      <c r="H823" s="266" t="s">
        <v>1231</v>
      </c>
      <c r="I823" s="268" t="s">
        <v>5812</v>
      </c>
      <c r="J823" s="299" t="s">
        <v>985</v>
      </c>
      <c r="K823" s="259" t="str">
        <f>HYPERLINK("https://okcountyrecords.com/detail/roger+mills/1932-000511","OKCountyRecords: 1932-000511")</f>
        <v>OKCountyRecords: 1932-000511</v>
      </c>
    </row>
    <row r="824" spans="1:11" ht="32.1" customHeight="1" x14ac:dyDescent="0.25">
      <c r="A824" s="278" t="s">
        <v>1232</v>
      </c>
      <c r="B824" s="266"/>
      <c r="C824" s="266" t="s">
        <v>114</v>
      </c>
      <c r="D824" s="283" t="s">
        <v>6030</v>
      </c>
      <c r="E824" s="291"/>
      <c r="F824" s="295">
        <v>12271</v>
      </c>
      <c r="G824" s="287" t="s">
        <v>1208</v>
      </c>
      <c r="H824" s="266" t="s">
        <v>1234</v>
      </c>
      <c r="I824" s="268" t="s">
        <v>242</v>
      </c>
      <c r="J824" s="299" t="s">
        <v>996</v>
      </c>
      <c r="K824" s="259" t="str">
        <f>HYPERLINK("https://okcountyrecords.com/detail/roger+mills/1933-000028","OKCountyRecords: 1933-000028")</f>
        <v>OKCountyRecords: 1933-000028</v>
      </c>
    </row>
    <row r="825" spans="1:11" ht="32.1" customHeight="1" x14ac:dyDescent="0.25">
      <c r="A825" s="278" t="s">
        <v>1235</v>
      </c>
      <c r="B825" s="266"/>
      <c r="C825" s="266" t="s">
        <v>993</v>
      </c>
      <c r="D825" s="283" t="s">
        <v>6033</v>
      </c>
      <c r="E825" s="291"/>
      <c r="F825" s="295">
        <v>12596</v>
      </c>
      <c r="G825" s="287" t="s">
        <v>331</v>
      </c>
      <c r="H825" s="266" t="s">
        <v>327</v>
      </c>
      <c r="I825" s="268" t="s">
        <v>242</v>
      </c>
      <c r="J825" s="299" t="s">
        <v>996</v>
      </c>
      <c r="K825" s="259" t="str">
        <f>HYPERLINK("https://okcountyrecords.com/detail/roger+mills/1934-001693","OKCountyRecords: 1934-001693")</f>
        <v>OKCountyRecords: 1934-001693</v>
      </c>
    </row>
    <row r="826" spans="1:11" ht="32.1" customHeight="1" x14ac:dyDescent="0.25">
      <c r="A826" s="278" t="s">
        <v>1237</v>
      </c>
      <c r="B826" s="266"/>
      <c r="C826" s="266" t="s">
        <v>969</v>
      </c>
      <c r="D826" s="283" t="s">
        <v>6036</v>
      </c>
      <c r="E826" s="291"/>
      <c r="F826" s="295">
        <v>12844</v>
      </c>
      <c r="G826" s="287" t="s">
        <v>1239</v>
      </c>
      <c r="H826" s="266" t="s">
        <v>1240</v>
      </c>
      <c r="I826" s="268" t="s">
        <v>5812</v>
      </c>
      <c r="J826" s="299" t="s">
        <v>985</v>
      </c>
      <c r="K826" s="259" t="str">
        <f>HYPERLINK("https://okcountyrecords.com/detail/roger+mills/1935-000201","OKCountyRecords: 1935-000201")</f>
        <v>OKCountyRecords: 1935-000201</v>
      </c>
    </row>
    <row r="827" spans="1:11" ht="32.1" customHeight="1" x14ac:dyDescent="0.25">
      <c r="A827" s="278" t="s">
        <v>1241</v>
      </c>
      <c r="B827" s="266"/>
      <c r="C827" s="266" t="s">
        <v>969</v>
      </c>
      <c r="D827" s="283" t="s">
        <v>6039</v>
      </c>
      <c r="E827" s="291"/>
      <c r="F827" s="295">
        <v>13121</v>
      </c>
      <c r="G827" s="287" t="s">
        <v>1215</v>
      </c>
      <c r="H827" s="266" t="s">
        <v>1243</v>
      </c>
      <c r="I827" s="268" t="s">
        <v>5812</v>
      </c>
      <c r="J827" s="299" t="s">
        <v>985</v>
      </c>
      <c r="K827" s="259" t="str">
        <f>HYPERLINK("https://okcountyrecords.com/detail/roger+mills/1935-000554","OKCountyRecords: 1935-000554")</f>
        <v>OKCountyRecords: 1935-000554</v>
      </c>
    </row>
    <row r="828" spans="1:11" ht="32.1" customHeight="1" x14ac:dyDescent="0.25">
      <c r="A828" s="278" t="s">
        <v>1244</v>
      </c>
      <c r="B828" s="266"/>
      <c r="C828" s="266" t="s">
        <v>993</v>
      </c>
      <c r="D828" s="283" t="s">
        <v>6042</v>
      </c>
      <c r="E828" s="291"/>
      <c r="F828" s="295">
        <v>13121</v>
      </c>
      <c r="G828" s="287" t="s">
        <v>326</v>
      </c>
      <c r="H828" s="266" t="s">
        <v>330</v>
      </c>
      <c r="I828" s="268" t="s">
        <v>242</v>
      </c>
      <c r="J828" s="299" t="s">
        <v>996</v>
      </c>
      <c r="K828" s="259" t="str">
        <f>HYPERLINK("https://okcountyrecords.com/detail/roger+mills/1935-001793","OKCountyRecords: 1935-001793")</f>
        <v>OKCountyRecords: 1935-001793</v>
      </c>
    </row>
    <row r="829" spans="1:11" ht="32.1" customHeight="1" x14ac:dyDescent="0.25">
      <c r="A829" s="278" t="s">
        <v>1246</v>
      </c>
      <c r="B829" s="266"/>
      <c r="C829" s="266" t="s">
        <v>993</v>
      </c>
      <c r="D829" s="283" t="s">
        <v>6044</v>
      </c>
      <c r="E829" s="291"/>
      <c r="F829" s="295">
        <v>13121</v>
      </c>
      <c r="G829" s="287" t="s">
        <v>326</v>
      </c>
      <c r="H829" s="266" t="s">
        <v>328</v>
      </c>
      <c r="I829" s="268" t="s">
        <v>242</v>
      </c>
      <c r="J829" s="299" t="s">
        <v>996</v>
      </c>
      <c r="K829" s="259" t="str">
        <f>HYPERLINK("https://okcountyrecords.com/detail/roger+mills/1935-001795","OKCountyRecords: 1935-001795")</f>
        <v>OKCountyRecords: 1935-001795</v>
      </c>
    </row>
    <row r="830" spans="1:11" ht="32.1" customHeight="1" x14ac:dyDescent="0.25">
      <c r="A830" s="278" t="s">
        <v>1248</v>
      </c>
      <c r="B830" s="266"/>
      <c r="C830" s="266" t="s">
        <v>969</v>
      </c>
      <c r="D830" s="283" t="s">
        <v>6046</v>
      </c>
      <c r="E830" s="291"/>
      <c r="F830" s="295">
        <v>13545</v>
      </c>
      <c r="G830" s="287" t="s">
        <v>1250</v>
      </c>
      <c r="H830" s="266" t="s">
        <v>1243</v>
      </c>
      <c r="I830" s="268" t="s">
        <v>5812</v>
      </c>
      <c r="J830" s="299" t="s">
        <v>985</v>
      </c>
      <c r="K830" s="259" t="str">
        <f>HYPERLINK("https://okcountyrecords.com/detail/roger+mills/1937-000416","OKCountyRecords: 1937-000416")</f>
        <v>OKCountyRecords: 1937-000416</v>
      </c>
    </row>
    <row r="831" spans="1:11" ht="32.1" customHeight="1" x14ac:dyDescent="0.25">
      <c r="A831" s="278" t="s">
        <v>1251</v>
      </c>
      <c r="B831" s="266"/>
      <c r="C831" s="266" t="s">
        <v>1107</v>
      </c>
      <c r="D831" s="283" t="s">
        <v>6049</v>
      </c>
      <c r="E831" s="291"/>
      <c r="F831" s="295">
        <v>13924</v>
      </c>
      <c r="G831" s="287" t="s">
        <v>1253</v>
      </c>
      <c r="H831" s="266" t="s">
        <v>1110</v>
      </c>
      <c r="I831" s="268" t="s">
        <v>5812</v>
      </c>
      <c r="J831" s="299" t="s">
        <v>1095</v>
      </c>
      <c r="K831" s="259" t="str">
        <f>HYPERLINK("https://okcountyrecords.com/detail/roger+mills/1938-000632","OKCountyRecords: 1938-000632")</f>
        <v>OKCountyRecords: 1938-000632</v>
      </c>
    </row>
    <row r="832" spans="1:11" ht="32.1" customHeight="1" x14ac:dyDescent="0.25">
      <c r="A832" s="278" t="s">
        <v>1254</v>
      </c>
      <c r="B832" s="266"/>
      <c r="C832" s="266" t="s">
        <v>993</v>
      </c>
      <c r="D832" s="283" t="s">
        <v>6052</v>
      </c>
      <c r="E832" s="291"/>
      <c r="F832" s="295">
        <v>14183</v>
      </c>
      <c r="G832" s="287" t="s">
        <v>1256</v>
      </c>
      <c r="H832" s="266" t="s">
        <v>1257</v>
      </c>
      <c r="I832" s="268" t="s">
        <v>5812</v>
      </c>
      <c r="J832" s="299" t="s">
        <v>996</v>
      </c>
      <c r="K832" s="259" t="str">
        <f>HYPERLINK("https://okcountyrecords.com/detail/roger+mills/1938-000969","OKCountyRecords: 1938-000969")</f>
        <v>OKCountyRecords: 1938-000969</v>
      </c>
    </row>
    <row r="833" spans="1:11" ht="32.1" customHeight="1" x14ac:dyDescent="0.25">
      <c r="A833" s="278" t="s">
        <v>1258</v>
      </c>
      <c r="B833" s="266"/>
      <c r="C833" s="266" t="s">
        <v>969</v>
      </c>
      <c r="D833" s="283" t="s">
        <v>6055</v>
      </c>
      <c r="E833" s="291"/>
      <c r="F833" s="295">
        <v>14289</v>
      </c>
      <c r="G833" s="287" t="s">
        <v>1260</v>
      </c>
      <c r="H833" s="266" t="s">
        <v>1240</v>
      </c>
      <c r="I833" s="268" t="s">
        <v>242</v>
      </c>
      <c r="J833" s="299" t="s">
        <v>985</v>
      </c>
      <c r="K833" s="259" t="str">
        <f>HYPERLINK("https://okcountyrecords.com/detail/roger+mills/1939-001120","OKCountyRecords: 1939-001120")</f>
        <v>OKCountyRecords: 1939-001120</v>
      </c>
    </row>
    <row r="834" spans="1:11" ht="32.1" customHeight="1" x14ac:dyDescent="0.25">
      <c r="A834" s="278" t="s">
        <v>1261</v>
      </c>
      <c r="B834" s="266"/>
      <c r="C834" s="266" t="s">
        <v>993</v>
      </c>
      <c r="D834" s="283" t="s">
        <v>6058</v>
      </c>
      <c r="E834" s="291"/>
      <c r="F834" s="295">
        <v>14300</v>
      </c>
      <c r="G834" s="287" t="s">
        <v>1256</v>
      </c>
      <c r="H834" s="266" t="s">
        <v>1257</v>
      </c>
      <c r="I834" s="268" t="s">
        <v>5812</v>
      </c>
      <c r="J834" s="299" t="s">
        <v>996</v>
      </c>
      <c r="K834" s="259" t="str">
        <f>HYPERLINK("https://okcountyrecords.com/detail/roger+mills/1939-001197","OKCountyRecords: 1939-001197")</f>
        <v>OKCountyRecords: 1939-001197</v>
      </c>
    </row>
    <row r="835" spans="1:11" ht="32.1" customHeight="1" x14ac:dyDescent="0.25">
      <c r="A835" s="278" t="s">
        <v>1263</v>
      </c>
      <c r="B835" s="266"/>
      <c r="C835" s="266" t="s">
        <v>993</v>
      </c>
      <c r="D835" s="283" t="s">
        <v>6061</v>
      </c>
      <c r="E835" s="291"/>
      <c r="F835" s="295">
        <v>14334</v>
      </c>
      <c r="G835" s="287" t="s">
        <v>1219</v>
      </c>
      <c r="H835" s="266" t="s">
        <v>328</v>
      </c>
      <c r="I835" s="268" t="s">
        <v>242</v>
      </c>
      <c r="J835" s="299" t="s">
        <v>996</v>
      </c>
      <c r="K835" s="259" t="str">
        <f>HYPERLINK("https://okcountyrecords.com/detail/roger+mills/1939-001202","OKCountyRecords: 1939-001202")</f>
        <v>OKCountyRecords: 1939-001202</v>
      </c>
    </row>
    <row r="836" spans="1:11" ht="32.1" customHeight="1" x14ac:dyDescent="0.25">
      <c r="A836" s="278" t="s">
        <v>1265</v>
      </c>
      <c r="B836" s="266"/>
      <c r="C836" s="266" t="s">
        <v>114</v>
      </c>
      <c r="D836" s="283" t="s">
        <v>6064</v>
      </c>
      <c r="E836" s="291"/>
      <c r="F836" s="295">
        <v>14522</v>
      </c>
      <c r="G836" s="287" t="s">
        <v>405</v>
      </c>
      <c r="H836" s="266" t="s">
        <v>1267</v>
      </c>
      <c r="I836" s="268" t="s">
        <v>242</v>
      </c>
      <c r="J836" s="299" t="s">
        <v>996</v>
      </c>
      <c r="K836" s="259" t="str">
        <f>HYPERLINK("https://okcountyrecords.com/detail/roger+mills/1939-000083","OKCountyRecords: 1939-000083")</f>
        <v>OKCountyRecords: 1939-000083</v>
      </c>
    </row>
    <row r="837" spans="1:11" ht="32.1" customHeight="1" x14ac:dyDescent="0.25">
      <c r="A837" s="278" t="s">
        <v>1268</v>
      </c>
      <c r="B837" s="266"/>
      <c r="C837" s="266" t="s">
        <v>114</v>
      </c>
      <c r="D837" s="283" t="s">
        <v>6067</v>
      </c>
      <c r="E837" s="291"/>
      <c r="F837" s="295">
        <v>14522</v>
      </c>
      <c r="G837" s="287" t="s">
        <v>405</v>
      </c>
      <c r="H837" s="266" t="s">
        <v>1267</v>
      </c>
      <c r="I837" s="268" t="s">
        <v>242</v>
      </c>
      <c r="J837" s="299" t="s">
        <v>996</v>
      </c>
      <c r="K837" s="259" t="str">
        <f>HYPERLINK("https://okcountyrecords.com/detail/roger+mills/1939-000085","OKCountyRecords: 1939-000085")</f>
        <v>OKCountyRecords: 1939-000085</v>
      </c>
    </row>
    <row r="838" spans="1:11" ht="32.1" customHeight="1" x14ac:dyDescent="0.25">
      <c r="A838" s="278" t="s">
        <v>1270</v>
      </c>
      <c r="B838" s="266"/>
      <c r="C838" s="266" t="s">
        <v>993</v>
      </c>
      <c r="D838" s="283" t="s">
        <v>6069</v>
      </c>
      <c r="E838" s="291"/>
      <c r="F838" s="295">
        <v>15376</v>
      </c>
      <c r="G838" s="287" t="s">
        <v>1272</v>
      </c>
      <c r="H838" s="266" t="s">
        <v>327</v>
      </c>
      <c r="I838" s="268" t="s">
        <v>242</v>
      </c>
      <c r="J838" s="299" t="s">
        <v>996</v>
      </c>
      <c r="K838" s="259" t="str">
        <f>HYPERLINK("https://okcountyrecords.com/detail/roger+mills/1942-000982","OKCountyRecords: 1942-000982")</f>
        <v>OKCountyRecords: 1942-000982</v>
      </c>
    </row>
    <row r="839" spans="1:11" ht="32.1" customHeight="1" x14ac:dyDescent="0.25">
      <c r="A839" s="278" t="s">
        <v>1273</v>
      </c>
      <c r="B839" s="266"/>
      <c r="C839" s="266" t="s">
        <v>1274</v>
      </c>
      <c r="D839" s="283" t="s">
        <v>6072</v>
      </c>
      <c r="E839" s="291"/>
      <c r="F839" s="295">
        <v>15490</v>
      </c>
      <c r="G839" s="287" t="s">
        <v>1276</v>
      </c>
      <c r="H839" s="266" t="s">
        <v>1110</v>
      </c>
      <c r="I839" s="268" t="s">
        <v>5812</v>
      </c>
      <c r="J839" s="299" t="s">
        <v>985</v>
      </c>
      <c r="K839" s="259" t="str">
        <f>HYPERLINK("https://okcountyrecords.com/detail/roger+mills/1942-000630","OKCountyRecords: 1942-000630")</f>
        <v>OKCountyRecords: 1942-000630</v>
      </c>
    </row>
    <row r="840" spans="1:11" ht="32.1" customHeight="1" x14ac:dyDescent="0.25">
      <c r="A840" s="278" t="s">
        <v>1277</v>
      </c>
      <c r="B840" s="266"/>
      <c r="C840" s="266" t="s">
        <v>993</v>
      </c>
      <c r="D840" s="283" t="s">
        <v>6075</v>
      </c>
      <c r="E840" s="291"/>
      <c r="F840" s="295">
        <v>16343</v>
      </c>
      <c r="G840" s="287" t="s">
        <v>1279</v>
      </c>
      <c r="H840" s="266" t="s">
        <v>329</v>
      </c>
      <c r="I840" s="268" t="s">
        <v>242</v>
      </c>
      <c r="J840" s="299" t="s">
        <v>996</v>
      </c>
      <c r="K840" s="259" t="str">
        <f>HYPERLINK("https://okcountyrecords.com/detail/roger+mills/1944-001314","OKCountyRecords: 1944-001314")</f>
        <v>OKCountyRecords: 1944-001314</v>
      </c>
    </row>
    <row r="841" spans="1:11" ht="32.1" customHeight="1" x14ac:dyDescent="0.25">
      <c r="A841" s="278" t="s">
        <v>1280</v>
      </c>
      <c r="B841" s="266"/>
      <c r="C841" s="266" t="s">
        <v>1274</v>
      </c>
      <c r="D841" s="283" t="s">
        <v>6078</v>
      </c>
      <c r="E841" s="291"/>
      <c r="F841" s="295">
        <v>16439</v>
      </c>
      <c r="G841" s="287" t="s">
        <v>1282</v>
      </c>
      <c r="H841" s="266" t="s">
        <v>1110</v>
      </c>
      <c r="I841" s="268" t="s">
        <v>242</v>
      </c>
      <c r="J841" s="299" t="s">
        <v>985</v>
      </c>
      <c r="K841" s="259" t="str">
        <f>HYPERLINK("https://okcountyrecords.com/detail/roger+mills/1945-000816","OKCountyRecords: 1945-000816")</f>
        <v>OKCountyRecords: 1945-000816</v>
      </c>
    </row>
    <row r="842" spans="1:11" ht="32.1" customHeight="1" x14ac:dyDescent="0.25">
      <c r="A842" s="278" t="s">
        <v>1283</v>
      </c>
      <c r="B842" s="266"/>
      <c r="C842" s="266" t="s">
        <v>993</v>
      </c>
      <c r="D842" s="283" t="s">
        <v>6081</v>
      </c>
      <c r="E842" s="291"/>
      <c r="F842" s="295">
        <v>16477</v>
      </c>
      <c r="G842" s="287" t="s">
        <v>1285</v>
      </c>
      <c r="H842" s="266" t="s">
        <v>329</v>
      </c>
      <c r="I842" s="268" t="s">
        <v>242</v>
      </c>
      <c r="J842" s="299" t="s">
        <v>996</v>
      </c>
      <c r="K842" s="259" t="str">
        <f>HYPERLINK("https://okcountyrecords.com/detail/roger+mills/1945-001445","OKCountyRecords: 1945-001445")</f>
        <v>OKCountyRecords: 1945-001445</v>
      </c>
    </row>
    <row r="843" spans="1:11" ht="32.1" customHeight="1" x14ac:dyDescent="0.25">
      <c r="A843" s="278" t="s">
        <v>1286</v>
      </c>
      <c r="B843" s="266"/>
      <c r="C843" s="266" t="s">
        <v>993</v>
      </c>
      <c r="D843" s="283" t="s">
        <v>6084</v>
      </c>
      <c r="E843" s="291"/>
      <c r="F843" s="295">
        <v>16477</v>
      </c>
      <c r="G843" s="287" t="s">
        <v>1288</v>
      </c>
      <c r="H843" s="266" t="s">
        <v>329</v>
      </c>
      <c r="I843" s="268" t="s">
        <v>242</v>
      </c>
      <c r="J843" s="299" t="s">
        <v>996</v>
      </c>
      <c r="K843" s="259" t="str">
        <f>HYPERLINK("https://okcountyrecords.com/detail/roger+mills/1945-001524","OKCountyRecords: 1945-001524")</f>
        <v>OKCountyRecords: 1945-001524</v>
      </c>
    </row>
    <row r="844" spans="1:11" ht="32.1" customHeight="1" x14ac:dyDescent="0.25">
      <c r="A844" s="278" t="s">
        <v>1289</v>
      </c>
      <c r="B844" s="266"/>
      <c r="C844" s="266" t="s">
        <v>969</v>
      </c>
      <c r="D844" s="283" t="s">
        <v>6086</v>
      </c>
      <c r="E844" s="291"/>
      <c r="F844" s="295">
        <v>16508</v>
      </c>
      <c r="G844" s="287" t="s">
        <v>1291</v>
      </c>
      <c r="H844" s="266" t="s">
        <v>1243</v>
      </c>
      <c r="I844" s="268" t="s">
        <v>242</v>
      </c>
      <c r="J844" s="299" t="s">
        <v>985</v>
      </c>
      <c r="K844" s="259" t="str">
        <f>HYPERLINK("https://okcountyrecords.com/detail/roger+mills/1945-000171","OKCountyRecords: 1945-000171")</f>
        <v>OKCountyRecords: 1945-000171</v>
      </c>
    </row>
    <row r="845" spans="1:11" ht="32.1" customHeight="1" x14ac:dyDescent="0.25">
      <c r="A845" s="278" t="s">
        <v>1292</v>
      </c>
      <c r="B845" s="266"/>
      <c r="C845" s="266" t="s">
        <v>309</v>
      </c>
      <c r="D845" s="283" t="s">
        <v>6089</v>
      </c>
      <c r="E845" s="291"/>
      <c r="F845" s="295">
        <v>16860</v>
      </c>
      <c r="G845" s="287" t="s">
        <v>327</v>
      </c>
      <c r="H845" s="266" t="s">
        <v>1294</v>
      </c>
      <c r="I845" s="268" t="s">
        <v>242</v>
      </c>
      <c r="J845" s="299" t="s">
        <v>996</v>
      </c>
      <c r="K845" s="259" t="str">
        <f>HYPERLINK("https://okcountyrecords.com/detail/roger+mills/1946-001487","OKCountyRecords: 1946-001487")</f>
        <v>OKCountyRecords: 1946-001487</v>
      </c>
    </row>
    <row r="846" spans="1:11" ht="32.1" customHeight="1" x14ac:dyDescent="0.25">
      <c r="A846" s="278" t="s">
        <v>1295</v>
      </c>
      <c r="B846" s="266"/>
      <c r="C846" s="266" t="s">
        <v>309</v>
      </c>
      <c r="D846" s="283" t="s">
        <v>6092</v>
      </c>
      <c r="E846" s="291"/>
      <c r="F846" s="295">
        <v>16860</v>
      </c>
      <c r="G846" s="287" t="s">
        <v>329</v>
      </c>
      <c r="H846" s="266" t="s">
        <v>334</v>
      </c>
      <c r="I846" s="268" t="s">
        <v>242</v>
      </c>
      <c r="J846" s="299" t="s">
        <v>996</v>
      </c>
      <c r="K846" s="259" t="str">
        <f>HYPERLINK("https://okcountyrecords.com/detail/roger+mills/1946-001492","OKCountyRecords: 1946-001492")</f>
        <v>OKCountyRecords: 1946-001492</v>
      </c>
    </row>
    <row r="847" spans="1:11" ht="32.1" customHeight="1" x14ac:dyDescent="0.25">
      <c r="A847" s="278" t="s">
        <v>1297</v>
      </c>
      <c r="B847" s="266"/>
      <c r="C847" s="266" t="s">
        <v>309</v>
      </c>
      <c r="D847" s="283" t="s">
        <v>6094</v>
      </c>
      <c r="E847" s="291"/>
      <c r="F847" s="295">
        <v>16977</v>
      </c>
      <c r="G847" s="287" t="s">
        <v>335</v>
      </c>
      <c r="H847" s="266" t="s">
        <v>336</v>
      </c>
      <c r="I847" s="268" t="s">
        <v>5812</v>
      </c>
      <c r="J847" s="299" t="s">
        <v>996</v>
      </c>
      <c r="K847" s="259" t="str">
        <f>HYPERLINK("https://okcountyrecords.com/detail/roger+mills/1946-001409","OKCountyRecords: 1946-001409")</f>
        <v>OKCountyRecords: 1946-001409</v>
      </c>
    </row>
    <row r="848" spans="1:11" ht="32.1" customHeight="1" x14ac:dyDescent="0.25">
      <c r="A848" s="278" t="s">
        <v>1299</v>
      </c>
      <c r="B848" s="266"/>
      <c r="C848" s="266" t="s">
        <v>993</v>
      </c>
      <c r="D848" s="283" t="s">
        <v>6097</v>
      </c>
      <c r="E848" s="291"/>
      <c r="F848" s="295">
        <v>17198</v>
      </c>
      <c r="G848" s="287" t="s">
        <v>326</v>
      </c>
      <c r="H848" s="266" t="s">
        <v>361</v>
      </c>
      <c r="I848" s="268" t="s">
        <v>242</v>
      </c>
      <c r="J848" s="299" t="s">
        <v>996</v>
      </c>
      <c r="K848" s="259" t="str">
        <f>HYPERLINK("https://okcountyrecords.com/detail/roger+mills/1947-001785","OKCountyRecords: 1947-001785")</f>
        <v>OKCountyRecords: 1947-001785</v>
      </c>
    </row>
    <row r="849" spans="1:11" ht="32.1" customHeight="1" x14ac:dyDescent="0.25">
      <c r="A849" s="278" t="s">
        <v>1301</v>
      </c>
      <c r="B849" s="266"/>
      <c r="C849" s="266" t="s">
        <v>309</v>
      </c>
      <c r="D849" s="283" t="s">
        <v>6100</v>
      </c>
      <c r="E849" s="291"/>
      <c r="F849" s="295">
        <v>17504</v>
      </c>
      <c r="G849" s="287" t="s">
        <v>1303</v>
      </c>
      <c r="H849" s="266" t="s">
        <v>338</v>
      </c>
      <c r="I849" s="268" t="s">
        <v>242</v>
      </c>
      <c r="J849" s="299" t="s">
        <v>996</v>
      </c>
      <c r="K849" s="259" t="str">
        <f>HYPERLINK("https://okcountyrecords.com/detail/roger+mills/1947-001286","OKCountyRecords: 1947-001286")</f>
        <v>OKCountyRecords: 1947-001286</v>
      </c>
    </row>
    <row r="850" spans="1:11" ht="32.1" customHeight="1" x14ac:dyDescent="0.25">
      <c r="A850" s="278" t="s">
        <v>1304</v>
      </c>
      <c r="B850" s="266"/>
      <c r="C850" s="266" t="s">
        <v>309</v>
      </c>
      <c r="D850" s="283" t="s">
        <v>6103</v>
      </c>
      <c r="E850" s="291"/>
      <c r="F850" s="295">
        <v>17549</v>
      </c>
      <c r="G850" s="287" t="s">
        <v>1306</v>
      </c>
      <c r="H850" s="266" t="s">
        <v>338</v>
      </c>
      <c r="I850" s="268" t="s">
        <v>242</v>
      </c>
      <c r="J850" s="299" t="s">
        <v>996</v>
      </c>
      <c r="K850" s="259" t="str">
        <f>HYPERLINK("https://okcountyrecords.com/detail/roger+mills/1948-002010","OKCountyRecords: 1948-002010")</f>
        <v>OKCountyRecords: 1948-002010</v>
      </c>
    </row>
    <row r="851" spans="1:11" ht="32.1" customHeight="1" x14ac:dyDescent="0.25">
      <c r="A851" s="278" t="s">
        <v>1307</v>
      </c>
      <c r="B851" s="266"/>
      <c r="C851" s="266" t="s">
        <v>114</v>
      </c>
      <c r="D851" s="283" t="s">
        <v>6106</v>
      </c>
      <c r="E851" s="291"/>
      <c r="F851" s="295">
        <v>17554</v>
      </c>
      <c r="G851" s="287" t="s">
        <v>1303</v>
      </c>
      <c r="H851" s="266" t="s">
        <v>1309</v>
      </c>
      <c r="I851" s="268" t="s">
        <v>242</v>
      </c>
      <c r="J851" s="299" t="s">
        <v>996</v>
      </c>
      <c r="K851" s="259" t="str">
        <f>HYPERLINK("https://okcountyrecords.com/detail/roger+mills/1948-000087","OKCountyRecords: 1948-000087")</f>
        <v>OKCountyRecords: 1948-000087</v>
      </c>
    </row>
    <row r="852" spans="1:11" ht="32.1" customHeight="1" x14ac:dyDescent="0.25">
      <c r="A852" s="278" t="s">
        <v>1310</v>
      </c>
      <c r="B852" s="266"/>
      <c r="C852" s="266" t="s">
        <v>309</v>
      </c>
      <c r="D852" s="283" t="s">
        <v>6109</v>
      </c>
      <c r="E852" s="291"/>
      <c r="F852" s="295">
        <v>17566</v>
      </c>
      <c r="G852" s="287" t="s">
        <v>340</v>
      </c>
      <c r="H852" s="266" t="s">
        <v>341</v>
      </c>
      <c r="I852" s="268" t="s">
        <v>242</v>
      </c>
      <c r="J852" s="299" t="s">
        <v>996</v>
      </c>
      <c r="K852" s="259" t="str">
        <f>HYPERLINK("https://okcountyrecords.com/detail/roger+mills/1948-002054","OKCountyRecords: 1948-002054")</f>
        <v>OKCountyRecords: 1948-002054</v>
      </c>
    </row>
    <row r="853" spans="1:11" ht="32.1" customHeight="1" x14ac:dyDescent="0.25">
      <c r="A853" s="278" t="s">
        <v>1312</v>
      </c>
      <c r="B853" s="266"/>
      <c r="C853" s="266" t="s">
        <v>114</v>
      </c>
      <c r="D853" s="283" t="s">
        <v>6112</v>
      </c>
      <c r="E853" s="291"/>
      <c r="F853" s="295">
        <v>17580</v>
      </c>
      <c r="G853" s="287" t="s">
        <v>1314</v>
      </c>
      <c r="H853" s="266" t="s">
        <v>1315</v>
      </c>
      <c r="I853" s="268" t="s">
        <v>242</v>
      </c>
      <c r="J853" s="299" t="s">
        <v>996</v>
      </c>
      <c r="K853" s="259" t="str">
        <f>HYPERLINK("https://okcountyrecords.com/detail/roger+mills/1948-000106","OKCountyRecords: 1948-000106")</f>
        <v>OKCountyRecords: 1948-000106</v>
      </c>
    </row>
    <row r="854" spans="1:11" ht="32.1" customHeight="1" x14ac:dyDescent="0.25">
      <c r="A854" s="278" t="s">
        <v>1316</v>
      </c>
      <c r="B854" s="266"/>
      <c r="C854" s="266" t="s">
        <v>1317</v>
      </c>
      <c r="D854" s="283" t="s">
        <v>6115</v>
      </c>
      <c r="E854" s="291"/>
      <c r="F854" s="295">
        <v>17986</v>
      </c>
      <c r="G854" s="287" t="s">
        <v>1319</v>
      </c>
      <c r="H854" s="266" t="s">
        <v>1110</v>
      </c>
      <c r="I854" s="268" t="s">
        <v>5812</v>
      </c>
      <c r="J854" s="299" t="s">
        <v>1095</v>
      </c>
      <c r="K854" s="259" t="str">
        <f>HYPERLINK("https://okcountyrecords.com/detail/roger+mills/1949-002129","OKCountyRecords: 1949-002129")</f>
        <v>OKCountyRecords: 1949-002129</v>
      </c>
    </row>
    <row r="855" spans="1:11" ht="32.1" customHeight="1" x14ac:dyDescent="0.25">
      <c r="A855" s="278" t="s">
        <v>1320</v>
      </c>
      <c r="B855" s="266"/>
      <c r="C855" s="266" t="s">
        <v>1321</v>
      </c>
      <c r="D855" s="283" t="s">
        <v>6118</v>
      </c>
      <c r="E855" s="291"/>
      <c r="F855" s="295">
        <v>17991</v>
      </c>
      <c r="G855" s="287" t="s">
        <v>1323</v>
      </c>
      <c r="H855" s="266" t="s">
        <v>1324</v>
      </c>
      <c r="I855" s="268" t="s">
        <v>5812</v>
      </c>
      <c r="J855" s="299" t="s">
        <v>1095</v>
      </c>
      <c r="K855" s="259" t="str">
        <f>HYPERLINK("https://okcountyrecords.com/detail/roger+mills/1949-002138","OKCountyRecords: 1949-002138")</f>
        <v>OKCountyRecords: 1949-002138</v>
      </c>
    </row>
    <row r="856" spans="1:11" ht="32.1" customHeight="1" x14ac:dyDescent="0.25">
      <c r="A856" s="278" t="s">
        <v>1325</v>
      </c>
      <c r="B856" s="266"/>
      <c r="C856" s="266" t="s">
        <v>993</v>
      </c>
      <c r="D856" s="283" t="s">
        <v>6121</v>
      </c>
      <c r="E856" s="291"/>
      <c r="F856" s="295">
        <v>17995</v>
      </c>
      <c r="G856" s="287" t="s">
        <v>1256</v>
      </c>
      <c r="H856" s="266" t="s">
        <v>328</v>
      </c>
      <c r="I856" s="268" t="s">
        <v>242</v>
      </c>
      <c r="J856" s="299" t="s">
        <v>996</v>
      </c>
      <c r="K856" s="259" t="str">
        <f>HYPERLINK("https://okcountyrecords.com/detail/roger+mills/1949-003597","OKCountyRecords: 1949-003597")</f>
        <v>OKCountyRecords: 1949-003597</v>
      </c>
    </row>
    <row r="857" spans="1:11" ht="32.1" customHeight="1" x14ac:dyDescent="0.25">
      <c r="A857" s="278" t="s">
        <v>1327</v>
      </c>
      <c r="B857" s="266"/>
      <c r="C857" s="266" t="s">
        <v>309</v>
      </c>
      <c r="D857" s="283" t="s">
        <v>6124</v>
      </c>
      <c r="E857" s="291"/>
      <c r="F857" s="295">
        <v>18015</v>
      </c>
      <c r="G857" s="287" t="s">
        <v>327</v>
      </c>
      <c r="H857" s="266" t="s">
        <v>1294</v>
      </c>
      <c r="I857" s="268" t="s">
        <v>242</v>
      </c>
      <c r="J857" s="299" t="s">
        <v>996</v>
      </c>
      <c r="K857" s="259" t="str">
        <f>HYPERLINK("https://okcountyrecords.com/detail/roger+mills/1949-002521","OKCountyRecords: 1949-002521")</f>
        <v>OKCountyRecords: 1949-002521</v>
      </c>
    </row>
    <row r="858" spans="1:11" ht="32.1" customHeight="1" x14ac:dyDescent="0.25">
      <c r="A858" s="278" t="s">
        <v>1329</v>
      </c>
      <c r="B858" s="266"/>
      <c r="C858" s="266" t="s">
        <v>993</v>
      </c>
      <c r="D858" s="283" t="s">
        <v>6127</v>
      </c>
      <c r="E858" s="291"/>
      <c r="F858" s="295">
        <v>18015</v>
      </c>
      <c r="G858" s="287" t="s">
        <v>1294</v>
      </c>
      <c r="H858" s="266" t="s">
        <v>327</v>
      </c>
      <c r="I858" s="268" t="s">
        <v>242</v>
      </c>
      <c r="J858" s="299" t="s">
        <v>996</v>
      </c>
      <c r="K858" s="259" t="str">
        <f>HYPERLINK("https://okcountyrecords.com/detail/roger+mills/1949-003605","OKCountyRecords: 1949-003605")</f>
        <v>OKCountyRecords: 1949-003605</v>
      </c>
    </row>
    <row r="859" spans="1:11" ht="32.1" customHeight="1" x14ac:dyDescent="0.25">
      <c r="A859" s="278" t="s">
        <v>1331</v>
      </c>
      <c r="B859" s="266"/>
      <c r="C859" s="266" t="s">
        <v>969</v>
      </c>
      <c r="D859" s="283" t="s">
        <v>6129</v>
      </c>
      <c r="E859" s="291"/>
      <c r="F859" s="295">
        <v>18084</v>
      </c>
      <c r="G859" s="287" t="s">
        <v>1333</v>
      </c>
      <c r="H859" s="266" t="s">
        <v>1324</v>
      </c>
      <c r="I859" s="268" t="s">
        <v>242</v>
      </c>
      <c r="J859" s="299" t="s">
        <v>985</v>
      </c>
      <c r="K859" s="259" t="str">
        <f>HYPERLINK("https://okcountyrecords.com/detail/roger+mills/1949-003394","OKCountyRecords: 1949-003394")</f>
        <v>OKCountyRecords: 1949-003394</v>
      </c>
    </row>
    <row r="860" spans="1:11" ht="32.1" customHeight="1" x14ac:dyDescent="0.25">
      <c r="A860" s="278" t="s">
        <v>1334</v>
      </c>
      <c r="B860" s="266"/>
      <c r="C860" s="266" t="s">
        <v>969</v>
      </c>
      <c r="D860" s="283" t="s">
        <v>6132</v>
      </c>
      <c r="E860" s="291"/>
      <c r="F860" s="295">
        <v>18095</v>
      </c>
      <c r="G860" s="287" t="s">
        <v>327</v>
      </c>
      <c r="H860" s="266" t="s">
        <v>353</v>
      </c>
      <c r="I860" s="268" t="s">
        <v>242</v>
      </c>
      <c r="J860" s="299" t="s">
        <v>985</v>
      </c>
      <c r="K860" s="259" t="str">
        <f>HYPERLINK("https://okcountyrecords.com/detail/roger+mills/1949-000809","OKCountyRecords: 1949-000809")</f>
        <v>OKCountyRecords: 1949-000809</v>
      </c>
    </row>
    <row r="861" spans="1:11" ht="32.1" customHeight="1" x14ac:dyDescent="0.25">
      <c r="A861" s="278" t="s">
        <v>1336</v>
      </c>
      <c r="B861" s="266"/>
      <c r="C861" s="266" t="s">
        <v>969</v>
      </c>
      <c r="D861" s="283" t="s">
        <v>6135</v>
      </c>
      <c r="E861" s="291"/>
      <c r="F861" s="295">
        <v>18112</v>
      </c>
      <c r="G861" s="287" t="s">
        <v>1338</v>
      </c>
      <c r="H861" s="266" t="s">
        <v>353</v>
      </c>
      <c r="I861" s="268" t="s">
        <v>5812</v>
      </c>
      <c r="J861" s="299" t="s">
        <v>985</v>
      </c>
      <c r="K861" s="259" t="str">
        <f>HYPERLINK("https://okcountyrecords.com/detail/roger+mills/1949-000814","OKCountyRecords: 1949-000814")</f>
        <v>OKCountyRecords: 1949-000814</v>
      </c>
    </row>
    <row r="862" spans="1:11" ht="32.1" customHeight="1" x14ac:dyDescent="0.25">
      <c r="A862" s="278" t="s">
        <v>1339</v>
      </c>
      <c r="B862" s="266"/>
      <c r="C862" s="266" t="s">
        <v>114</v>
      </c>
      <c r="D862" s="283" t="s">
        <v>6138</v>
      </c>
      <c r="E862" s="291"/>
      <c r="F862" s="295">
        <v>18155</v>
      </c>
      <c r="G862" s="287" t="s">
        <v>1341</v>
      </c>
      <c r="H862" s="266" t="s">
        <v>1342</v>
      </c>
      <c r="I862" s="268" t="s">
        <v>242</v>
      </c>
      <c r="J862" s="299" t="s">
        <v>996</v>
      </c>
      <c r="K862" s="259" t="str">
        <f>HYPERLINK("https://okcountyrecords.com/detail/roger+mills/1949-000505","OKCountyRecords: 1949-000505")</f>
        <v>OKCountyRecords: 1949-000505</v>
      </c>
    </row>
    <row r="863" spans="1:11" ht="32.1" customHeight="1" x14ac:dyDescent="0.25">
      <c r="A863" s="278" t="s">
        <v>1343</v>
      </c>
      <c r="B863" s="266"/>
      <c r="C863" s="266" t="s">
        <v>114</v>
      </c>
      <c r="D863" s="283" t="s">
        <v>6141</v>
      </c>
      <c r="E863" s="291"/>
      <c r="F863" s="295">
        <v>18155</v>
      </c>
      <c r="G863" s="287" t="s">
        <v>1341</v>
      </c>
      <c r="H863" s="266" t="s">
        <v>1342</v>
      </c>
      <c r="I863" s="268" t="s">
        <v>242</v>
      </c>
      <c r="J863" s="299" t="s">
        <v>996</v>
      </c>
      <c r="K863" s="259" t="str">
        <f>HYPERLINK("https://okcountyrecords.com/detail/roger+mills/1949-000506","OKCountyRecords: 1949-000506")</f>
        <v>OKCountyRecords: 1949-000506</v>
      </c>
    </row>
    <row r="864" spans="1:11" ht="32.1" customHeight="1" x14ac:dyDescent="0.25">
      <c r="A864" s="278" t="s">
        <v>1345</v>
      </c>
      <c r="B864" s="266"/>
      <c r="C864" s="266" t="s">
        <v>114</v>
      </c>
      <c r="D864" s="283" t="s">
        <v>6143</v>
      </c>
      <c r="E864" s="291"/>
      <c r="F864" s="295">
        <v>18160</v>
      </c>
      <c r="G864" s="287" t="s">
        <v>329</v>
      </c>
      <c r="H864" s="266" t="s">
        <v>1347</v>
      </c>
      <c r="I864" s="268" t="s">
        <v>242</v>
      </c>
      <c r="J864" s="299" t="s">
        <v>996</v>
      </c>
      <c r="K864" s="259" t="str">
        <f>HYPERLINK("https://okcountyrecords.com/detail/roger+mills/1949-000111","OKCountyRecords: 1949-000111")</f>
        <v>OKCountyRecords: 1949-000111</v>
      </c>
    </row>
    <row r="865" spans="1:11" ht="32.1" customHeight="1" x14ac:dyDescent="0.25">
      <c r="A865" s="278" t="s">
        <v>1348</v>
      </c>
      <c r="B865" s="266"/>
      <c r="C865" s="266" t="s">
        <v>114</v>
      </c>
      <c r="D865" s="283" t="s">
        <v>6146</v>
      </c>
      <c r="E865" s="291"/>
      <c r="F865" s="295">
        <v>18160</v>
      </c>
      <c r="G865" s="287" t="s">
        <v>1350</v>
      </c>
      <c r="H865" s="266" t="s">
        <v>1342</v>
      </c>
      <c r="I865" s="268" t="s">
        <v>242</v>
      </c>
      <c r="J865" s="299" t="s">
        <v>996</v>
      </c>
      <c r="K865" s="259" t="str">
        <f>HYPERLINK("https://okcountyrecords.com/detail/roger+mills/1949-000517","OKCountyRecords: 1949-000517")</f>
        <v>OKCountyRecords: 1949-000517</v>
      </c>
    </row>
    <row r="866" spans="1:11" ht="32.1" customHeight="1" x14ac:dyDescent="0.25">
      <c r="A866" s="278" t="s">
        <v>1351</v>
      </c>
      <c r="B866" s="266"/>
      <c r="C866" s="266" t="s">
        <v>993</v>
      </c>
      <c r="D866" s="283" t="s">
        <v>6148</v>
      </c>
      <c r="E866" s="291"/>
      <c r="F866" s="295">
        <v>18169</v>
      </c>
      <c r="G866" s="287" t="s">
        <v>326</v>
      </c>
      <c r="H866" s="266" t="s">
        <v>329</v>
      </c>
      <c r="I866" s="268" t="s">
        <v>242</v>
      </c>
      <c r="J866" s="299" t="s">
        <v>996</v>
      </c>
      <c r="K866" s="259" t="str">
        <f>HYPERLINK("https://okcountyrecords.com/detail/roger+mills/1949-003639","OKCountyRecords: 1949-003639")</f>
        <v>OKCountyRecords: 1949-003639</v>
      </c>
    </row>
    <row r="867" spans="1:11" ht="32.1" customHeight="1" x14ac:dyDescent="0.25">
      <c r="A867" s="278" t="s">
        <v>1353</v>
      </c>
      <c r="B867" s="266"/>
      <c r="C867" s="266" t="s">
        <v>969</v>
      </c>
      <c r="D867" s="283" t="s">
        <v>6151</v>
      </c>
      <c r="E867" s="291"/>
      <c r="F867" s="295">
        <v>18170</v>
      </c>
      <c r="G867" s="287" t="s">
        <v>335</v>
      </c>
      <c r="H867" s="266" t="s">
        <v>1355</v>
      </c>
      <c r="I867" s="268" t="s">
        <v>5812</v>
      </c>
      <c r="J867" s="299" t="s">
        <v>985</v>
      </c>
      <c r="K867" s="259" t="str">
        <f>HYPERLINK("https://okcountyrecords.com/detail/roger+mills/1949-001867","OKCountyRecords: 1949-001867")</f>
        <v>OKCountyRecords: 1949-001867</v>
      </c>
    </row>
    <row r="868" spans="1:11" ht="32.1" customHeight="1" x14ac:dyDescent="0.25">
      <c r="A868" s="278" t="s">
        <v>1356</v>
      </c>
      <c r="B868" s="266"/>
      <c r="C868" s="266" t="s">
        <v>1091</v>
      </c>
      <c r="D868" s="283" t="s">
        <v>6154</v>
      </c>
      <c r="E868" s="291"/>
      <c r="F868" s="295">
        <v>18321</v>
      </c>
      <c r="G868" s="287" t="s">
        <v>353</v>
      </c>
      <c r="H868" s="266" t="s">
        <v>1358</v>
      </c>
      <c r="I868" s="268" t="s">
        <v>242</v>
      </c>
      <c r="J868" s="299" t="s">
        <v>1095</v>
      </c>
      <c r="K868" s="259" t="str">
        <f>HYPERLINK("https://okcountyrecords.com/detail/roger+mills/1950-001326","OKCountyRecords: 1950-001326")</f>
        <v>OKCountyRecords: 1950-001326</v>
      </c>
    </row>
    <row r="869" spans="1:11" ht="32.1" customHeight="1" x14ac:dyDescent="0.25">
      <c r="A869" s="278" t="s">
        <v>1359</v>
      </c>
      <c r="B869" s="266"/>
      <c r="C869" s="266" t="s">
        <v>969</v>
      </c>
      <c r="D869" s="283" t="s">
        <v>6157</v>
      </c>
      <c r="E869" s="291"/>
      <c r="F869" s="295">
        <v>18420</v>
      </c>
      <c r="G869" s="287" t="s">
        <v>335</v>
      </c>
      <c r="H869" s="266" t="s">
        <v>353</v>
      </c>
      <c r="I869" s="268" t="s">
        <v>5812</v>
      </c>
      <c r="J869" s="299" t="s">
        <v>985</v>
      </c>
      <c r="K869" s="259" t="str">
        <f>HYPERLINK("https://okcountyrecords.com/detail/roger+mills/1950-000383","OKCountyRecords: 1950-000383")</f>
        <v>OKCountyRecords: 1950-000383</v>
      </c>
    </row>
    <row r="870" spans="1:11" ht="32.1" customHeight="1" x14ac:dyDescent="0.25">
      <c r="A870" s="278" t="s">
        <v>1361</v>
      </c>
      <c r="B870" s="266"/>
      <c r="C870" s="266" t="s">
        <v>969</v>
      </c>
      <c r="D870" s="283" t="s">
        <v>6160</v>
      </c>
      <c r="E870" s="291"/>
      <c r="F870" s="295">
        <v>18680</v>
      </c>
      <c r="G870" s="287" t="s">
        <v>353</v>
      </c>
      <c r="H870" s="266" t="s">
        <v>1363</v>
      </c>
      <c r="I870" s="268" t="s">
        <v>5812</v>
      </c>
      <c r="J870" s="299" t="s">
        <v>985</v>
      </c>
      <c r="K870" s="259" t="str">
        <f>HYPERLINK("https://okcountyrecords.com/detail/roger+mills/1951-001020","OKCountyRecords: 1951-001020")</f>
        <v>OKCountyRecords: 1951-001020</v>
      </c>
    </row>
    <row r="871" spans="1:11" ht="32.1" customHeight="1" x14ac:dyDescent="0.25">
      <c r="A871" s="278" t="s">
        <v>1364</v>
      </c>
      <c r="B871" s="266"/>
      <c r="C871" s="266" t="s">
        <v>993</v>
      </c>
      <c r="D871" s="283" t="s">
        <v>6163</v>
      </c>
      <c r="E871" s="291"/>
      <c r="F871" s="295">
        <v>19099</v>
      </c>
      <c r="G871" s="287" t="s">
        <v>1309</v>
      </c>
      <c r="H871" s="266" t="s">
        <v>335</v>
      </c>
      <c r="I871" s="268" t="s">
        <v>242</v>
      </c>
      <c r="J871" s="299" t="s">
        <v>996</v>
      </c>
      <c r="K871" s="259" t="str">
        <f>HYPERLINK("https://okcountyrecords.com/detail/roger+mills/1952-001426","OKCountyRecords: 1952-001426")</f>
        <v>OKCountyRecords: 1952-001426</v>
      </c>
    </row>
    <row r="872" spans="1:11" ht="32.1" customHeight="1" x14ac:dyDescent="0.25">
      <c r="A872" s="278" t="s">
        <v>1366</v>
      </c>
      <c r="B872" s="266"/>
      <c r="C872" s="266" t="s">
        <v>993</v>
      </c>
      <c r="D872" s="283" t="s">
        <v>6166</v>
      </c>
      <c r="E872" s="291"/>
      <c r="F872" s="295">
        <v>19099</v>
      </c>
      <c r="G872" s="287" t="s">
        <v>1309</v>
      </c>
      <c r="H872" s="266" t="s">
        <v>1368</v>
      </c>
      <c r="I872" s="268" t="s">
        <v>5812</v>
      </c>
      <c r="J872" s="299" t="s">
        <v>996</v>
      </c>
      <c r="K872" s="259" t="str">
        <f>HYPERLINK("https://okcountyrecords.com/detail/roger+mills/1952-001427","OKCountyRecords: 1952-001427")</f>
        <v>OKCountyRecords: 1952-001427</v>
      </c>
    </row>
    <row r="873" spans="1:11" ht="32.1" customHeight="1" x14ac:dyDescent="0.25">
      <c r="A873" s="278" t="s">
        <v>1370</v>
      </c>
      <c r="B873" s="266"/>
      <c r="C873" s="266" t="s">
        <v>969</v>
      </c>
      <c r="D873" s="283" t="s">
        <v>6168</v>
      </c>
      <c r="E873" s="291"/>
      <c r="F873" s="295">
        <v>19396</v>
      </c>
      <c r="G873" s="287" t="s">
        <v>1372</v>
      </c>
      <c r="H873" s="266" t="s">
        <v>1373</v>
      </c>
      <c r="I873" s="268" t="s">
        <v>5812</v>
      </c>
      <c r="J873" s="299" t="s">
        <v>985</v>
      </c>
      <c r="K873" s="259" t="str">
        <f>HYPERLINK("https://okcountyrecords.com/detail/roger+mills/1953-000493","OKCountyRecords: 1953-000493")</f>
        <v>OKCountyRecords: 1953-000493</v>
      </c>
    </row>
    <row r="874" spans="1:11" ht="32.1" customHeight="1" x14ac:dyDescent="0.25">
      <c r="A874" s="278" t="s">
        <v>1374</v>
      </c>
      <c r="B874" s="266"/>
      <c r="C874" s="266" t="s">
        <v>993</v>
      </c>
      <c r="D874" s="283" t="s">
        <v>6171</v>
      </c>
      <c r="E874" s="291"/>
      <c r="F874" s="295">
        <v>19403</v>
      </c>
      <c r="G874" s="287" t="s">
        <v>1373</v>
      </c>
      <c r="H874" s="266" t="s">
        <v>1372</v>
      </c>
      <c r="I874" s="268" t="s">
        <v>5812</v>
      </c>
      <c r="J874" s="299" t="s">
        <v>996</v>
      </c>
      <c r="K874" s="259" t="str">
        <f>HYPERLINK("https://okcountyrecords.com/detail/roger+mills/1953-001402","OKCountyRecords: 1953-001402")</f>
        <v>OKCountyRecords: 1953-001402</v>
      </c>
    </row>
    <row r="875" spans="1:11" ht="32.1" customHeight="1" x14ac:dyDescent="0.25">
      <c r="A875" s="278" t="s">
        <v>1376</v>
      </c>
      <c r="B875" s="266"/>
      <c r="C875" s="266" t="s">
        <v>969</v>
      </c>
      <c r="D875" s="283" t="s">
        <v>6174</v>
      </c>
      <c r="E875" s="291"/>
      <c r="F875" s="295">
        <v>19417</v>
      </c>
      <c r="G875" s="287" t="s">
        <v>353</v>
      </c>
      <c r="H875" s="266" t="s">
        <v>1378</v>
      </c>
      <c r="I875" s="268" t="s">
        <v>242</v>
      </c>
      <c r="J875" s="299" t="s">
        <v>985</v>
      </c>
      <c r="K875" s="259" t="str">
        <f>HYPERLINK("https://okcountyrecords.com/detail/roger+mills/1953-000498","OKCountyRecords: 1953-000498")</f>
        <v>OKCountyRecords: 1953-000498</v>
      </c>
    </row>
    <row r="876" spans="1:11" ht="32.1" customHeight="1" x14ac:dyDescent="0.25">
      <c r="A876" s="278" t="s">
        <v>1379</v>
      </c>
      <c r="B876" s="266"/>
      <c r="C876" s="266" t="s">
        <v>969</v>
      </c>
      <c r="D876" s="283" t="s">
        <v>6177</v>
      </c>
      <c r="E876" s="291"/>
      <c r="F876" s="295">
        <v>19417</v>
      </c>
      <c r="G876" s="287" t="s">
        <v>353</v>
      </c>
      <c r="H876" s="266" t="s">
        <v>1381</v>
      </c>
      <c r="I876" s="268" t="s">
        <v>5812</v>
      </c>
      <c r="J876" s="299" t="s">
        <v>985</v>
      </c>
      <c r="K876" s="259" t="str">
        <f>HYPERLINK("https://okcountyrecords.com/detail/roger+mills/1953-000389","OKCountyRecords: 1953-000389")</f>
        <v>OKCountyRecords: 1953-000389</v>
      </c>
    </row>
    <row r="877" spans="1:11" ht="32.1" customHeight="1" x14ac:dyDescent="0.25">
      <c r="A877" s="278" t="s">
        <v>1382</v>
      </c>
      <c r="B877" s="266"/>
      <c r="C877" s="266" t="s">
        <v>993</v>
      </c>
      <c r="D877" s="283" t="s">
        <v>6179</v>
      </c>
      <c r="E877" s="291"/>
      <c r="F877" s="295">
        <v>19935</v>
      </c>
      <c r="G877" s="287" t="s">
        <v>336</v>
      </c>
      <c r="H877" s="266" t="s">
        <v>335</v>
      </c>
      <c r="I877" s="268" t="s">
        <v>5812</v>
      </c>
      <c r="J877" s="299" t="s">
        <v>996</v>
      </c>
      <c r="K877" s="259" t="str">
        <f>HYPERLINK("https://okcountyrecords.com/detail/roger+mills/1954-001418","OKCountyRecords: 1954-001418")</f>
        <v>OKCountyRecords: 1954-001418</v>
      </c>
    </row>
    <row r="878" spans="1:11" ht="32.1" customHeight="1" x14ac:dyDescent="0.25">
      <c r="A878" s="278" t="s">
        <v>1384</v>
      </c>
      <c r="B878" s="266"/>
      <c r="C878" s="266" t="s">
        <v>993</v>
      </c>
      <c r="D878" s="283" t="s">
        <v>6182</v>
      </c>
      <c r="E878" s="291"/>
      <c r="F878" s="295">
        <v>20617</v>
      </c>
      <c r="G878" s="287" t="s">
        <v>1309</v>
      </c>
      <c r="H878" s="266" t="s">
        <v>1231</v>
      </c>
      <c r="I878" s="268" t="s">
        <v>242</v>
      </c>
      <c r="J878" s="299" t="s">
        <v>996</v>
      </c>
      <c r="K878" s="259" t="str">
        <f>HYPERLINK("https://okcountyrecords.com/detail/roger+mills/1956-001415","OKCountyRecords: 1956-001415")</f>
        <v>OKCountyRecords: 1956-001415</v>
      </c>
    </row>
    <row r="879" spans="1:11" ht="32.1" customHeight="1" x14ac:dyDescent="0.25">
      <c r="A879" s="278" t="s">
        <v>1386</v>
      </c>
      <c r="B879" s="266"/>
      <c r="C879" s="266" t="s">
        <v>993</v>
      </c>
      <c r="D879" s="283" t="s">
        <v>6185</v>
      </c>
      <c r="E879" s="291"/>
      <c r="F879" s="295">
        <v>20654</v>
      </c>
      <c r="G879" s="287" t="s">
        <v>1342</v>
      </c>
      <c r="H879" s="266" t="s">
        <v>1094</v>
      </c>
      <c r="I879" s="268" t="s">
        <v>242</v>
      </c>
      <c r="J879" s="299" t="s">
        <v>996</v>
      </c>
      <c r="K879" s="259" t="str">
        <f>HYPERLINK("https://okcountyrecords.com/detail/roger+mills/1956-001377","OKCountyRecords: 1956-001377")</f>
        <v>OKCountyRecords: 1956-001377</v>
      </c>
    </row>
    <row r="880" spans="1:11" ht="32.1" customHeight="1" x14ac:dyDescent="0.25">
      <c r="A880" s="278" t="s">
        <v>1388</v>
      </c>
      <c r="B880" s="266"/>
      <c r="C880" s="266" t="s">
        <v>1321</v>
      </c>
      <c r="D880" s="283" t="s">
        <v>6188</v>
      </c>
      <c r="E880" s="291"/>
      <c r="F880" s="295">
        <v>20876</v>
      </c>
      <c r="G880" s="287" t="s">
        <v>1390</v>
      </c>
      <c r="H880" s="266" t="s">
        <v>1391</v>
      </c>
      <c r="I880" s="268" t="s">
        <v>5812</v>
      </c>
      <c r="J880" s="299" t="s">
        <v>1095</v>
      </c>
      <c r="K880" s="259" t="str">
        <f>HYPERLINK("https://okcountyrecords.com/detail/roger+mills/1957-001086","OKCountyRecords: 1957-001086")</f>
        <v>OKCountyRecords: 1957-001086</v>
      </c>
    </row>
    <row r="881" spans="1:11" ht="32.1" customHeight="1" x14ac:dyDescent="0.25">
      <c r="A881" s="278" t="s">
        <v>1392</v>
      </c>
      <c r="B881" s="266"/>
      <c r="C881" s="266" t="s">
        <v>993</v>
      </c>
      <c r="D881" s="283" t="s">
        <v>6191</v>
      </c>
      <c r="E881" s="291"/>
      <c r="F881" s="295">
        <v>21177</v>
      </c>
      <c r="G881" s="287" t="s">
        <v>1315</v>
      </c>
      <c r="H881" s="266" t="s">
        <v>1394</v>
      </c>
      <c r="I881" s="268" t="s">
        <v>6193</v>
      </c>
      <c r="J881" s="299" t="s">
        <v>996</v>
      </c>
      <c r="K881" s="259" t="str">
        <f>HYPERLINK("https://okcountyrecords.com/detail/roger+mills/1957-002580","OKCountyRecords: 1957-002580")</f>
        <v>OKCountyRecords: 1957-002580</v>
      </c>
    </row>
    <row r="882" spans="1:11" ht="32.1" customHeight="1" x14ac:dyDescent="0.25">
      <c r="A882" s="278" t="s">
        <v>1396</v>
      </c>
      <c r="B882" s="266"/>
      <c r="C882" s="266" t="s">
        <v>993</v>
      </c>
      <c r="D882" s="283" t="s">
        <v>6195</v>
      </c>
      <c r="E882" s="291"/>
      <c r="F882" s="295">
        <v>21286</v>
      </c>
      <c r="G882" s="287" t="s">
        <v>1342</v>
      </c>
      <c r="H882" s="266" t="s">
        <v>1398</v>
      </c>
      <c r="I882" s="268" t="s">
        <v>5812</v>
      </c>
      <c r="J882" s="299" t="s">
        <v>996</v>
      </c>
      <c r="K882" s="259" t="str">
        <f>HYPERLINK("https://okcountyrecords.com/detail/roger+mills/1958-002778","OKCountyRecords: 1958-002778")</f>
        <v>OKCountyRecords: 1958-002778</v>
      </c>
    </row>
    <row r="883" spans="1:11" ht="32.1" customHeight="1" x14ac:dyDescent="0.25">
      <c r="A883" s="278" t="s">
        <v>1399</v>
      </c>
      <c r="B883" s="266"/>
      <c r="C883" s="266" t="s">
        <v>993</v>
      </c>
      <c r="D883" s="283" t="s">
        <v>6198</v>
      </c>
      <c r="E883" s="291"/>
      <c r="F883" s="295">
        <v>21307</v>
      </c>
      <c r="G883" s="287" t="s">
        <v>1342</v>
      </c>
      <c r="H883" s="266" t="s">
        <v>1401</v>
      </c>
      <c r="I883" s="268" t="s">
        <v>5812</v>
      </c>
      <c r="J883" s="299" t="s">
        <v>996</v>
      </c>
      <c r="K883" s="259" t="str">
        <f>HYPERLINK("https://okcountyrecords.com/detail/roger+mills/1958-002810","OKCountyRecords: 1958-002810")</f>
        <v>OKCountyRecords: 1958-002810</v>
      </c>
    </row>
    <row r="884" spans="1:11" ht="32.1" customHeight="1" x14ac:dyDescent="0.25">
      <c r="A884" s="278" t="s">
        <v>1402</v>
      </c>
      <c r="B884" s="266"/>
      <c r="C884" s="266" t="s">
        <v>309</v>
      </c>
      <c r="D884" s="283" t="s">
        <v>6201</v>
      </c>
      <c r="E884" s="291"/>
      <c r="F884" s="295">
        <v>21495</v>
      </c>
      <c r="G884" s="287" t="s">
        <v>342</v>
      </c>
      <c r="H884" s="266" t="s">
        <v>343</v>
      </c>
      <c r="I884" s="268" t="s">
        <v>5812</v>
      </c>
      <c r="J884" s="299" t="s">
        <v>996</v>
      </c>
      <c r="K884" s="259" t="str">
        <f>HYPERLINK("https://okcountyrecords.com/detail/roger+mills/1958-002487","OKCountyRecords: 1958-002487")</f>
        <v>OKCountyRecords: 1958-002487</v>
      </c>
    </row>
    <row r="885" spans="1:11" ht="32.1" customHeight="1" x14ac:dyDescent="0.25">
      <c r="A885" s="278" t="s">
        <v>1404</v>
      </c>
      <c r="B885" s="266"/>
      <c r="C885" s="266" t="s">
        <v>1091</v>
      </c>
      <c r="D885" s="283" t="s">
        <v>6204</v>
      </c>
      <c r="E885" s="291"/>
      <c r="F885" s="295">
        <v>21696</v>
      </c>
      <c r="G885" s="287" t="s">
        <v>1406</v>
      </c>
      <c r="H885" s="266" t="s">
        <v>1110</v>
      </c>
      <c r="I885" s="268" t="s">
        <v>5812</v>
      </c>
      <c r="J885" s="299" t="s">
        <v>1095</v>
      </c>
      <c r="K885" s="259" t="str">
        <f>HYPERLINK("https://okcountyrecords.com/detail/roger+mills/1959-001270","OKCountyRecords: 1959-001270")</f>
        <v>OKCountyRecords: 1959-001270</v>
      </c>
    </row>
    <row r="886" spans="1:11" ht="32.1" customHeight="1" x14ac:dyDescent="0.25">
      <c r="A886" s="278" t="s">
        <v>1407</v>
      </c>
      <c r="B886" s="266"/>
      <c r="C886" s="266" t="s">
        <v>993</v>
      </c>
      <c r="D886" s="283" t="s">
        <v>6207</v>
      </c>
      <c r="E886" s="291"/>
      <c r="F886" s="295">
        <v>21872</v>
      </c>
      <c r="G886" s="287" t="s">
        <v>343</v>
      </c>
      <c r="H886" s="266" t="s">
        <v>342</v>
      </c>
      <c r="I886" s="268" t="s">
        <v>5812</v>
      </c>
      <c r="J886" s="299" t="s">
        <v>996</v>
      </c>
      <c r="K886" s="259" t="str">
        <f>HYPERLINK("https://okcountyrecords.com/detail/roger+mills/1959-002917","OKCountyRecords: 1959-002917")</f>
        <v>OKCountyRecords: 1959-002917</v>
      </c>
    </row>
    <row r="887" spans="1:11" ht="32.1" customHeight="1" x14ac:dyDescent="0.25">
      <c r="A887" s="278" t="s">
        <v>1409</v>
      </c>
      <c r="B887" s="266"/>
      <c r="C887" s="266" t="s">
        <v>1410</v>
      </c>
      <c r="D887" s="283" t="s">
        <v>6210</v>
      </c>
      <c r="E887" s="291"/>
      <c r="F887" s="295">
        <v>21969</v>
      </c>
      <c r="G887" s="287" t="s">
        <v>1412</v>
      </c>
      <c r="H887" s="266" t="s">
        <v>1110</v>
      </c>
      <c r="I887" s="268" t="s">
        <v>5812</v>
      </c>
      <c r="J887" s="299" t="s">
        <v>985</v>
      </c>
      <c r="K887" s="259" t="str">
        <f>HYPERLINK("https://okcountyrecords.com/detail/roger+mills/1960-000414","OKCountyRecords: 1960-000414")</f>
        <v>OKCountyRecords: 1960-000414</v>
      </c>
    </row>
    <row r="888" spans="1:11" ht="32.1" customHeight="1" x14ac:dyDescent="0.25">
      <c r="A888" s="278" t="s">
        <v>1413</v>
      </c>
      <c r="B888" s="266"/>
      <c r="C888" s="266" t="s">
        <v>309</v>
      </c>
      <c r="D888" s="283" t="s">
        <v>344</v>
      </c>
      <c r="E888" s="291"/>
      <c r="F888" s="295">
        <v>22761</v>
      </c>
      <c r="G888" s="287" t="s">
        <v>345</v>
      </c>
      <c r="H888" s="266" t="s">
        <v>1415</v>
      </c>
      <c r="I888" s="268" t="s">
        <v>5812</v>
      </c>
      <c r="J888" s="299" t="s">
        <v>996</v>
      </c>
      <c r="K888" s="259" t="str">
        <f>HYPERLINK("https://okcountyrecords.com/detail/roger+mills/1962-000500","OKCountyRecords: 1962-000500")</f>
        <v>OKCountyRecords: 1962-000500</v>
      </c>
    </row>
    <row r="889" spans="1:11" ht="32.1" customHeight="1" x14ac:dyDescent="0.25">
      <c r="A889" s="278" t="s">
        <v>1416</v>
      </c>
      <c r="B889" s="266"/>
      <c r="C889" s="266" t="s">
        <v>309</v>
      </c>
      <c r="D889" s="283" t="s">
        <v>347</v>
      </c>
      <c r="E889" s="291"/>
      <c r="F889" s="295">
        <v>22761</v>
      </c>
      <c r="G889" s="287" t="s">
        <v>348</v>
      </c>
      <c r="H889" s="266" t="s">
        <v>1415</v>
      </c>
      <c r="I889" s="268" t="s">
        <v>5812</v>
      </c>
      <c r="J889" s="299" t="s">
        <v>996</v>
      </c>
      <c r="K889" s="259" t="str">
        <f>HYPERLINK("https://okcountyrecords.com/detail/roger+mills/1962-000501","OKCountyRecords: 1962-000501")</f>
        <v>OKCountyRecords: 1962-000501</v>
      </c>
    </row>
    <row r="890" spans="1:11" ht="32.1" customHeight="1" x14ac:dyDescent="0.25">
      <c r="A890" s="278" t="s">
        <v>1418</v>
      </c>
      <c r="B890" s="266"/>
      <c r="C890" s="266" t="s">
        <v>309</v>
      </c>
      <c r="D890" s="283" t="s">
        <v>349</v>
      </c>
      <c r="E890" s="291"/>
      <c r="F890" s="295">
        <v>22761</v>
      </c>
      <c r="G890" s="287" t="s">
        <v>340</v>
      </c>
      <c r="H890" s="266" t="s">
        <v>1415</v>
      </c>
      <c r="I890" s="268" t="s">
        <v>5812</v>
      </c>
      <c r="J890" s="299" t="s">
        <v>996</v>
      </c>
      <c r="K890" s="259" t="str">
        <f>HYPERLINK("https://okcountyrecords.com/detail/roger+mills/1962-000502","OKCountyRecords: 1962-000502")</f>
        <v>OKCountyRecords: 1962-000502</v>
      </c>
    </row>
    <row r="891" spans="1:11" ht="32.1" customHeight="1" x14ac:dyDescent="0.25">
      <c r="A891" s="278" t="s">
        <v>1420</v>
      </c>
      <c r="B891" s="266"/>
      <c r="C891" s="266" t="s">
        <v>309</v>
      </c>
      <c r="D891" s="283" t="s">
        <v>350</v>
      </c>
      <c r="E891" s="291"/>
      <c r="F891" s="295">
        <v>22761</v>
      </c>
      <c r="G891" s="287" t="s">
        <v>351</v>
      </c>
      <c r="H891" s="266" t="s">
        <v>1415</v>
      </c>
      <c r="I891" s="268" t="s">
        <v>5812</v>
      </c>
      <c r="J891" s="299" t="s">
        <v>996</v>
      </c>
      <c r="K891" s="259" t="str">
        <f>HYPERLINK("https://okcountyrecords.com/detail/roger+mills/1962-000503","OKCountyRecords: 1962-000503")</f>
        <v>OKCountyRecords: 1962-000503</v>
      </c>
    </row>
    <row r="892" spans="1:11" ht="32.1" customHeight="1" x14ac:dyDescent="0.25">
      <c r="A892" s="278" t="s">
        <v>1422</v>
      </c>
      <c r="B892" s="266"/>
      <c r="C892" s="266" t="s">
        <v>309</v>
      </c>
      <c r="D892" s="283" t="s">
        <v>352</v>
      </c>
      <c r="E892" s="291"/>
      <c r="F892" s="295">
        <v>22761</v>
      </c>
      <c r="G892" s="287" t="s">
        <v>353</v>
      </c>
      <c r="H892" s="266" t="s">
        <v>1415</v>
      </c>
      <c r="I892" s="268" t="s">
        <v>242</v>
      </c>
      <c r="J892" s="299" t="s">
        <v>996</v>
      </c>
      <c r="K892" s="259" t="str">
        <f>HYPERLINK("https://okcountyrecords.com/detail/roger+mills/1962-000505","OKCountyRecords: 1962-000505")</f>
        <v>OKCountyRecords: 1962-000505</v>
      </c>
    </row>
    <row r="893" spans="1:11" ht="32.1" customHeight="1" x14ac:dyDescent="0.25">
      <c r="A893" s="278" t="s">
        <v>1424</v>
      </c>
      <c r="B893" s="266"/>
      <c r="C893" s="266" t="s">
        <v>309</v>
      </c>
      <c r="D893" s="283" t="s">
        <v>354</v>
      </c>
      <c r="E893" s="291"/>
      <c r="F893" s="295">
        <v>22761</v>
      </c>
      <c r="G893" s="287" t="s">
        <v>353</v>
      </c>
      <c r="H893" s="266" t="s">
        <v>1415</v>
      </c>
      <c r="I893" s="268" t="s">
        <v>242</v>
      </c>
      <c r="J893" s="299" t="s">
        <v>996</v>
      </c>
      <c r="K893" s="259" t="str">
        <f>HYPERLINK("https://okcountyrecords.com/detail/roger+mills/1962-000506","OKCountyRecords: 1962-000506")</f>
        <v>OKCountyRecords: 1962-000506</v>
      </c>
    </row>
    <row r="894" spans="1:11" ht="32.1" customHeight="1" x14ac:dyDescent="0.25">
      <c r="A894" s="278" t="s">
        <v>1426</v>
      </c>
      <c r="B894" s="266"/>
      <c r="C894" s="266" t="s">
        <v>309</v>
      </c>
      <c r="D894" s="283" t="s">
        <v>355</v>
      </c>
      <c r="E894" s="291"/>
      <c r="F894" s="295">
        <v>22816</v>
      </c>
      <c r="G894" s="287" t="s">
        <v>353</v>
      </c>
      <c r="H894" s="266" t="s">
        <v>1415</v>
      </c>
      <c r="I894" s="268" t="s">
        <v>242</v>
      </c>
      <c r="J894" s="299" t="s">
        <v>996</v>
      </c>
      <c r="K894" s="259" t="str">
        <f>HYPERLINK("https://okcountyrecords.com/detail/roger+mills/1962-000726","OKCountyRecords: 1962-000726")</f>
        <v>OKCountyRecords: 1962-000726</v>
      </c>
    </row>
    <row r="895" spans="1:11" ht="32.1" customHeight="1" x14ac:dyDescent="0.25">
      <c r="A895" s="278" t="s">
        <v>1428</v>
      </c>
      <c r="B895" s="266"/>
      <c r="C895" s="266" t="s">
        <v>309</v>
      </c>
      <c r="D895" s="283" t="s">
        <v>356</v>
      </c>
      <c r="E895" s="291"/>
      <c r="F895" s="295">
        <v>22816</v>
      </c>
      <c r="G895" s="287" t="s">
        <v>353</v>
      </c>
      <c r="H895" s="266" t="s">
        <v>1415</v>
      </c>
      <c r="I895" s="268" t="s">
        <v>242</v>
      </c>
      <c r="J895" s="299" t="s">
        <v>996</v>
      </c>
      <c r="K895" s="259" t="str">
        <f>HYPERLINK("https://okcountyrecords.com/detail/roger+mills/1962-000727","OKCountyRecords: 1962-000727")</f>
        <v>OKCountyRecords: 1962-000727</v>
      </c>
    </row>
    <row r="896" spans="1:11" ht="32.1" customHeight="1" x14ac:dyDescent="0.25">
      <c r="A896" s="278" t="s">
        <v>1430</v>
      </c>
      <c r="B896" s="266"/>
      <c r="C896" s="266" t="s">
        <v>969</v>
      </c>
      <c r="D896" s="283" t="s">
        <v>6223</v>
      </c>
      <c r="E896" s="291"/>
      <c r="F896" s="295">
        <v>22906</v>
      </c>
      <c r="G896" s="287" t="s">
        <v>1381</v>
      </c>
      <c r="H896" s="266" t="s">
        <v>1415</v>
      </c>
      <c r="I896" s="268" t="s">
        <v>242</v>
      </c>
      <c r="J896" s="299" t="s">
        <v>985</v>
      </c>
      <c r="K896" s="259" t="str">
        <f>HYPERLINK("https://okcountyrecords.com/detail/roger+mills/1962-001141","OKCountyRecords: 1962-001141")</f>
        <v>OKCountyRecords: 1962-001141</v>
      </c>
    </row>
    <row r="897" spans="1:11" ht="32.1" customHeight="1" x14ac:dyDescent="0.25">
      <c r="A897" s="278" t="s">
        <v>1432</v>
      </c>
      <c r="B897" s="266"/>
      <c r="C897" s="266" t="s">
        <v>969</v>
      </c>
      <c r="D897" s="283" t="s">
        <v>6226</v>
      </c>
      <c r="E897" s="291"/>
      <c r="F897" s="295">
        <v>22906</v>
      </c>
      <c r="G897" s="287" t="s">
        <v>1381</v>
      </c>
      <c r="H897" s="266" t="s">
        <v>1415</v>
      </c>
      <c r="I897" s="268" t="s">
        <v>5812</v>
      </c>
      <c r="J897" s="299" t="s">
        <v>985</v>
      </c>
      <c r="K897" s="259" t="str">
        <f>HYPERLINK("https://okcountyrecords.com/detail/roger+mills/1962-001142","OKCountyRecords: 1962-001142")</f>
        <v>OKCountyRecords: 1962-001142</v>
      </c>
    </row>
    <row r="898" spans="1:11" ht="32.1" customHeight="1" x14ac:dyDescent="0.25">
      <c r="A898" s="278" t="s">
        <v>1434</v>
      </c>
      <c r="B898" s="266"/>
      <c r="C898" s="266" t="s">
        <v>309</v>
      </c>
      <c r="D898" s="283" t="s">
        <v>357</v>
      </c>
      <c r="E898" s="291"/>
      <c r="F898" s="295">
        <v>22906</v>
      </c>
      <c r="G898" s="287" t="s">
        <v>1436</v>
      </c>
      <c r="H898" s="266" t="s">
        <v>359</v>
      </c>
      <c r="I898" s="268" t="s">
        <v>5812</v>
      </c>
      <c r="J898" s="299" t="s">
        <v>996</v>
      </c>
      <c r="K898" s="259" t="str">
        <f>HYPERLINK("https://okcountyrecords.com/detail/roger+mills/1962-001143","OKCountyRecords: 1962-001143")</f>
        <v>OKCountyRecords: 1962-001143</v>
      </c>
    </row>
    <row r="899" spans="1:11" ht="32.1" customHeight="1" x14ac:dyDescent="0.25">
      <c r="A899" s="278" t="s">
        <v>1437</v>
      </c>
      <c r="B899" s="266"/>
      <c r="C899" s="266" t="s">
        <v>969</v>
      </c>
      <c r="D899" s="283" t="s">
        <v>6229</v>
      </c>
      <c r="E899" s="291"/>
      <c r="F899" s="295">
        <v>22906</v>
      </c>
      <c r="G899" s="287" t="s">
        <v>1436</v>
      </c>
      <c r="H899" s="266" t="s">
        <v>353</v>
      </c>
      <c r="I899" s="268" t="s">
        <v>242</v>
      </c>
      <c r="J899" s="299" t="s">
        <v>985</v>
      </c>
      <c r="K899" s="259" t="str">
        <f>HYPERLINK("https://okcountyrecords.com/detail/roger+mills/1962-001144","OKCountyRecords: 1962-001144")</f>
        <v>OKCountyRecords: 1962-001144</v>
      </c>
    </row>
    <row r="900" spans="1:11" ht="32.1" customHeight="1" x14ac:dyDescent="0.25">
      <c r="A900" s="278" t="s">
        <v>1439</v>
      </c>
      <c r="B900" s="266"/>
      <c r="C900" s="266" t="s">
        <v>969</v>
      </c>
      <c r="D900" s="283" t="s">
        <v>6231</v>
      </c>
      <c r="E900" s="291"/>
      <c r="F900" s="295">
        <v>22906</v>
      </c>
      <c r="G900" s="287" t="s">
        <v>1436</v>
      </c>
      <c r="H900" s="266" t="s">
        <v>1441</v>
      </c>
      <c r="I900" s="268" t="s">
        <v>242</v>
      </c>
      <c r="J900" s="299" t="s">
        <v>985</v>
      </c>
      <c r="K900" s="259" t="str">
        <f>HYPERLINK("https://okcountyrecords.com/detail/roger+mills/1962-001145","OKCountyRecords: 1962-001145")</f>
        <v>OKCountyRecords: 1962-001145</v>
      </c>
    </row>
    <row r="901" spans="1:11" ht="32.1" customHeight="1" x14ac:dyDescent="0.25">
      <c r="A901" s="278" t="s">
        <v>1442</v>
      </c>
      <c r="B901" s="266"/>
      <c r="C901" s="266" t="s">
        <v>309</v>
      </c>
      <c r="D901" s="283" t="s">
        <v>360</v>
      </c>
      <c r="E901" s="291"/>
      <c r="F901" s="295">
        <v>22913</v>
      </c>
      <c r="G901" s="287" t="s">
        <v>361</v>
      </c>
      <c r="H901" s="266" t="s">
        <v>362</v>
      </c>
      <c r="I901" s="268" t="s">
        <v>242</v>
      </c>
      <c r="J901" s="299" t="s">
        <v>996</v>
      </c>
      <c r="K901" s="259" t="str">
        <f>HYPERLINK("https://okcountyrecords.com/detail/roger+mills/1962-001196","OKCountyRecords: 1962-001196")</f>
        <v>OKCountyRecords: 1962-001196</v>
      </c>
    </row>
    <row r="902" spans="1:11" ht="32.1" customHeight="1" x14ac:dyDescent="0.25">
      <c r="A902" s="278" t="s">
        <v>1444</v>
      </c>
      <c r="B902" s="266"/>
      <c r="C902" s="266" t="s">
        <v>993</v>
      </c>
      <c r="D902" s="283" t="s">
        <v>6235</v>
      </c>
      <c r="E902" s="291"/>
      <c r="F902" s="295">
        <v>22927</v>
      </c>
      <c r="G902" s="287" t="s">
        <v>1309</v>
      </c>
      <c r="H902" s="266" t="s">
        <v>329</v>
      </c>
      <c r="I902" s="268" t="s">
        <v>242</v>
      </c>
      <c r="J902" s="299" t="s">
        <v>996</v>
      </c>
      <c r="K902" s="259" t="str">
        <f>HYPERLINK("https://okcountyrecords.com/detail/roger+mills/1962-001271","OKCountyRecords: 1962-001271")</f>
        <v>OKCountyRecords: 1962-001271</v>
      </c>
    </row>
    <row r="903" spans="1:11" ht="32.1" customHeight="1" x14ac:dyDescent="0.25">
      <c r="A903" s="278" t="s">
        <v>1446</v>
      </c>
      <c r="B903" s="266"/>
      <c r="C903" s="266" t="s">
        <v>114</v>
      </c>
      <c r="D903" s="283" t="s">
        <v>6238</v>
      </c>
      <c r="E903" s="291"/>
      <c r="F903" s="295">
        <v>22928</v>
      </c>
      <c r="G903" s="287" t="s">
        <v>362</v>
      </c>
      <c r="H903" s="266" t="s">
        <v>1448</v>
      </c>
      <c r="I903" s="268" t="s">
        <v>242</v>
      </c>
      <c r="J903" s="299" t="s">
        <v>996</v>
      </c>
      <c r="K903" s="259" t="str">
        <f>HYPERLINK("https://okcountyrecords.com/detail/roger+mills/1962-001281","OKCountyRecords: 1962-001281")</f>
        <v>OKCountyRecords: 1962-001281</v>
      </c>
    </row>
    <row r="904" spans="1:11" ht="32.1" customHeight="1" x14ac:dyDescent="0.25">
      <c r="A904" s="278" t="s">
        <v>1449</v>
      </c>
      <c r="B904" s="266"/>
      <c r="C904" s="266" t="s">
        <v>969</v>
      </c>
      <c r="D904" s="283" t="s">
        <v>6241</v>
      </c>
      <c r="E904" s="291"/>
      <c r="F904" s="295">
        <v>22938</v>
      </c>
      <c r="G904" s="287" t="s">
        <v>1415</v>
      </c>
      <c r="H904" s="266" t="s">
        <v>446</v>
      </c>
      <c r="I904" s="268" t="s">
        <v>242</v>
      </c>
      <c r="J904" s="299" t="s">
        <v>985</v>
      </c>
      <c r="K904" s="259" t="str">
        <f>HYPERLINK("https://okcountyrecords.com/detail/roger+mills/1962-001389","OKCountyRecords: 1962-001389")</f>
        <v>OKCountyRecords: 1962-001389</v>
      </c>
    </row>
    <row r="905" spans="1:11" ht="32.1" customHeight="1" x14ac:dyDescent="0.25">
      <c r="A905" s="278" t="s">
        <v>1451</v>
      </c>
      <c r="B905" s="266"/>
      <c r="C905" s="266" t="s">
        <v>969</v>
      </c>
      <c r="D905" s="283" t="s">
        <v>6244</v>
      </c>
      <c r="E905" s="291"/>
      <c r="F905" s="295">
        <v>22938</v>
      </c>
      <c r="G905" s="287" t="s">
        <v>1415</v>
      </c>
      <c r="H905" s="266" t="s">
        <v>1453</v>
      </c>
      <c r="I905" s="268" t="s">
        <v>242</v>
      </c>
      <c r="J905" s="299" t="s">
        <v>985</v>
      </c>
      <c r="K905" s="259" t="str">
        <f>HYPERLINK("https://okcountyrecords.com/detail/roger+mills/1962-001390","OKCountyRecords: 1962-001390")</f>
        <v>OKCountyRecords: 1962-001390</v>
      </c>
    </row>
    <row r="906" spans="1:11" ht="32.1" customHeight="1" x14ac:dyDescent="0.25">
      <c r="A906" s="278" t="s">
        <v>1454</v>
      </c>
      <c r="B906" s="266"/>
      <c r="C906" s="266" t="s">
        <v>114</v>
      </c>
      <c r="D906" s="283" t="s">
        <v>6246</v>
      </c>
      <c r="E906" s="291"/>
      <c r="F906" s="295">
        <v>23054</v>
      </c>
      <c r="G906" s="287" t="s">
        <v>1415</v>
      </c>
      <c r="H906" s="266" t="s">
        <v>359</v>
      </c>
      <c r="I906" s="268" t="s">
        <v>5812</v>
      </c>
      <c r="J906" s="299" t="s">
        <v>996</v>
      </c>
      <c r="K906" s="259" t="str">
        <f>HYPERLINK("https://okcountyrecords.com/detail/roger+mills/1963-000284","OKCountyRecords: 1963-000284")</f>
        <v>OKCountyRecords: 1963-000284</v>
      </c>
    </row>
    <row r="907" spans="1:11" ht="32.1" customHeight="1" x14ac:dyDescent="0.25">
      <c r="A907" s="278" t="s">
        <v>1456</v>
      </c>
      <c r="B907" s="266"/>
      <c r="C907" s="266" t="s">
        <v>114</v>
      </c>
      <c r="D907" s="283" t="s">
        <v>6249</v>
      </c>
      <c r="E907" s="291"/>
      <c r="F907" s="295">
        <v>23054</v>
      </c>
      <c r="G907" s="287" t="s">
        <v>1415</v>
      </c>
      <c r="H907" s="266" t="s">
        <v>359</v>
      </c>
      <c r="I907" s="268" t="s">
        <v>5812</v>
      </c>
      <c r="J907" s="299" t="s">
        <v>996</v>
      </c>
      <c r="K907" s="259" t="str">
        <f>HYPERLINK("https://okcountyrecords.com/detail/roger+mills/1963-000285","OKCountyRecords: 1963-000285")</f>
        <v>OKCountyRecords: 1963-000285</v>
      </c>
    </row>
    <row r="908" spans="1:11" ht="32.1" customHeight="1" x14ac:dyDescent="0.25">
      <c r="A908" s="278" t="s">
        <v>1458</v>
      </c>
      <c r="B908" s="266"/>
      <c r="C908" s="266" t="s">
        <v>114</v>
      </c>
      <c r="D908" s="283" t="s">
        <v>6251</v>
      </c>
      <c r="E908" s="291"/>
      <c r="F908" s="295">
        <v>23054</v>
      </c>
      <c r="G908" s="287" t="s">
        <v>1415</v>
      </c>
      <c r="H908" s="266" t="s">
        <v>359</v>
      </c>
      <c r="I908" s="268" t="s">
        <v>5812</v>
      </c>
      <c r="J908" s="299" t="s">
        <v>996</v>
      </c>
      <c r="K908" s="259" t="str">
        <f>HYPERLINK("https://okcountyrecords.com/detail/roger+mills/1963-000286","OKCountyRecords: 1963-000286")</f>
        <v>OKCountyRecords: 1963-000286</v>
      </c>
    </row>
    <row r="909" spans="1:11" ht="32.1" customHeight="1" x14ac:dyDescent="0.25">
      <c r="A909" s="278" t="s">
        <v>1460</v>
      </c>
      <c r="B909" s="266"/>
      <c r="C909" s="266" t="s">
        <v>114</v>
      </c>
      <c r="D909" s="283" t="s">
        <v>6253</v>
      </c>
      <c r="E909" s="291"/>
      <c r="F909" s="295">
        <v>23054</v>
      </c>
      <c r="G909" s="287" t="s">
        <v>1415</v>
      </c>
      <c r="H909" s="266" t="s">
        <v>359</v>
      </c>
      <c r="I909" s="268" t="s">
        <v>5812</v>
      </c>
      <c r="J909" s="299" t="s">
        <v>996</v>
      </c>
      <c r="K909" s="259" t="str">
        <f>HYPERLINK("https://okcountyrecords.com/detail/roger+mills/1963-000287","OKCountyRecords: 1963-000287")</f>
        <v>OKCountyRecords: 1963-000287</v>
      </c>
    </row>
    <row r="910" spans="1:11" ht="32.1" customHeight="1" x14ac:dyDescent="0.25">
      <c r="A910" s="278" t="s">
        <v>1462</v>
      </c>
      <c r="B910" s="266"/>
      <c r="C910" s="266" t="s">
        <v>993</v>
      </c>
      <c r="D910" s="283" t="s">
        <v>6255</v>
      </c>
      <c r="E910" s="291"/>
      <c r="F910" s="295">
        <v>23890</v>
      </c>
      <c r="G910" s="287" t="s">
        <v>1381</v>
      </c>
      <c r="H910" s="266" t="s">
        <v>1441</v>
      </c>
      <c r="I910" s="268" t="s">
        <v>5812</v>
      </c>
      <c r="J910" s="299" t="s">
        <v>996</v>
      </c>
      <c r="K910" s="259" t="str">
        <f>HYPERLINK("https://okcountyrecords.com/detail/roger+mills/1965-000770","OKCountyRecords: 1965-000770")</f>
        <v>OKCountyRecords: 1965-000770</v>
      </c>
    </row>
    <row r="911" spans="1:11" ht="32.1" customHeight="1" x14ac:dyDescent="0.25">
      <c r="A911" s="278" t="s">
        <v>1464</v>
      </c>
      <c r="B911" s="266"/>
      <c r="C911" s="266" t="s">
        <v>969</v>
      </c>
      <c r="D911" s="283" t="s">
        <v>6258</v>
      </c>
      <c r="E911" s="291"/>
      <c r="F911" s="295">
        <v>23890</v>
      </c>
      <c r="G911" s="287" t="s">
        <v>353</v>
      </c>
      <c r="H911" s="266" t="s">
        <v>1391</v>
      </c>
      <c r="I911" s="268" t="s">
        <v>5812</v>
      </c>
      <c r="J911" s="299" t="s">
        <v>985</v>
      </c>
      <c r="K911" s="259" t="str">
        <f>HYPERLINK("https://okcountyrecords.com/detail/roger+mills/1965-000771","OKCountyRecords: 1965-000771")</f>
        <v>OKCountyRecords: 1965-000771</v>
      </c>
    </row>
    <row r="912" spans="1:11" ht="32.1" customHeight="1" x14ac:dyDescent="0.25">
      <c r="A912" s="278" t="s">
        <v>1466</v>
      </c>
      <c r="B912" s="266"/>
      <c r="C912" s="266" t="s">
        <v>993</v>
      </c>
      <c r="D912" s="283" t="s">
        <v>6260</v>
      </c>
      <c r="E912" s="291"/>
      <c r="F912" s="295">
        <v>24168</v>
      </c>
      <c r="G912" s="287" t="s">
        <v>1468</v>
      </c>
      <c r="H912" s="266" t="s">
        <v>1469</v>
      </c>
      <c r="I912" s="268" t="s">
        <v>242</v>
      </c>
      <c r="J912" s="299" t="s">
        <v>996</v>
      </c>
      <c r="K912" s="259" t="str">
        <f>HYPERLINK("https://okcountyrecords.com/detail/roger+mills/1966-000665","OKCountyRecords: 1966-000665")</f>
        <v>OKCountyRecords: 1966-000665</v>
      </c>
    </row>
    <row r="913" spans="1:11" ht="32.1" customHeight="1" x14ac:dyDescent="0.25">
      <c r="A913" s="278" t="s">
        <v>1470</v>
      </c>
      <c r="B913" s="266"/>
      <c r="C913" s="266" t="s">
        <v>1091</v>
      </c>
      <c r="D913" s="283" t="s">
        <v>6263</v>
      </c>
      <c r="E913" s="291"/>
      <c r="F913" s="295">
        <v>24502</v>
      </c>
      <c r="G913" s="287" t="s">
        <v>1472</v>
      </c>
      <c r="H913" s="266" t="s">
        <v>1415</v>
      </c>
      <c r="I913" s="268" t="s">
        <v>5812</v>
      </c>
      <c r="J913" s="299" t="s">
        <v>1095</v>
      </c>
      <c r="K913" s="259" t="str">
        <f>HYPERLINK("https://okcountyrecords.com/detail/roger+mills/1967-000241","OKCountyRecords: 1967-000241")</f>
        <v>OKCountyRecords: 1967-000241</v>
      </c>
    </row>
    <row r="914" spans="1:11" ht="32.1" customHeight="1" x14ac:dyDescent="0.25">
      <c r="A914" s="278" t="s">
        <v>1473</v>
      </c>
      <c r="B914" s="266"/>
      <c r="C914" s="266" t="s">
        <v>309</v>
      </c>
      <c r="D914" s="283" t="s">
        <v>363</v>
      </c>
      <c r="E914" s="291"/>
      <c r="F914" s="295">
        <v>24512</v>
      </c>
      <c r="G914" s="287" t="s">
        <v>1475</v>
      </c>
      <c r="H914" s="266" t="s">
        <v>365</v>
      </c>
      <c r="I914" s="268" t="s">
        <v>242</v>
      </c>
      <c r="J914" s="299" t="s">
        <v>996</v>
      </c>
      <c r="K914" s="259" t="str">
        <f>HYPERLINK("https://okcountyrecords.com/detail/roger+mills/1967-000351","OKCountyRecords: 1967-000351")</f>
        <v>OKCountyRecords: 1967-000351</v>
      </c>
    </row>
    <row r="915" spans="1:11" ht="32.1" customHeight="1" x14ac:dyDescent="0.25">
      <c r="A915" s="278" t="s">
        <v>1476</v>
      </c>
      <c r="B915" s="266"/>
      <c r="C915" s="266" t="s">
        <v>1274</v>
      </c>
      <c r="D915" s="283" t="s">
        <v>6268</v>
      </c>
      <c r="E915" s="291"/>
      <c r="F915" s="295">
        <v>24750</v>
      </c>
      <c r="G915" s="287" t="s">
        <v>1441</v>
      </c>
      <c r="H915" s="266" t="s">
        <v>1478</v>
      </c>
      <c r="I915" s="268" t="s">
        <v>5812</v>
      </c>
      <c r="J915" s="299" t="s">
        <v>985</v>
      </c>
      <c r="K915" s="259" t="str">
        <f>HYPERLINK("https://okcountyrecords.com/detail/roger+mills/1967-002816","OKCountyRecords: 1967-002816")</f>
        <v>OKCountyRecords: 1967-002816</v>
      </c>
    </row>
    <row r="916" spans="1:11" ht="32.1" customHeight="1" x14ac:dyDescent="0.25">
      <c r="A916" s="278" t="s">
        <v>1480</v>
      </c>
      <c r="B916" s="266"/>
      <c r="C916" s="266" t="s">
        <v>114</v>
      </c>
      <c r="D916" s="283" t="s">
        <v>6271</v>
      </c>
      <c r="E916" s="291"/>
      <c r="F916" s="295">
        <v>25176</v>
      </c>
      <c r="G916" s="287" t="s">
        <v>365</v>
      </c>
      <c r="H916" s="266" t="s">
        <v>391</v>
      </c>
      <c r="I916" s="268" t="s">
        <v>5812</v>
      </c>
      <c r="J916" s="299" t="s">
        <v>996</v>
      </c>
      <c r="K916" s="259" t="str">
        <f>HYPERLINK("https://okcountyrecords.com/detail/roger+mills/1968-003045","OKCountyRecords: 1968-003045")</f>
        <v>OKCountyRecords: 1968-003045</v>
      </c>
    </row>
    <row r="917" spans="1:11" ht="32.1" customHeight="1" x14ac:dyDescent="0.25">
      <c r="A917" s="278" t="s">
        <v>1482</v>
      </c>
      <c r="B917" s="266"/>
      <c r="C917" s="266" t="s">
        <v>1483</v>
      </c>
      <c r="D917" s="283" t="s">
        <v>6274</v>
      </c>
      <c r="E917" s="291"/>
      <c r="F917" s="295">
        <v>25176</v>
      </c>
      <c r="G917" s="287" t="s">
        <v>1475</v>
      </c>
      <c r="H917" s="266" t="s">
        <v>365</v>
      </c>
      <c r="I917" s="268" t="s">
        <v>242</v>
      </c>
      <c r="J917" s="299" t="s">
        <v>996</v>
      </c>
      <c r="K917" s="259" t="str">
        <f>HYPERLINK("https://okcountyrecords.com/detail/roger+mills/1968-003144","OKCountyRecords: 1968-003144")</f>
        <v>OKCountyRecords: 1968-003144</v>
      </c>
    </row>
    <row r="918" spans="1:11" ht="32.1" customHeight="1" x14ac:dyDescent="0.25">
      <c r="A918" s="278" t="s">
        <v>1485</v>
      </c>
      <c r="B918" s="266"/>
      <c r="C918" s="266" t="s">
        <v>309</v>
      </c>
      <c r="D918" s="283" t="s">
        <v>784</v>
      </c>
      <c r="E918" s="291"/>
      <c r="F918" s="295">
        <v>25743</v>
      </c>
      <c r="G918" s="287" t="s">
        <v>1487</v>
      </c>
      <c r="H918" s="266" t="s">
        <v>367</v>
      </c>
      <c r="I918" s="268" t="s">
        <v>5812</v>
      </c>
      <c r="J918" s="299" t="s">
        <v>996</v>
      </c>
      <c r="K918" s="259" t="str">
        <f>HYPERLINK("https://okcountyrecords.com/detail/roger+mills/1970-001176","OKCountyRecords: 1970-001176")</f>
        <v>OKCountyRecords: 1970-001176</v>
      </c>
    </row>
    <row r="919" spans="1:11" ht="32.1" customHeight="1" x14ac:dyDescent="0.25">
      <c r="A919" s="278" t="s">
        <v>1488</v>
      </c>
      <c r="B919" s="266"/>
      <c r="C919" s="266" t="s">
        <v>309</v>
      </c>
      <c r="D919" s="283" t="s">
        <v>786</v>
      </c>
      <c r="E919" s="291"/>
      <c r="F919" s="295">
        <v>25829</v>
      </c>
      <c r="G919" s="287" t="s">
        <v>340</v>
      </c>
      <c r="H919" s="266" t="s">
        <v>787</v>
      </c>
      <c r="I919" s="268" t="s">
        <v>5812</v>
      </c>
      <c r="J919" s="299" t="s">
        <v>996</v>
      </c>
      <c r="K919" s="259" t="str">
        <f>HYPERLINK("https://okcountyrecords.com/detail/roger+mills/1970-001971","OKCountyRecords: 1970-001971")</f>
        <v>OKCountyRecords: 1970-001971</v>
      </c>
    </row>
    <row r="920" spans="1:11" ht="32.1" customHeight="1" x14ac:dyDescent="0.25">
      <c r="A920" s="278" t="s">
        <v>1490</v>
      </c>
      <c r="B920" s="266"/>
      <c r="C920" s="266" t="s">
        <v>309</v>
      </c>
      <c r="D920" s="283" t="s">
        <v>788</v>
      </c>
      <c r="E920" s="291"/>
      <c r="F920" s="295">
        <v>25829</v>
      </c>
      <c r="G920" s="287" t="s">
        <v>369</v>
      </c>
      <c r="H920" s="266" t="s">
        <v>787</v>
      </c>
      <c r="I920" s="268" t="s">
        <v>5812</v>
      </c>
      <c r="J920" s="299" t="s">
        <v>996</v>
      </c>
      <c r="K920" s="259" t="str">
        <f>HYPERLINK("https://okcountyrecords.com/detail/roger+mills/1970-001972","OKCountyRecords: 1970-001972")</f>
        <v>OKCountyRecords: 1970-001972</v>
      </c>
    </row>
    <row r="921" spans="1:11" ht="32.1" customHeight="1" x14ac:dyDescent="0.25">
      <c r="A921" s="278" t="s">
        <v>1493</v>
      </c>
      <c r="B921" s="266"/>
      <c r="C921" s="266" t="s">
        <v>309</v>
      </c>
      <c r="D921" s="283" t="s">
        <v>790</v>
      </c>
      <c r="E921" s="291"/>
      <c r="F921" s="295">
        <v>25829</v>
      </c>
      <c r="G921" s="287" t="s">
        <v>348</v>
      </c>
      <c r="H921" s="266" t="s">
        <v>787</v>
      </c>
      <c r="I921" s="268" t="s">
        <v>5812</v>
      </c>
      <c r="J921" s="299" t="s">
        <v>996</v>
      </c>
      <c r="K921" s="259" t="str">
        <f>HYPERLINK("https://okcountyrecords.com/detail/roger+mills/1970-001973","OKCountyRecords: 1970-001973")</f>
        <v>OKCountyRecords: 1970-001973</v>
      </c>
    </row>
    <row r="922" spans="1:11" ht="32.1" customHeight="1" x14ac:dyDescent="0.25">
      <c r="A922" s="278" t="s">
        <v>1495</v>
      </c>
      <c r="B922" s="266"/>
      <c r="C922" s="266" t="s">
        <v>309</v>
      </c>
      <c r="D922" s="283" t="s">
        <v>791</v>
      </c>
      <c r="E922" s="291"/>
      <c r="F922" s="295">
        <v>25884</v>
      </c>
      <c r="G922" s="287" t="s">
        <v>370</v>
      </c>
      <c r="H922" s="266" t="s">
        <v>371</v>
      </c>
      <c r="I922" s="268" t="s">
        <v>5812</v>
      </c>
      <c r="J922" s="299" t="s">
        <v>996</v>
      </c>
      <c r="K922" s="259" t="str">
        <f>HYPERLINK("https://okcountyrecords.com/detail/roger+mills/1970-002603","OKCountyRecords: 1970-002603")</f>
        <v>OKCountyRecords: 1970-002603</v>
      </c>
    </row>
    <row r="923" spans="1:11" ht="32.1" customHeight="1" x14ac:dyDescent="0.25">
      <c r="A923" s="278" t="s">
        <v>1497</v>
      </c>
      <c r="B923" s="266"/>
      <c r="C923" s="266" t="s">
        <v>114</v>
      </c>
      <c r="D923" s="283" t="s">
        <v>6284</v>
      </c>
      <c r="E923" s="291"/>
      <c r="F923" s="295">
        <v>25885</v>
      </c>
      <c r="G923" s="287" t="s">
        <v>359</v>
      </c>
      <c r="H923" s="266" t="s">
        <v>1499</v>
      </c>
      <c r="I923" s="268" t="s">
        <v>5812</v>
      </c>
      <c r="J923" s="299" t="s">
        <v>996</v>
      </c>
      <c r="K923" s="259" t="str">
        <f>HYPERLINK("https://okcountyrecords.com/detail/roger+mills/1970-002661","OKCountyRecords: 1970-002661")</f>
        <v>OKCountyRecords: 1970-002661</v>
      </c>
    </row>
    <row r="924" spans="1:11" ht="32.1" customHeight="1" x14ac:dyDescent="0.25">
      <c r="A924" s="278" t="s">
        <v>1500</v>
      </c>
      <c r="B924" s="266"/>
      <c r="C924" s="266" t="s">
        <v>114</v>
      </c>
      <c r="D924" s="283" t="s">
        <v>6287</v>
      </c>
      <c r="E924" s="291"/>
      <c r="F924" s="295">
        <v>25885</v>
      </c>
      <c r="G924" s="287" t="s">
        <v>359</v>
      </c>
      <c r="H924" s="266" t="s">
        <v>1499</v>
      </c>
      <c r="I924" s="268" t="s">
        <v>5812</v>
      </c>
      <c r="J924" s="299" t="s">
        <v>996</v>
      </c>
      <c r="K924" s="259" t="str">
        <f>HYPERLINK("https://okcountyrecords.com/detail/roger+mills/1970-002662","OKCountyRecords: 1970-002662")</f>
        <v>OKCountyRecords: 1970-002662</v>
      </c>
    </row>
    <row r="925" spans="1:11" ht="32.1" customHeight="1" x14ac:dyDescent="0.25">
      <c r="A925" s="278" t="s">
        <v>1502</v>
      </c>
      <c r="B925" s="266"/>
      <c r="C925" s="266" t="s">
        <v>114</v>
      </c>
      <c r="D925" s="283" t="s">
        <v>6289</v>
      </c>
      <c r="E925" s="291"/>
      <c r="F925" s="295">
        <v>25885</v>
      </c>
      <c r="G925" s="287" t="s">
        <v>359</v>
      </c>
      <c r="H925" s="266" t="s">
        <v>1499</v>
      </c>
      <c r="I925" s="268" t="s">
        <v>5812</v>
      </c>
      <c r="J925" s="299" t="s">
        <v>996</v>
      </c>
      <c r="K925" s="259" t="str">
        <f>HYPERLINK("https://okcountyrecords.com/detail/roger+mills/1970-002663","OKCountyRecords: 1970-002663")</f>
        <v>OKCountyRecords: 1970-002663</v>
      </c>
    </row>
    <row r="926" spans="1:11" ht="32.1" customHeight="1" x14ac:dyDescent="0.25">
      <c r="A926" s="278" t="s">
        <v>1504</v>
      </c>
      <c r="B926" s="266"/>
      <c r="C926" s="266" t="s">
        <v>114</v>
      </c>
      <c r="D926" s="283" t="s">
        <v>6291</v>
      </c>
      <c r="E926" s="291"/>
      <c r="F926" s="295">
        <v>25885</v>
      </c>
      <c r="G926" s="287" t="s">
        <v>787</v>
      </c>
      <c r="H926" s="266" t="s">
        <v>1499</v>
      </c>
      <c r="I926" s="268" t="s">
        <v>5812</v>
      </c>
      <c r="J926" s="299" t="s">
        <v>996</v>
      </c>
      <c r="K926" s="259" t="str">
        <f>HYPERLINK("https://okcountyrecords.com/detail/roger+mills/1970-002664","OKCountyRecords: 1970-002664")</f>
        <v>OKCountyRecords: 1970-002664</v>
      </c>
    </row>
    <row r="927" spans="1:11" ht="32.1" customHeight="1" x14ac:dyDescent="0.25">
      <c r="A927" s="278" t="s">
        <v>1506</v>
      </c>
      <c r="B927" s="266"/>
      <c r="C927" s="266" t="s">
        <v>114</v>
      </c>
      <c r="D927" s="283" t="s">
        <v>6293</v>
      </c>
      <c r="E927" s="291"/>
      <c r="F927" s="295">
        <v>25885</v>
      </c>
      <c r="G927" s="287" t="s">
        <v>787</v>
      </c>
      <c r="H927" s="266" t="s">
        <v>1499</v>
      </c>
      <c r="I927" s="268" t="s">
        <v>5812</v>
      </c>
      <c r="J927" s="299" t="s">
        <v>996</v>
      </c>
      <c r="K927" s="259" t="str">
        <f>HYPERLINK("https://okcountyrecords.com/detail/roger+mills/1970-002665","OKCountyRecords: 1970-002665")</f>
        <v>OKCountyRecords: 1970-002665</v>
      </c>
    </row>
    <row r="928" spans="1:11" ht="32.1" customHeight="1" x14ac:dyDescent="0.25">
      <c r="A928" s="278" t="s">
        <v>1508</v>
      </c>
      <c r="B928" s="266"/>
      <c r="C928" s="266" t="s">
        <v>114</v>
      </c>
      <c r="D928" s="283" t="s">
        <v>6295</v>
      </c>
      <c r="E928" s="291"/>
      <c r="F928" s="295">
        <v>25885</v>
      </c>
      <c r="G928" s="287" t="s">
        <v>787</v>
      </c>
      <c r="H928" s="266" t="s">
        <v>1499</v>
      </c>
      <c r="I928" s="268" t="s">
        <v>5812</v>
      </c>
      <c r="J928" s="299" t="s">
        <v>996</v>
      </c>
      <c r="K928" s="259" t="str">
        <f>HYPERLINK("https://okcountyrecords.com/detail/roger+mills/1970-002666","OKCountyRecords: 1970-002666")</f>
        <v>OKCountyRecords: 1970-002666</v>
      </c>
    </row>
    <row r="929" spans="1:11" ht="32.1" customHeight="1" x14ac:dyDescent="0.25">
      <c r="A929" s="278" t="s">
        <v>1510</v>
      </c>
      <c r="B929" s="266"/>
      <c r="C929" s="266" t="s">
        <v>114</v>
      </c>
      <c r="D929" s="283" t="s">
        <v>6297</v>
      </c>
      <c r="E929" s="291"/>
      <c r="F929" s="295">
        <v>25905</v>
      </c>
      <c r="G929" s="287" t="s">
        <v>359</v>
      </c>
      <c r="H929" s="266" t="s">
        <v>787</v>
      </c>
      <c r="I929" s="268" t="s">
        <v>5812</v>
      </c>
      <c r="J929" s="299" t="s">
        <v>996</v>
      </c>
      <c r="K929" s="259" t="str">
        <f>HYPERLINK("https://okcountyrecords.com/detail/roger+mills/1970-002991","OKCountyRecords: 1970-002991")</f>
        <v>OKCountyRecords: 1970-002991</v>
      </c>
    </row>
    <row r="930" spans="1:11" ht="32.1" customHeight="1" x14ac:dyDescent="0.25">
      <c r="A930" s="278" t="s">
        <v>1512</v>
      </c>
      <c r="B930" s="266"/>
      <c r="C930" s="266" t="s">
        <v>114</v>
      </c>
      <c r="D930" s="283" t="s">
        <v>6300</v>
      </c>
      <c r="E930" s="291"/>
      <c r="F930" s="295">
        <v>25905</v>
      </c>
      <c r="G930" s="287" t="s">
        <v>787</v>
      </c>
      <c r="H930" s="266" t="s">
        <v>1499</v>
      </c>
      <c r="I930" s="268" t="s">
        <v>5812</v>
      </c>
      <c r="J930" s="299" t="s">
        <v>996</v>
      </c>
      <c r="K930" s="259" t="str">
        <f>HYPERLINK("https://okcountyrecords.com/detail/roger+mills/1970-002992","OKCountyRecords: 1970-002992")</f>
        <v>OKCountyRecords: 1970-002992</v>
      </c>
    </row>
    <row r="931" spans="1:11" ht="32.1" customHeight="1" x14ac:dyDescent="0.25">
      <c r="A931" s="278" t="s">
        <v>1514</v>
      </c>
      <c r="B931" s="266"/>
      <c r="C931" s="266" t="s">
        <v>1483</v>
      </c>
      <c r="D931" s="283" t="s">
        <v>6302</v>
      </c>
      <c r="E931" s="291"/>
      <c r="F931" s="295">
        <v>25905</v>
      </c>
      <c r="G931" s="287" t="s">
        <v>1436</v>
      </c>
      <c r="H931" s="266" t="s">
        <v>359</v>
      </c>
      <c r="I931" s="268" t="s">
        <v>242</v>
      </c>
      <c r="J931" s="299" t="s">
        <v>996</v>
      </c>
      <c r="K931" s="259" t="str">
        <f>HYPERLINK("https://okcountyrecords.com/detail/roger+mills/1970-003015","OKCountyRecords: 1970-003015")</f>
        <v>OKCountyRecords: 1970-003015</v>
      </c>
    </row>
    <row r="932" spans="1:11" ht="32.1" customHeight="1" x14ac:dyDescent="0.25">
      <c r="A932" s="278" t="s">
        <v>1516</v>
      </c>
      <c r="B932" s="266"/>
      <c r="C932" s="266" t="s">
        <v>309</v>
      </c>
      <c r="D932" s="283" t="s">
        <v>794</v>
      </c>
      <c r="E932" s="291"/>
      <c r="F932" s="295">
        <v>25910</v>
      </c>
      <c r="G932" s="287" t="s">
        <v>372</v>
      </c>
      <c r="H932" s="266" t="s">
        <v>787</v>
      </c>
      <c r="I932" s="268" t="s">
        <v>5812</v>
      </c>
      <c r="J932" s="299" t="s">
        <v>996</v>
      </c>
      <c r="K932" s="259" t="str">
        <f>HYPERLINK("https://okcountyrecords.com/detail/roger+mills/1970-003106","OKCountyRecords: 1970-003106")</f>
        <v>OKCountyRecords: 1970-003106</v>
      </c>
    </row>
    <row r="933" spans="1:11" ht="32.1" customHeight="1" x14ac:dyDescent="0.25">
      <c r="A933" s="278" t="s">
        <v>1518</v>
      </c>
      <c r="B933" s="266"/>
      <c r="C933" s="266" t="s">
        <v>114</v>
      </c>
      <c r="D933" s="283" t="s">
        <v>6306</v>
      </c>
      <c r="E933" s="291"/>
      <c r="F933" s="295">
        <v>25910</v>
      </c>
      <c r="G933" s="287" t="s">
        <v>787</v>
      </c>
      <c r="H933" s="266" t="s">
        <v>1499</v>
      </c>
      <c r="I933" s="268" t="s">
        <v>5812</v>
      </c>
      <c r="J933" s="299" t="s">
        <v>996</v>
      </c>
      <c r="K933" s="259" t="str">
        <f>HYPERLINK("https://okcountyrecords.com/detail/roger+mills/1970-003107","OKCountyRecords: 1970-003107")</f>
        <v>OKCountyRecords: 1970-003107</v>
      </c>
    </row>
    <row r="934" spans="1:11" ht="32.1" customHeight="1" x14ac:dyDescent="0.25">
      <c r="A934" s="278" t="s">
        <v>1520</v>
      </c>
      <c r="B934" s="266"/>
      <c r="C934" s="266" t="s">
        <v>993</v>
      </c>
      <c r="D934" s="283" t="s">
        <v>6308</v>
      </c>
      <c r="E934" s="291"/>
      <c r="F934" s="295">
        <v>26071</v>
      </c>
      <c r="G934" s="287" t="s">
        <v>1499</v>
      </c>
      <c r="H934" s="266" t="s">
        <v>1436</v>
      </c>
      <c r="I934" s="268" t="s">
        <v>242</v>
      </c>
      <c r="J934" s="299" t="s">
        <v>996</v>
      </c>
      <c r="K934" s="259" t="str">
        <f>HYPERLINK("https://okcountyrecords.com/detail/roger+mills/1971-001694","OKCountyRecords: 1971-001694")</f>
        <v>OKCountyRecords: 1971-001694</v>
      </c>
    </row>
    <row r="935" spans="1:11" ht="32.1" customHeight="1" x14ac:dyDescent="0.25">
      <c r="A935" s="278" t="s">
        <v>1522</v>
      </c>
      <c r="B935" s="266"/>
      <c r="C935" s="266" t="s">
        <v>309</v>
      </c>
      <c r="D935" s="283" t="s">
        <v>795</v>
      </c>
      <c r="E935" s="291"/>
      <c r="F935" s="295">
        <v>26130</v>
      </c>
      <c r="G935" s="287" t="s">
        <v>373</v>
      </c>
      <c r="H935" s="266" t="s">
        <v>359</v>
      </c>
      <c r="I935" s="268" t="s">
        <v>242</v>
      </c>
      <c r="J935" s="299" t="s">
        <v>996</v>
      </c>
      <c r="K935" s="259" t="str">
        <f>HYPERLINK("https://okcountyrecords.com/detail/roger+mills/1971-002243","OKCountyRecords: 1971-002243")</f>
        <v>OKCountyRecords: 1971-002243</v>
      </c>
    </row>
    <row r="936" spans="1:11" ht="32.1" customHeight="1" x14ac:dyDescent="0.25">
      <c r="A936" s="278" t="s">
        <v>1524</v>
      </c>
      <c r="B936" s="266"/>
      <c r="C936" s="266" t="s">
        <v>114</v>
      </c>
      <c r="D936" s="283" t="s">
        <v>6313</v>
      </c>
      <c r="E936" s="291"/>
      <c r="F936" s="295">
        <v>26130</v>
      </c>
      <c r="G936" s="287" t="s">
        <v>359</v>
      </c>
      <c r="H936" s="266" t="s">
        <v>1499</v>
      </c>
      <c r="I936" s="268" t="s">
        <v>242</v>
      </c>
      <c r="J936" s="299" t="s">
        <v>996</v>
      </c>
      <c r="K936" s="259" t="str">
        <f>HYPERLINK("https://okcountyrecords.com/detail/roger+mills/1971-002244","OKCountyRecords: 1971-002244")</f>
        <v>OKCountyRecords: 1971-002244</v>
      </c>
    </row>
    <row r="937" spans="1:11" ht="32.1" customHeight="1" x14ac:dyDescent="0.25">
      <c r="A937" s="278" t="s">
        <v>1526</v>
      </c>
      <c r="B937" s="266"/>
      <c r="C937" s="266" t="s">
        <v>309</v>
      </c>
      <c r="D937" s="283" t="s">
        <v>797</v>
      </c>
      <c r="E937" s="291"/>
      <c r="F937" s="295">
        <v>26158</v>
      </c>
      <c r="G937" s="287" t="s">
        <v>374</v>
      </c>
      <c r="H937" s="266" t="s">
        <v>1528</v>
      </c>
      <c r="I937" s="268" t="s">
        <v>242</v>
      </c>
      <c r="J937" s="299" t="s">
        <v>996</v>
      </c>
      <c r="K937" s="259" t="str">
        <f>HYPERLINK("https://okcountyrecords.com/detail/roger+mills/1971-002664","OKCountyRecords: 1971-002664")</f>
        <v>OKCountyRecords: 1971-002664</v>
      </c>
    </row>
    <row r="938" spans="1:11" ht="32.1" customHeight="1" x14ac:dyDescent="0.25">
      <c r="A938" s="278" t="s">
        <v>1529</v>
      </c>
      <c r="B938" s="266"/>
      <c r="C938" s="266" t="s">
        <v>114</v>
      </c>
      <c r="D938" s="283" t="s">
        <v>6317</v>
      </c>
      <c r="E938" s="291"/>
      <c r="F938" s="295">
        <v>26193</v>
      </c>
      <c r="G938" s="287" t="s">
        <v>374</v>
      </c>
      <c r="H938" s="266" t="s">
        <v>799</v>
      </c>
      <c r="I938" s="268" t="s">
        <v>242</v>
      </c>
      <c r="J938" s="299" t="s">
        <v>996</v>
      </c>
      <c r="K938" s="259" t="str">
        <f>HYPERLINK("https://okcountyrecords.com/detail/roger+mills/1971-003272","OKCountyRecords: 1971-003272")</f>
        <v>OKCountyRecords: 1971-003272</v>
      </c>
    </row>
    <row r="939" spans="1:11" ht="32.1" customHeight="1" x14ac:dyDescent="0.25">
      <c r="A939" s="278" t="s">
        <v>1531</v>
      </c>
      <c r="B939" s="266"/>
      <c r="C939" s="266" t="s">
        <v>114</v>
      </c>
      <c r="D939" s="283" t="s">
        <v>6320</v>
      </c>
      <c r="E939" s="291"/>
      <c r="F939" s="295">
        <v>26231</v>
      </c>
      <c r="G939" s="287" t="s">
        <v>1499</v>
      </c>
      <c r="H939" s="266" t="s">
        <v>1533</v>
      </c>
      <c r="I939" s="268" t="s">
        <v>6193</v>
      </c>
      <c r="J939" s="299" t="s">
        <v>996</v>
      </c>
      <c r="K939" s="259" t="str">
        <f>HYPERLINK("https://okcountyrecords.com/detail/roger+mills/1971-003746","OKCountyRecords: 1971-003746")</f>
        <v>OKCountyRecords: 1971-003746</v>
      </c>
    </row>
    <row r="940" spans="1:11" ht="32.1" customHeight="1" x14ac:dyDescent="0.25">
      <c r="A940" s="278" t="s">
        <v>1534</v>
      </c>
      <c r="B940" s="266"/>
      <c r="C940" s="266" t="s">
        <v>114</v>
      </c>
      <c r="D940" s="283" t="s">
        <v>6323</v>
      </c>
      <c r="E940" s="291"/>
      <c r="F940" s="295">
        <v>26287</v>
      </c>
      <c r="G940" s="287" t="s">
        <v>1499</v>
      </c>
      <c r="H940" s="266" t="s">
        <v>1533</v>
      </c>
      <c r="I940" s="268" t="s">
        <v>5812</v>
      </c>
      <c r="J940" s="299" t="s">
        <v>996</v>
      </c>
      <c r="K940" s="259" t="str">
        <f>HYPERLINK("https://okcountyrecords.com/detail/roger+mills/1971-004499","OKCountyRecords: 1971-004499")</f>
        <v>OKCountyRecords: 1971-004499</v>
      </c>
    </row>
    <row r="941" spans="1:11" ht="32.1" customHeight="1" x14ac:dyDescent="0.25">
      <c r="A941" s="278" t="s">
        <v>1536</v>
      </c>
      <c r="B941" s="266"/>
      <c r="C941" s="266" t="s">
        <v>309</v>
      </c>
      <c r="D941" s="283" t="s">
        <v>800</v>
      </c>
      <c r="E941" s="291"/>
      <c r="F941" s="295">
        <v>26500</v>
      </c>
      <c r="G941" s="287" t="s">
        <v>376</v>
      </c>
      <c r="H941" s="266" t="s">
        <v>1528</v>
      </c>
      <c r="I941" s="268" t="s">
        <v>5812</v>
      </c>
      <c r="J941" s="299" t="s">
        <v>996</v>
      </c>
      <c r="K941" s="259" t="str">
        <f>HYPERLINK("https://okcountyrecords.com/detail/roger+mills/1972-002543","OKCountyRecords: 1972-002543")</f>
        <v>OKCountyRecords: 1972-002543</v>
      </c>
    </row>
    <row r="942" spans="1:11" ht="32.1" customHeight="1" x14ac:dyDescent="0.25">
      <c r="A942" s="278" t="s">
        <v>1538</v>
      </c>
      <c r="B942" s="266"/>
      <c r="C942" s="266" t="s">
        <v>114</v>
      </c>
      <c r="D942" s="283" t="s">
        <v>6328</v>
      </c>
      <c r="E942" s="291"/>
      <c r="F942" s="295">
        <v>26500</v>
      </c>
      <c r="G942" s="287" t="s">
        <v>1540</v>
      </c>
      <c r="H942" s="266" t="s">
        <v>1528</v>
      </c>
      <c r="I942" s="268" t="s">
        <v>5812</v>
      </c>
      <c r="J942" s="299" t="s">
        <v>996</v>
      </c>
      <c r="K942" s="259" t="str">
        <f>HYPERLINK("https://okcountyrecords.com/detail/roger+mills/1972-002544","OKCountyRecords: 1972-002544")</f>
        <v>OKCountyRecords: 1972-002544</v>
      </c>
    </row>
    <row r="943" spans="1:11" ht="32.1" customHeight="1" x14ac:dyDescent="0.25">
      <c r="A943" s="278" t="s">
        <v>1541</v>
      </c>
      <c r="B943" s="266"/>
      <c r="C943" s="266" t="s">
        <v>1091</v>
      </c>
      <c r="D943" s="283" t="s">
        <v>6330</v>
      </c>
      <c r="E943" s="291"/>
      <c r="F943" s="295">
        <v>26500</v>
      </c>
      <c r="G943" s="287" t="s">
        <v>1543</v>
      </c>
      <c r="H943" s="266" t="s">
        <v>1544</v>
      </c>
      <c r="I943" s="268" t="s">
        <v>5812</v>
      </c>
      <c r="J943" s="299" t="s">
        <v>1095</v>
      </c>
      <c r="K943" s="259" t="str">
        <f>HYPERLINK("https://okcountyrecords.com/detail/roger+mills/1972-002545","OKCountyRecords: 1972-002545")</f>
        <v>OKCountyRecords: 1972-002545</v>
      </c>
    </row>
    <row r="944" spans="1:11" ht="32.1" customHeight="1" x14ac:dyDescent="0.25">
      <c r="A944" s="278" t="s">
        <v>1545</v>
      </c>
      <c r="B944" s="266"/>
      <c r="C944" s="266" t="s">
        <v>309</v>
      </c>
      <c r="D944" s="283" t="s">
        <v>802</v>
      </c>
      <c r="E944" s="291"/>
      <c r="F944" s="295">
        <v>26500</v>
      </c>
      <c r="G944" s="287" t="s">
        <v>377</v>
      </c>
      <c r="H944" s="266" t="s">
        <v>1528</v>
      </c>
      <c r="I944" s="268" t="s">
        <v>5812</v>
      </c>
      <c r="J944" s="299" t="s">
        <v>996</v>
      </c>
      <c r="K944" s="259" t="str">
        <f>HYPERLINK("https://okcountyrecords.com/detail/roger+mills/1972-002561","OKCountyRecords: 1972-002561")</f>
        <v>OKCountyRecords: 1972-002561</v>
      </c>
    </row>
    <row r="945" spans="1:11" ht="32.1" customHeight="1" x14ac:dyDescent="0.25">
      <c r="A945" s="278" t="s">
        <v>1547</v>
      </c>
      <c r="B945" s="266"/>
      <c r="C945" s="266" t="s">
        <v>1091</v>
      </c>
      <c r="D945" s="283" t="s">
        <v>6333</v>
      </c>
      <c r="E945" s="291"/>
      <c r="F945" s="295">
        <v>26500</v>
      </c>
      <c r="G945" s="287" t="s">
        <v>1549</v>
      </c>
      <c r="H945" s="266" t="s">
        <v>1550</v>
      </c>
      <c r="I945" s="268" t="s">
        <v>5812</v>
      </c>
      <c r="J945" s="299" t="s">
        <v>1095</v>
      </c>
      <c r="K945" s="259" t="str">
        <f>HYPERLINK("https://okcountyrecords.com/detail/roger+mills/1972-002562","OKCountyRecords: 1972-002562")</f>
        <v>OKCountyRecords: 1972-002562</v>
      </c>
    </row>
    <row r="946" spans="1:11" ht="32.1" customHeight="1" x14ac:dyDescent="0.25">
      <c r="A946" s="278" t="s">
        <v>1551</v>
      </c>
      <c r="B946" s="266"/>
      <c r="C946" s="266" t="s">
        <v>114</v>
      </c>
      <c r="D946" s="283" t="s">
        <v>6335</v>
      </c>
      <c r="E946" s="291"/>
      <c r="F946" s="295">
        <v>26500</v>
      </c>
      <c r="G946" s="287" t="s">
        <v>1553</v>
      </c>
      <c r="H946" s="266" t="s">
        <v>1528</v>
      </c>
      <c r="I946" s="268" t="s">
        <v>5812</v>
      </c>
      <c r="J946" s="299" t="s">
        <v>996</v>
      </c>
      <c r="K946" s="259" t="str">
        <f>HYPERLINK("https://okcountyrecords.com/detail/roger+mills/1972-002563","OKCountyRecords: 1972-002563")</f>
        <v>OKCountyRecords: 1972-002563</v>
      </c>
    </row>
    <row r="947" spans="1:11" ht="32.1" customHeight="1" x14ac:dyDescent="0.25">
      <c r="A947" s="278" t="s">
        <v>1554</v>
      </c>
      <c r="B947" s="266"/>
      <c r="C947" s="266" t="s">
        <v>309</v>
      </c>
      <c r="D947" s="283" t="s">
        <v>804</v>
      </c>
      <c r="E947" s="291"/>
      <c r="F947" s="295">
        <v>26791</v>
      </c>
      <c r="G947" s="287" t="s">
        <v>378</v>
      </c>
      <c r="H947" s="266" t="s">
        <v>806</v>
      </c>
      <c r="I947" s="268" t="s">
        <v>242</v>
      </c>
      <c r="J947" s="299" t="s">
        <v>996</v>
      </c>
      <c r="K947" s="259" t="str">
        <f>HYPERLINK("https://okcountyrecords.com/detail/roger+mills/1973-001367","OKCountyRecords: 1973-001367")</f>
        <v>OKCountyRecords: 1973-001367</v>
      </c>
    </row>
    <row r="948" spans="1:11" ht="32.1" customHeight="1" x14ac:dyDescent="0.25">
      <c r="A948" s="278" t="s">
        <v>1556</v>
      </c>
      <c r="B948" s="266"/>
      <c r="C948" s="266" t="s">
        <v>309</v>
      </c>
      <c r="D948" s="283" t="s">
        <v>807</v>
      </c>
      <c r="E948" s="291"/>
      <c r="F948" s="295">
        <v>26882</v>
      </c>
      <c r="G948" s="287" t="s">
        <v>380</v>
      </c>
      <c r="H948" s="266" t="s">
        <v>806</v>
      </c>
      <c r="I948" s="268" t="s">
        <v>242</v>
      </c>
      <c r="J948" s="299" t="s">
        <v>996</v>
      </c>
      <c r="K948" s="259" t="str">
        <f>HYPERLINK("https://okcountyrecords.com/detail/roger+mills/1973-002502","OKCountyRecords: 1973-002502")</f>
        <v>OKCountyRecords: 1973-002502</v>
      </c>
    </row>
    <row r="949" spans="1:11" ht="32.1" customHeight="1" x14ac:dyDescent="0.25">
      <c r="A949" s="278" t="s">
        <v>1559</v>
      </c>
      <c r="B949" s="266"/>
      <c r="C949" s="266" t="s">
        <v>309</v>
      </c>
      <c r="D949" s="283" t="s">
        <v>809</v>
      </c>
      <c r="E949" s="291"/>
      <c r="F949" s="295">
        <v>27036</v>
      </c>
      <c r="G949" s="287" t="s">
        <v>381</v>
      </c>
      <c r="H949" s="266" t="s">
        <v>806</v>
      </c>
      <c r="I949" s="268" t="s">
        <v>5812</v>
      </c>
      <c r="J949" s="299" t="s">
        <v>996</v>
      </c>
      <c r="K949" s="259" t="str">
        <f>HYPERLINK("https://okcountyrecords.com/detail/roger+mills/1974-000130","OKCountyRecords: 1974-000130")</f>
        <v>OKCountyRecords: 1974-000130</v>
      </c>
    </row>
    <row r="950" spans="1:11" ht="32.1" customHeight="1" x14ac:dyDescent="0.25">
      <c r="A950" s="278" t="s">
        <v>1561</v>
      </c>
      <c r="B950" s="266"/>
      <c r="C950" s="266" t="s">
        <v>969</v>
      </c>
      <c r="D950" s="283" t="s">
        <v>6343</v>
      </c>
      <c r="E950" s="291"/>
      <c r="F950" s="295">
        <v>27121</v>
      </c>
      <c r="G950" s="287" t="s">
        <v>1475</v>
      </c>
      <c r="H950" s="266" t="s">
        <v>1563</v>
      </c>
      <c r="I950" s="268" t="s">
        <v>242</v>
      </c>
      <c r="J950" s="299" t="s">
        <v>985</v>
      </c>
      <c r="K950" s="259" t="str">
        <f>HYPERLINK("https://okcountyrecords.com/detail/roger+mills/1974-001152","OKCountyRecords: 1974-001152")</f>
        <v>OKCountyRecords: 1974-001152</v>
      </c>
    </row>
    <row r="951" spans="1:11" ht="32.1" customHeight="1" x14ac:dyDescent="0.25">
      <c r="A951" s="278" t="s">
        <v>1564</v>
      </c>
      <c r="B951" s="266"/>
      <c r="C951" s="266" t="s">
        <v>309</v>
      </c>
      <c r="D951" s="283" t="s">
        <v>810</v>
      </c>
      <c r="E951" s="291"/>
      <c r="F951" s="295">
        <v>27148</v>
      </c>
      <c r="G951" s="287" t="s">
        <v>382</v>
      </c>
      <c r="H951" s="266" t="s">
        <v>383</v>
      </c>
      <c r="I951" s="268" t="s">
        <v>5812</v>
      </c>
      <c r="J951" s="299" t="s">
        <v>996</v>
      </c>
      <c r="K951" s="259" t="str">
        <f>HYPERLINK("https://okcountyrecords.com/detail/roger+mills/1974-001419","OKCountyRecords: 1974-001419")</f>
        <v>OKCountyRecords: 1974-001419</v>
      </c>
    </row>
    <row r="952" spans="1:11" ht="32.1" customHeight="1" x14ac:dyDescent="0.25">
      <c r="A952" s="278" t="s">
        <v>1566</v>
      </c>
      <c r="B952" s="266"/>
      <c r="C952" s="266" t="s">
        <v>969</v>
      </c>
      <c r="D952" s="283" t="s">
        <v>6348</v>
      </c>
      <c r="E952" s="291"/>
      <c r="F952" s="295">
        <v>27163</v>
      </c>
      <c r="G952" s="287" t="s">
        <v>1568</v>
      </c>
      <c r="H952" s="266" t="s">
        <v>1569</v>
      </c>
      <c r="I952" s="268" t="s">
        <v>5812</v>
      </c>
      <c r="J952" s="299" t="s">
        <v>985</v>
      </c>
      <c r="K952" s="259" t="str">
        <f>HYPERLINK("https://okcountyrecords.com/detail/roger+mills/1974-001639","OKCountyRecords: 1974-001639")</f>
        <v>OKCountyRecords: 1974-001639</v>
      </c>
    </row>
    <row r="953" spans="1:11" ht="32.1" customHeight="1" x14ac:dyDescent="0.25">
      <c r="A953" s="278" t="s">
        <v>1570</v>
      </c>
      <c r="B953" s="266"/>
      <c r="C953" s="266" t="s">
        <v>969</v>
      </c>
      <c r="D953" s="283" t="s">
        <v>6351</v>
      </c>
      <c r="E953" s="291"/>
      <c r="F953" s="295">
        <v>27171</v>
      </c>
      <c r="G953" s="287" t="s">
        <v>1569</v>
      </c>
      <c r="H953" s="266" t="s">
        <v>1572</v>
      </c>
      <c r="I953" s="268" t="s">
        <v>5812</v>
      </c>
      <c r="J953" s="299" t="s">
        <v>985</v>
      </c>
      <c r="K953" s="259" t="str">
        <f>HYPERLINK("https://okcountyrecords.com/detail/roger+mills/1974-001700","OKCountyRecords: 1974-001700")</f>
        <v>OKCountyRecords: 1974-001700</v>
      </c>
    </row>
    <row r="954" spans="1:11" ht="32.1" customHeight="1" x14ac:dyDescent="0.25">
      <c r="A954" s="278" t="s">
        <v>1573</v>
      </c>
      <c r="B954" s="266"/>
      <c r="C954" s="266" t="s">
        <v>969</v>
      </c>
      <c r="D954" s="283" t="s">
        <v>6354</v>
      </c>
      <c r="E954" s="291"/>
      <c r="F954" s="295">
        <v>27207</v>
      </c>
      <c r="G954" s="287" t="s">
        <v>1569</v>
      </c>
      <c r="H954" s="266" t="s">
        <v>1575</v>
      </c>
      <c r="I954" s="268" t="s">
        <v>5812</v>
      </c>
      <c r="J954" s="299" t="s">
        <v>985</v>
      </c>
      <c r="K954" s="259" t="str">
        <f>HYPERLINK("https://okcountyrecords.com/detail/roger+mills/1974-002044","OKCountyRecords: 1974-002044")</f>
        <v>OKCountyRecords: 1974-002044</v>
      </c>
    </row>
    <row r="955" spans="1:11" ht="32.1" customHeight="1" x14ac:dyDescent="0.25">
      <c r="A955" s="278" t="s">
        <v>1576</v>
      </c>
      <c r="B955" s="266"/>
      <c r="C955" s="266" t="s">
        <v>969</v>
      </c>
      <c r="D955" s="283" t="s">
        <v>6357</v>
      </c>
      <c r="E955" s="291"/>
      <c r="F955" s="295">
        <v>27481</v>
      </c>
      <c r="G955" s="287" t="s">
        <v>1569</v>
      </c>
      <c r="H955" s="266" t="s">
        <v>416</v>
      </c>
      <c r="I955" s="268" t="s">
        <v>5812</v>
      </c>
      <c r="J955" s="299" t="s">
        <v>985</v>
      </c>
      <c r="K955" s="259" t="str">
        <f>HYPERLINK("https://okcountyrecords.com/detail/roger+mills/1975-000869","OKCountyRecords: 1975-000869")</f>
        <v>OKCountyRecords: 1975-000869</v>
      </c>
    </row>
    <row r="956" spans="1:11" ht="32.1" customHeight="1" x14ac:dyDescent="0.25">
      <c r="A956" s="278" t="s">
        <v>1578</v>
      </c>
      <c r="B956" s="266"/>
      <c r="C956" s="266" t="s">
        <v>309</v>
      </c>
      <c r="D956" s="283" t="s">
        <v>811</v>
      </c>
      <c r="E956" s="291"/>
      <c r="F956" s="295">
        <v>27862</v>
      </c>
      <c r="G956" s="287" t="s">
        <v>384</v>
      </c>
      <c r="H956" s="266" t="s">
        <v>812</v>
      </c>
      <c r="I956" s="268" t="s">
        <v>242</v>
      </c>
      <c r="J956" s="299" t="s">
        <v>996</v>
      </c>
      <c r="K956" s="259" t="str">
        <f>HYPERLINK("https://okcountyrecords.com/detail/roger+mills/1976-001369","OKCountyRecords: 1976-001369")</f>
        <v>OKCountyRecords: 1976-001369</v>
      </c>
    </row>
    <row r="957" spans="1:11" ht="32.1" customHeight="1" x14ac:dyDescent="0.25">
      <c r="A957" s="278" t="s">
        <v>1580</v>
      </c>
      <c r="B957" s="266"/>
      <c r="C957" s="266" t="s">
        <v>969</v>
      </c>
      <c r="D957" s="283" t="s">
        <v>6362</v>
      </c>
      <c r="E957" s="291"/>
      <c r="F957" s="295">
        <v>28005</v>
      </c>
      <c r="G957" s="287" t="s">
        <v>1563</v>
      </c>
      <c r="H957" s="266" t="s">
        <v>1582</v>
      </c>
      <c r="I957" s="268" t="s">
        <v>242</v>
      </c>
      <c r="J957" s="299" t="s">
        <v>985</v>
      </c>
      <c r="K957" s="259" t="str">
        <f>HYPERLINK("https://okcountyrecords.com/detail/roger+mills/1976-003251","OKCountyRecords: 1976-003251")</f>
        <v>OKCountyRecords: 1976-003251</v>
      </c>
    </row>
    <row r="958" spans="1:11" ht="32.1" customHeight="1" x14ac:dyDescent="0.25">
      <c r="A958" s="278" t="s">
        <v>1583</v>
      </c>
      <c r="B958" s="266"/>
      <c r="C958" s="266" t="s">
        <v>114</v>
      </c>
      <c r="D958" s="283" t="s">
        <v>6365</v>
      </c>
      <c r="E958" s="291">
        <v>28026</v>
      </c>
      <c r="F958" s="295">
        <v>27964</v>
      </c>
      <c r="G958" s="287" t="s">
        <v>812</v>
      </c>
      <c r="H958" s="266" t="s">
        <v>1585</v>
      </c>
      <c r="I958" s="268" t="s">
        <v>6367</v>
      </c>
      <c r="J958" s="299" t="s">
        <v>996</v>
      </c>
      <c r="K958" s="259" t="str">
        <f>HYPERLINK("https://okcountyrecords.com/detail/roger+mills/1976-003640","OKCountyRecords: 1976-003640")</f>
        <v>OKCountyRecords: 1976-003640</v>
      </c>
    </row>
    <row r="959" spans="1:11" ht="32.1" customHeight="1" x14ac:dyDescent="0.25">
      <c r="A959" s="278" t="s">
        <v>1587</v>
      </c>
      <c r="B959" s="266"/>
      <c r="C959" s="266" t="s">
        <v>114</v>
      </c>
      <c r="D959" s="283" t="s">
        <v>6369</v>
      </c>
      <c r="E959" s="291">
        <v>28167</v>
      </c>
      <c r="F959" s="295">
        <v>27962</v>
      </c>
      <c r="G959" s="287" t="s">
        <v>812</v>
      </c>
      <c r="H959" s="266" t="s">
        <v>1533</v>
      </c>
      <c r="I959" s="268" t="s">
        <v>6367</v>
      </c>
      <c r="J959" s="299" t="s">
        <v>996</v>
      </c>
      <c r="K959" s="259" t="str">
        <f>HYPERLINK("https://okcountyrecords.com/detail/roger+mills/1977-000812","OKCountyRecords: 1977-000812")</f>
        <v>OKCountyRecords: 1977-000812</v>
      </c>
    </row>
    <row r="960" spans="1:11" ht="32.1" customHeight="1" x14ac:dyDescent="0.25">
      <c r="A960" s="278" t="s">
        <v>1589</v>
      </c>
      <c r="B960" s="266"/>
      <c r="C960" s="266" t="s">
        <v>309</v>
      </c>
      <c r="D960" s="283" t="s">
        <v>813</v>
      </c>
      <c r="E960" s="291"/>
      <c r="F960" s="295">
        <v>28167</v>
      </c>
      <c r="G960" s="287" t="s">
        <v>386</v>
      </c>
      <c r="H960" s="266" t="s">
        <v>387</v>
      </c>
      <c r="I960" s="268" t="s">
        <v>5812</v>
      </c>
      <c r="J960" s="299" t="s">
        <v>996</v>
      </c>
      <c r="K960" s="259" t="str">
        <f>HYPERLINK("https://okcountyrecords.com/detail/roger+mills/1977-000821","OKCountyRecords: 1977-000821")</f>
        <v>OKCountyRecords: 1977-000821</v>
      </c>
    </row>
    <row r="961" spans="1:11" ht="32.1" customHeight="1" x14ac:dyDescent="0.25">
      <c r="A961" s="278" t="s">
        <v>1591</v>
      </c>
      <c r="B961" s="266"/>
      <c r="C961" s="266" t="s">
        <v>114</v>
      </c>
      <c r="D961" s="283" t="s">
        <v>6373</v>
      </c>
      <c r="E961" s="291"/>
      <c r="F961" s="295">
        <v>28412</v>
      </c>
      <c r="G961" s="287" t="s">
        <v>1533</v>
      </c>
      <c r="H961" s="266" t="s">
        <v>812</v>
      </c>
      <c r="I961" s="268" t="s">
        <v>5812</v>
      </c>
      <c r="J961" s="299" t="s">
        <v>996</v>
      </c>
      <c r="K961" s="259" t="str">
        <f>HYPERLINK("https://okcountyrecords.com/detail/roger+mills/1977-006651","OKCountyRecords: 1977-006651")</f>
        <v>OKCountyRecords: 1977-006651</v>
      </c>
    </row>
    <row r="962" spans="1:11" ht="32.1" customHeight="1" x14ac:dyDescent="0.25">
      <c r="A962" s="278" t="s">
        <v>1593</v>
      </c>
      <c r="B962" s="266"/>
      <c r="C962" s="266" t="s">
        <v>969</v>
      </c>
      <c r="D962" s="283" t="s">
        <v>6376</v>
      </c>
      <c r="E962" s="291"/>
      <c r="F962" s="295">
        <v>28445</v>
      </c>
      <c r="G962" s="287" t="s">
        <v>1582</v>
      </c>
      <c r="H962" s="266" t="s">
        <v>411</v>
      </c>
      <c r="I962" s="268" t="s">
        <v>242</v>
      </c>
      <c r="J962" s="299" t="s">
        <v>985</v>
      </c>
      <c r="K962" s="259" t="str">
        <f>HYPERLINK("https://okcountyrecords.com/detail/roger+mills/1977-007503","OKCountyRecords: 1977-007503")</f>
        <v>OKCountyRecords: 1977-007503</v>
      </c>
    </row>
    <row r="963" spans="1:11" ht="32.1" customHeight="1" x14ac:dyDescent="0.25">
      <c r="A963" s="278" t="s">
        <v>1595</v>
      </c>
      <c r="B963" s="266"/>
      <c r="C963" s="266" t="s">
        <v>309</v>
      </c>
      <c r="D963" s="283" t="s">
        <v>815</v>
      </c>
      <c r="E963" s="291"/>
      <c r="F963" s="295">
        <v>28447</v>
      </c>
      <c r="G963" s="287" t="s">
        <v>1597</v>
      </c>
      <c r="H963" s="266" t="s">
        <v>817</v>
      </c>
      <c r="I963" s="268" t="s">
        <v>5812</v>
      </c>
      <c r="J963" s="299" t="s">
        <v>996</v>
      </c>
      <c r="K963" s="259" t="str">
        <f>HYPERLINK("https://okcountyrecords.com/detail/roger+mills/1977-007639","OKCountyRecords: 1977-007639")</f>
        <v>OKCountyRecords: 1977-007639</v>
      </c>
    </row>
    <row r="964" spans="1:11" ht="32.1" customHeight="1" x14ac:dyDescent="0.25">
      <c r="A964" s="278" t="s">
        <v>1598</v>
      </c>
      <c r="B964" s="266"/>
      <c r="C964" s="266" t="s">
        <v>309</v>
      </c>
      <c r="D964" s="283" t="s">
        <v>818</v>
      </c>
      <c r="E964" s="291"/>
      <c r="F964" s="295">
        <v>28583</v>
      </c>
      <c r="G964" s="287" t="s">
        <v>1600</v>
      </c>
      <c r="H964" s="266" t="s">
        <v>391</v>
      </c>
      <c r="I964" s="268" t="s">
        <v>242</v>
      </c>
      <c r="J964" s="299" t="s">
        <v>996</v>
      </c>
      <c r="K964" s="259" t="str">
        <f>HYPERLINK("https://okcountyrecords.com/detail/roger+mills/1978-002575","OKCountyRecords: 1978-002575")</f>
        <v>OKCountyRecords: 1978-002575</v>
      </c>
    </row>
    <row r="965" spans="1:11" ht="32.1" customHeight="1" x14ac:dyDescent="0.25">
      <c r="A965" s="278" t="s">
        <v>1601</v>
      </c>
      <c r="B965" s="266"/>
      <c r="C965" s="266" t="s">
        <v>969</v>
      </c>
      <c r="D965" s="283" t="s">
        <v>6383</v>
      </c>
      <c r="E965" s="291"/>
      <c r="F965" s="295">
        <v>28583</v>
      </c>
      <c r="G965" s="287" t="s">
        <v>1603</v>
      </c>
      <c r="H965" s="266" t="s">
        <v>1604</v>
      </c>
      <c r="I965" s="268" t="s">
        <v>5812</v>
      </c>
      <c r="J965" s="299" t="s">
        <v>985</v>
      </c>
      <c r="K965" s="259" t="str">
        <f>HYPERLINK("https://okcountyrecords.com/detail/roger+mills/1978-002576","OKCountyRecords: 1978-002576")</f>
        <v>OKCountyRecords: 1978-002576</v>
      </c>
    </row>
    <row r="966" spans="1:11" ht="32.1" customHeight="1" x14ac:dyDescent="0.25">
      <c r="A966" s="278" t="s">
        <v>1605</v>
      </c>
      <c r="B966" s="266"/>
      <c r="C966" s="266" t="s">
        <v>969</v>
      </c>
      <c r="D966" s="283" t="s">
        <v>6385</v>
      </c>
      <c r="E966" s="291"/>
      <c r="F966" s="295">
        <v>28583</v>
      </c>
      <c r="G966" s="287" t="s">
        <v>1603</v>
      </c>
      <c r="H966" s="266" t="s">
        <v>395</v>
      </c>
      <c r="I966" s="268" t="s">
        <v>5812</v>
      </c>
      <c r="J966" s="299" t="s">
        <v>985</v>
      </c>
      <c r="K966" s="259" t="str">
        <f>HYPERLINK("https://okcountyrecords.com/detail/roger+mills/1978-002579","OKCountyRecords: 1978-002579")</f>
        <v>OKCountyRecords: 1978-002579</v>
      </c>
    </row>
    <row r="967" spans="1:11" ht="32.1" customHeight="1" x14ac:dyDescent="0.25">
      <c r="A967" s="278" t="s">
        <v>1607</v>
      </c>
      <c r="B967" s="266"/>
      <c r="C967" s="266" t="s">
        <v>969</v>
      </c>
      <c r="D967" s="283" t="s">
        <v>6387</v>
      </c>
      <c r="E967" s="291"/>
      <c r="F967" s="295">
        <v>28583</v>
      </c>
      <c r="G967" s="287" t="s">
        <v>1603</v>
      </c>
      <c r="H967" s="266" t="s">
        <v>396</v>
      </c>
      <c r="I967" s="268" t="s">
        <v>5812</v>
      </c>
      <c r="J967" s="299" t="s">
        <v>985</v>
      </c>
      <c r="K967" s="259" t="str">
        <f>HYPERLINK("https://okcountyrecords.com/detail/roger+mills/1978-002580","OKCountyRecords: 1978-002580")</f>
        <v>OKCountyRecords: 1978-002580</v>
      </c>
    </row>
    <row r="968" spans="1:11" ht="32.1" customHeight="1" x14ac:dyDescent="0.25">
      <c r="A968" s="278" t="s">
        <v>1609</v>
      </c>
      <c r="B968" s="266"/>
      <c r="C968" s="266" t="s">
        <v>969</v>
      </c>
      <c r="D968" s="283" t="s">
        <v>6389</v>
      </c>
      <c r="E968" s="291"/>
      <c r="F968" s="295">
        <v>28583</v>
      </c>
      <c r="G968" s="287" t="s">
        <v>1603</v>
      </c>
      <c r="H968" s="266" t="s">
        <v>397</v>
      </c>
      <c r="I968" s="268" t="s">
        <v>5812</v>
      </c>
      <c r="J968" s="299" t="s">
        <v>985</v>
      </c>
      <c r="K968" s="259" t="str">
        <f>HYPERLINK("https://okcountyrecords.com/detail/roger+mills/1978-002581","OKCountyRecords: 1978-002581")</f>
        <v>OKCountyRecords: 1978-002581</v>
      </c>
    </row>
    <row r="969" spans="1:11" ht="32.1" customHeight="1" x14ac:dyDescent="0.25">
      <c r="A969" s="278" t="s">
        <v>1611</v>
      </c>
      <c r="B969" s="266"/>
      <c r="C969" s="266" t="s">
        <v>969</v>
      </c>
      <c r="D969" s="283" t="s">
        <v>6391</v>
      </c>
      <c r="E969" s="291"/>
      <c r="F969" s="295">
        <v>28583</v>
      </c>
      <c r="G969" s="287" t="s">
        <v>1603</v>
      </c>
      <c r="H969" s="266" t="s">
        <v>392</v>
      </c>
      <c r="I969" s="268" t="s">
        <v>5812</v>
      </c>
      <c r="J969" s="299" t="s">
        <v>985</v>
      </c>
      <c r="K969" s="259" t="str">
        <f>HYPERLINK("https://okcountyrecords.com/detail/roger+mills/1978-002582","OKCountyRecords: 1978-002582")</f>
        <v>OKCountyRecords: 1978-002582</v>
      </c>
    </row>
    <row r="970" spans="1:11" ht="32.1" customHeight="1" x14ac:dyDescent="0.25">
      <c r="A970" s="278" t="s">
        <v>1613</v>
      </c>
      <c r="B970" s="266"/>
      <c r="C970" s="266" t="s">
        <v>969</v>
      </c>
      <c r="D970" s="283" t="s">
        <v>6393</v>
      </c>
      <c r="E970" s="291"/>
      <c r="F970" s="295">
        <v>28583</v>
      </c>
      <c r="G970" s="287" t="s">
        <v>1603</v>
      </c>
      <c r="H970" s="266" t="s">
        <v>1615</v>
      </c>
      <c r="I970" s="268" t="s">
        <v>5812</v>
      </c>
      <c r="J970" s="299" t="s">
        <v>985</v>
      </c>
      <c r="K970" s="259" t="str">
        <f>HYPERLINK("https://okcountyrecords.com/detail/roger+mills/1978-002583","OKCountyRecords: 1978-002583")</f>
        <v>OKCountyRecords: 1978-002583</v>
      </c>
    </row>
    <row r="971" spans="1:11" ht="32.1" customHeight="1" x14ac:dyDescent="0.25">
      <c r="A971" s="278" t="s">
        <v>1616</v>
      </c>
      <c r="B971" s="266"/>
      <c r="C971" s="266" t="s">
        <v>969</v>
      </c>
      <c r="D971" s="283" t="s">
        <v>6395</v>
      </c>
      <c r="E971" s="291"/>
      <c r="F971" s="295">
        <v>28583</v>
      </c>
      <c r="G971" s="287" t="s">
        <v>1603</v>
      </c>
      <c r="H971" s="266" t="s">
        <v>573</v>
      </c>
      <c r="I971" s="268" t="s">
        <v>5812</v>
      </c>
      <c r="J971" s="299" t="s">
        <v>985</v>
      </c>
      <c r="K971" s="259" t="str">
        <f>HYPERLINK("https://okcountyrecords.com/detail/roger+mills/1978-002585","OKCountyRecords: 1978-002585")</f>
        <v>OKCountyRecords: 1978-002585</v>
      </c>
    </row>
    <row r="972" spans="1:11" ht="32.1" customHeight="1" x14ac:dyDescent="0.25">
      <c r="A972" s="278" t="s">
        <v>1618</v>
      </c>
      <c r="B972" s="266"/>
      <c r="C972" s="266" t="s">
        <v>969</v>
      </c>
      <c r="D972" s="283" t="s">
        <v>6397</v>
      </c>
      <c r="E972" s="291"/>
      <c r="F972" s="295">
        <v>28583</v>
      </c>
      <c r="G972" s="287" t="s">
        <v>1620</v>
      </c>
      <c r="H972" s="266" t="s">
        <v>1621</v>
      </c>
      <c r="I972" s="268" t="s">
        <v>5812</v>
      </c>
      <c r="J972" s="299" t="s">
        <v>985</v>
      </c>
      <c r="K972" s="259" t="str">
        <f>HYPERLINK("https://okcountyrecords.com/detail/roger+mills/1978-002589","OKCountyRecords: 1978-002589")</f>
        <v>OKCountyRecords: 1978-002589</v>
      </c>
    </row>
    <row r="973" spans="1:11" ht="32.1" customHeight="1" x14ac:dyDescent="0.25">
      <c r="A973" s="278" t="s">
        <v>1622</v>
      </c>
      <c r="B973" s="266"/>
      <c r="C973" s="266" t="s">
        <v>1623</v>
      </c>
      <c r="D973" s="283" t="s">
        <v>6399</v>
      </c>
      <c r="E973" s="291"/>
      <c r="F973" s="295">
        <v>28584</v>
      </c>
      <c r="G973" s="287" t="s">
        <v>1603</v>
      </c>
      <c r="H973" s="266" t="s">
        <v>400</v>
      </c>
      <c r="I973" s="268" t="s">
        <v>5812</v>
      </c>
      <c r="J973" s="299" t="s">
        <v>1625</v>
      </c>
      <c r="K973" s="259" t="str">
        <f>HYPERLINK("https://okcountyrecords.com/detail/roger+mills/1978-002584","OKCountyRecords: 1978-002584")</f>
        <v>OKCountyRecords: 1978-002584</v>
      </c>
    </row>
    <row r="974" spans="1:11" ht="32.1" customHeight="1" x14ac:dyDescent="0.25">
      <c r="A974" s="278" t="s">
        <v>1626</v>
      </c>
      <c r="B974" s="266"/>
      <c r="C974" s="266" t="s">
        <v>114</v>
      </c>
      <c r="D974" s="283" t="s">
        <v>6402</v>
      </c>
      <c r="E974" s="291"/>
      <c r="F974" s="295">
        <v>28596</v>
      </c>
      <c r="G974" s="287" t="s">
        <v>1628</v>
      </c>
      <c r="H974" s="266" t="s">
        <v>1629</v>
      </c>
      <c r="I974" s="268" t="s">
        <v>5812</v>
      </c>
      <c r="J974" s="299" t="s">
        <v>996</v>
      </c>
      <c r="K974" s="259" t="str">
        <f>HYPERLINK("https://okcountyrecords.com/detail/roger+mills/1978-002892","OKCountyRecords: 1978-002892")</f>
        <v>OKCountyRecords: 1978-002892</v>
      </c>
    </row>
    <row r="975" spans="1:11" ht="32.1" customHeight="1" x14ac:dyDescent="0.25">
      <c r="A975" s="278" t="s">
        <v>1630</v>
      </c>
      <c r="B975" s="266"/>
      <c r="C975" s="266" t="s">
        <v>309</v>
      </c>
      <c r="D975" s="283" t="s">
        <v>820</v>
      </c>
      <c r="E975" s="291"/>
      <c r="F975" s="295">
        <v>28599</v>
      </c>
      <c r="G975" s="287" t="s">
        <v>392</v>
      </c>
      <c r="H975" s="266" t="s">
        <v>393</v>
      </c>
      <c r="I975" s="268" t="s">
        <v>242</v>
      </c>
      <c r="J975" s="299" t="s">
        <v>996</v>
      </c>
      <c r="K975" s="259" t="str">
        <f>HYPERLINK("https://okcountyrecords.com/detail/roger+mills/1978-003000","OKCountyRecords: 1978-003000")</f>
        <v>OKCountyRecords: 1978-003000</v>
      </c>
    </row>
    <row r="976" spans="1:11" ht="32.1" customHeight="1" x14ac:dyDescent="0.25">
      <c r="A976" s="278" t="s">
        <v>1632</v>
      </c>
      <c r="B976" s="266"/>
      <c r="C976" s="266" t="s">
        <v>309</v>
      </c>
      <c r="D976" s="283" t="s">
        <v>821</v>
      </c>
      <c r="E976" s="291"/>
      <c r="F976" s="295">
        <v>28599</v>
      </c>
      <c r="G976" s="287" t="s">
        <v>394</v>
      </c>
      <c r="H976" s="266" t="s">
        <v>393</v>
      </c>
      <c r="I976" s="268" t="s">
        <v>242</v>
      </c>
      <c r="J976" s="299" t="s">
        <v>996</v>
      </c>
      <c r="K976" s="259" t="str">
        <f>HYPERLINK("https://okcountyrecords.com/detail/roger+mills/1978-003002","OKCountyRecords: 1978-003002")</f>
        <v>OKCountyRecords: 1978-003002</v>
      </c>
    </row>
    <row r="977" spans="1:11" ht="32.1" customHeight="1" x14ac:dyDescent="0.25">
      <c r="A977" s="278" t="s">
        <v>1634</v>
      </c>
      <c r="B977" s="266"/>
      <c r="C977" s="266" t="s">
        <v>309</v>
      </c>
      <c r="D977" s="283" t="s">
        <v>822</v>
      </c>
      <c r="E977" s="291"/>
      <c r="F977" s="295">
        <v>28599</v>
      </c>
      <c r="G977" s="287" t="s">
        <v>395</v>
      </c>
      <c r="H977" s="266" t="s">
        <v>393</v>
      </c>
      <c r="I977" s="268" t="s">
        <v>242</v>
      </c>
      <c r="J977" s="299" t="s">
        <v>996</v>
      </c>
      <c r="K977" s="259" t="str">
        <f>HYPERLINK("https://okcountyrecords.com/detail/roger+mills/1978-003003","OKCountyRecords: 1978-003003")</f>
        <v>OKCountyRecords: 1978-003003</v>
      </c>
    </row>
    <row r="978" spans="1:11" ht="32.1" customHeight="1" x14ac:dyDescent="0.25">
      <c r="A978" s="278" t="s">
        <v>1636</v>
      </c>
      <c r="B978" s="266"/>
      <c r="C978" s="266" t="s">
        <v>309</v>
      </c>
      <c r="D978" s="283" t="s">
        <v>823</v>
      </c>
      <c r="E978" s="291"/>
      <c r="F978" s="295">
        <v>28607</v>
      </c>
      <c r="G978" s="287" t="s">
        <v>396</v>
      </c>
      <c r="H978" s="266" t="s">
        <v>393</v>
      </c>
      <c r="I978" s="268" t="s">
        <v>242</v>
      </c>
      <c r="J978" s="299" t="s">
        <v>996</v>
      </c>
      <c r="K978" s="259" t="str">
        <f>HYPERLINK("https://okcountyrecords.com/detail/roger+mills/1978-003286","OKCountyRecords: 1978-003286")</f>
        <v>OKCountyRecords: 1978-003286</v>
      </c>
    </row>
    <row r="979" spans="1:11" ht="32.1" customHeight="1" x14ac:dyDescent="0.25">
      <c r="A979" s="278" t="s">
        <v>1638</v>
      </c>
      <c r="B979" s="266"/>
      <c r="C979" s="266" t="s">
        <v>309</v>
      </c>
      <c r="D979" s="283" t="s">
        <v>824</v>
      </c>
      <c r="E979" s="291"/>
      <c r="F979" s="295">
        <v>28607</v>
      </c>
      <c r="G979" s="287" t="s">
        <v>397</v>
      </c>
      <c r="H979" s="266" t="s">
        <v>393</v>
      </c>
      <c r="I979" s="268" t="s">
        <v>242</v>
      </c>
      <c r="J979" s="299" t="s">
        <v>996</v>
      </c>
      <c r="K979" s="259" t="str">
        <f>HYPERLINK("https://okcountyrecords.com/detail/roger+mills/1978-003289","OKCountyRecords: 1978-003289")</f>
        <v>OKCountyRecords: 1978-003289</v>
      </c>
    </row>
    <row r="980" spans="1:11" ht="32.1" customHeight="1" x14ac:dyDescent="0.25">
      <c r="A980" s="278" t="s">
        <v>1640</v>
      </c>
      <c r="B980" s="266"/>
      <c r="C980" s="266" t="s">
        <v>309</v>
      </c>
      <c r="D980" s="283" t="s">
        <v>825</v>
      </c>
      <c r="E980" s="291"/>
      <c r="F980" s="295">
        <v>28607</v>
      </c>
      <c r="G980" s="287" t="s">
        <v>398</v>
      </c>
      <c r="H980" s="266" t="s">
        <v>826</v>
      </c>
      <c r="I980" s="268" t="s">
        <v>5812</v>
      </c>
      <c r="J980" s="299" t="s">
        <v>996</v>
      </c>
      <c r="K980" s="259" t="str">
        <f>HYPERLINK("https://okcountyrecords.com/detail/roger+mills/1978-003292","OKCountyRecords: 1978-003292")</f>
        <v>OKCountyRecords: 1978-003292</v>
      </c>
    </row>
    <row r="981" spans="1:11" ht="32.1" customHeight="1" x14ac:dyDescent="0.25">
      <c r="A981" s="278" t="s">
        <v>1642</v>
      </c>
      <c r="B981" s="266"/>
      <c r="C981" s="266" t="s">
        <v>993</v>
      </c>
      <c r="D981" s="283" t="s">
        <v>6413</v>
      </c>
      <c r="E981" s="291"/>
      <c r="F981" s="295">
        <v>28618</v>
      </c>
      <c r="G981" s="287" t="s">
        <v>1644</v>
      </c>
      <c r="H981" s="266" t="s">
        <v>1645</v>
      </c>
      <c r="I981" s="268" t="s">
        <v>5812</v>
      </c>
      <c r="J981" s="299" t="s">
        <v>996</v>
      </c>
      <c r="K981" s="259" t="str">
        <f>HYPERLINK("https://okcountyrecords.com/detail/roger+mills/1978-003485","OKCountyRecords: 1978-003485")</f>
        <v>OKCountyRecords: 1978-003485</v>
      </c>
    </row>
    <row r="982" spans="1:11" ht="32.1" customHeight="1" x14ac:dyDescent="0.25">
      <c r="A982" s="278" t="s">
        <v>1646</v>
      </c>
      <c r="B982" s="266"/>
      <c r="C982" s="266" t="s">
        <v>309</v>
      </c>
      <c r="D982" s="283" t="s">
        <v>827</v>
      </c>
      <c r="E982" s="291"/>
      <c r="F982" s="295">
        <v>28618</v>
      </c>
      <c r="G982" s="287" t="s">
        <v>400</v>
      </c>
      <c r="H982" s="266" t="s">
        <v>393</v>
      </c>
      <c r="I982" s="268" t="s">
        <v>242</v>
      </c>
      <c r="J982" s="299" t="s">
        <v>996</v>
      </c>
      <c r="K982" s="259" t="str">
        <f>HYPERLINK("https://okcountyrecords.com/detail/roger+mills/1978-003492","OKCountyRecords: 1978-003492")</f>
        <v>OKCountyRecords: 1978-003492</v>
      </c>
    </row>
    <row r="983" spans="1:11" ht="32.1" customHeight="1" x14ac:dyDescent="0.25">
      <c r="A983" s="278" t="s">
        <v>1648</v>
      </c>
      <c r="B983" s="266"/>
      <c r="C983" s="266" t="s">
        <v>309</v>
      </c>
      <c r="D983" s="283" t="s">
        <v>828</v>
      </c>
      <c r="E983" s="291"/>
      <c r="F983" s="295">
        <v>28618</v>
      </c>
      <c r="G983" s="287" t="s">
        <v>401</v>
      </c>
      <c r="H983" s="266" t="s">
        <v>393</v>
      </c>
      <c r="I983" s="268" t="s">
        <v>242</v>
      </c>
      <c r="J983" s="299" t="s">
        <v>996</v>
      </c>
      <c r="K983" s="259" t="str">
        <f>HYPERLINK("https://okcountyrecords.com/detail/roger+mills/1978-003493","OKCountyRecords: 1978-003493")</f>
        <v>OKCountyRecords: 1978-003493</v>
      </c>
    </row>
    <row r="984" spans="1:11" ht="32.1" customHeight="1" x14ac:dyDescent="0.25">
      <c r="A984" s="278" t="s">
        <v>1650</v>
      </c>
      <c r="B984" s="266"/>
      <c r="C984" s="266" t="s">
        <v>309</v>
      </c>
      <c r="D984" s="283" t="s">
        <v>829</v>
      </c>
      <c r="E984" s="291"/>
      <c r="F984" s="295">
        <v>28618</v>
      </c>
      <c r="G984" s="287" t="s">
        <v>373</v>
      </c>
      <c r="H984" s="266" t="s">
        <v>393</v>
      </c>
      <c r="I984" s="268" t="s">
        <v>242</v>
      </c>
      <c r="J984" s="299" t="s">
        <v>996</v>
      </c>
      <c r="K984" s="259" t="str">
        <f>HYPERLINK("https://okcountyrecords.com/detail/roger+mills/1978-003497","OKCountyRecords: 1978-003497")</f>
        <v>OKCountyRecords: 1978-003497</v>
      </c>
    </row>
    <row r="985" spans="1:11" ht="32.1" customHeight="1" x14ac:dyDescent="0.25">
      <c r="A985" s="278" t="s">
        <v>1652</v>
      </c>
      <c r="B985" s="266"/>
      <c r="C985" s="266" t="s">
        <v>309</v>
      </c>
      <c r="D985" s="283" t="s">
        <v>830</v>
      </c>
      <c r="E985" s="291"/>
      <c r="F985" s="295">
        <v>28620</v>
      </c>
      <c r="G985" s="287" t="s">
        <v>402</v>
      </c>
      <c r="H985" s="266" t="s">
        <v>393</v>
      </c>
      <c r="I985" s="268" t="s">
        <v>5812</v>
      </c>
      <c r="J985" s="299" t="s">
        <v>996</v>
      </c>
      <c r="K985" s="259" t="str">
        <f>HYPERLINK("https://okcountyrecords.com/detail/roger+mills/1978-003561","OKCountyRecords: 1978-003561")</f>
        <v>OKCountyRecords: 1978-003561</v>
      </c>
    </row>
    <row r="986" spans="1:11" ht="32.1" customHeight="1" x14ac:dyDescent="0.25">
      <c r="A986" s="278" t="s">
        <v>1654</v>
      </c>
      <c r="B986" s="266"/>
      <c r="C986" s="266" t="s">
        <v>309</v>
      </c>
      <c r="D986" s="283" t="s">
        <v>831</v>
      </c>
      <c r="E986" s="291"/>
      <c r="F986" s="295">
        <v>28640</v>
      </c>
      <c r="G986" s="287" t="s">
        <v>1656</v>
      </c>
      <c r="H986" s="266" t="s">
        <v>806</v>
      </c>
      <c r="I986" s="268" t="s">
        <v>242</v>
      </c>
      <c r="J986" s="299" t="s">
        <v>996</v>
      </c>
      <c r="K986" s="259" t="str">
        <f>HYPERLINK("https://okcountyrecords.com/detail/roger+mills/1978-004102","OKCountyRecords: 1978-004102")</f>
        <v>OKCountyRecords: 1978-004102</v>
      </c>
    </row>
    <row r="987" spans="1:11" ht="32.1" customHeight="1" x14ac:dyDescent="0.25">
      <c r="A987" s="278" t="s">
        <v>1657</v>
      </c>
      <c r="B987" s="266"/>
      <c r="C987" s="266" t="s">
        <v>309</v>
      </c>
      <c r="D987" s="283" t="s">
        <v>833</v>
      </c>
      <c r="E987" s="291"/>
      <c r="F987" s="295">
        <v>28640</v>
      </c>
      <c r="G987" s="287" t="s">
        <v>404</v>
      </c>
      <c r="H987" s="266" t="s">
        <v>806</v>
      </c>
      <c r="I987" s="268" t="s">
        <v>242</v>
      </c>
      <c r="J987" s="299" t="s">
        <v>996</v>
      </c>
      <c r="K987" s="259" t="str">
        <f>HYPERLINK("https://okcountyrecords.com/detail/roger+mills/1978-004103","OKCountyRecords: 1978-004103")</f>
        <v>OKCountyRecords: 1978-004103</v>
      </c>
    </row>
    <row r="988" spans="1:11" ht="32.1" customHeight="1" x14ac:dyDescent="0.25">
      <c r="A988" s="278" t="s">
        <v>1659</v>
      </c>
      <c r="B988" s="266"/>
      <c r="C988" s="266" t="s">
        <v>114</v>
      </c>
      <c r="D988" s="283" t="s">
        <v>6424</v>
      </c>
      <c r="E988" s="291"/>
      <c r="F988" s="295">
        <v>28648</v>
      </c>
      <c r="G988" s="287" t="s">
        <v>1628</v>
      </c>
      <c r="H988" s="266" t="s">
        <v>1585</v>
      </c>
      <c r="I988" s="268" t="s">
        <v>5812</v>
      </c>
      <c r="J988" s="299" t="s">
        <v>996</v>
      </c>
      <c r="K988" s="259" t="str">
        <f>HYPERLINK("https://okcountyrecords.com/detail/roger+mills/1978-004315","OKCountyRecords: 1978-004315")</f>
        <v>OKCountyRecords: 1978-004315</v>
      </c>
    </row>
    <row r="989" spans="1:11" ht="32.1" customHeight="1" x14ac:dyDescent="0.25">
      <c r="A989" s="278" t="s">
        <v>1661</v>
      </c>
      <c r="B989" s="266"/>
      <c r="C989" s="266" t="s">
        <v>114</v>
      </c>
      <c r="D989" s="283" t="s">
        <v>6427</v>
      </c>
      <c r="E989" s="291"/>
      <c r="F989" s="295">
        <v>28683</v>
      </c>
      <c r="G989" s="287" t="s">
        <v>1094</v>
      </c>
      <c r="H989" s="266" t="s">
        <v>383</v>
      </c>
      <c r="I989" s="268" t="s">
        <v>242</v>
      </c>
      <c r="J989" s="299" t="s">
        <v>996</v>
      </c>
      <c r="K989" s="259" t="str">
        <f>HYPERLINK("https://okcountyrecords.com/detail/roger+mills/1978-005128","OKCountyRecords: 1978-005128")</f>
        <v>OKCountyRecords: 1978-005128</v>
      </c>
    </row>
    <row r="990" spans="1:11" ht="32.1" customHeight="1" x14ac:dyDescent="0.25">
      <c r="A990" s="278" t="s">
        <v>1663</v>
      </c>
      <c r="B990" s="266"/>
      <c r="C990" s="266" t="s">
        <v>114</v>
      </c>
      <c r="D990" s="283" t="s">
        <v>6430</v>
      </c>
      <c r="E990" s="291"/>
      <c r="F990" s="295">
        <v>28683</v>
      </c>
      <c r="G990" s="287" t="s">
        <v>401</v>
      </c>
      <c r="H990" s="266" t="s">
        <v>383</v>
      </c>
      <c r="I990" s="268" t="s">
        <v>242</v>
      </c>
      <c r="J990" s="299" t="s">
        <v>996</v>
      </c>
      <c r="K990" s="259" t="str">
        <f>HYPERLINK("https://okcountyrecords.com/detail/roger+mills/1978-005129","OKCountyRecords: 1978-005129")</f>
        <v>OKCountyRecords: 1978-005129</v>
      </c>
    </row>
    <row r="991" spans="1:11" ht="32.1" customHeight="1" x14ac:dyDescent="0.25">
      <c r="A991" s="278" t="s">
        <v>1665</v>
      </c>
      <c r="B991" s="266"/>
      <c r="C991" s="266" t="s">
        <v>114</v>
      </c>
      <c r="D991" s="283" t="s">
        <v>6432</v>
      </c>
      <c r="E991" s="291"/>
      <c r="F991" s="295">
        <v>28683</v>
      </c>
      <c r="G991" s="287" t="s">
        <v>1615</v>
      </c>
      <c r="H991" s="266" t="s">
        <v>383</v>
      </c>
      <c r="I991" s="268" t="s">
        <v>242</v>
      </c>
      <c r="J991" s="299" t="s">
        <v>996</v>
      </c>
      <c r="K991" s="259" t="str">
        <f>HYPERLINK("https://okcountyrecords.com/detail/roger+mills/1978-005130","OKCountyRecords: 1978-005130")</f>
        <v>OKCountyRecords: 1978-005130</v>
      </c>
    </row>
    <row r="992" spans="1:11" ht="32.1" customHeight="1" x14ac:dyDescent="0.25">
      <c r="A992" s="278" t="s">
        <v>1667</v>
      </c>
      <c r="B992" s="266"/>
      <c r="C992" s="266" t="s">
        <v>114</v>
      </c>
      <c r="D992" s="283" t="s">
        <v>6434</v>
      </c>
      <c r="E992" s="291"/>
      <c r="F992" s="295">
        <v>28683</v>
      </c>
      <c r="G992" s="287" t="s">
        <v>392</v>
      </c>
      <c r="H992" s="266" t="s">
        <v>383</v>
      </c>
      <c r="I992" s="268" t="s">
        <v>242</v>
      </c>
      <c r="J992" s="299" t="s">
        <v>996</v>
      </c>
      <c r="K992" s="259" t="str">
        <f>HYPERLINK("https://okcountyrecords.com/detail/roger+mills/1978-005131","OKCountyRecords: 1978-005131")</f>
        <v>OKCountyRecords: 1978-005131</v>
      </c>
    </row>
    <row r="993" spans="1:11" ht="32.1" customHeight="1" x14ac:dyDescent="0.25">
      <c r="A993" s="278" t="s">
        <v>1669</v>
      </c>
      <c r="B993" s="266"/>
      <c r="C993" s="266" t="s">
        <v>114</v>
      </c>
      <c r="D993" s="283" t="s">
        <v>6436</v>
      </c>
      <c r="E993" s="291"/>
      <c r="F993" s="295">
        <v>28683</v>
      </c>
      <c r="G993" s="287" t="s">
        <v>397</v>
      </c>
      <c r="H993" s="266" t="s">
        <v>383</v>
      </c>
      <c r="I993" s="268" t="s">
        <v>242</v>
      </c>
      <c r="J993" s="299" t="s">
        <v>996</v>
      </c>
      <c r="K993" s="259" t="str">
        <f>HYPERLINK("https://okcountyrecords.com/detail/roger+mills/1978-005132","OKCountyRecords: 1978-005132")</f>
        <v>OKCountyRecords: 1978-005132</v>
      </c>
    </row>
    <row r="994" spans="1:11" ht="32.1" customHeight="1" x14ac:dyDescent="0.25">
      <c r="A994" s="278" t="s">
        <v>1671</v>
      </c>
      <c r="B994" s="266"/>
      <c r="C994" s="266" t="s">
        <v>114</v>
      </c>
      <c r="D994" s="283" t="s">
        <v>6438</v>
      </c>
      <c r="E994" s="291"/>
      <c r="F994" s="295">
        <v>28683</v>
      </c>
      <c r="G994" s="287" t="s">
        <v>396</v>
      </c>
      <c r="H994" s="266" t="s">
        <v>383</v>
      </c>
      <c r="I994" s="268" t="s">
        <v>242</v>
      </c>
      <c r="J994" s="299" t="s">
        <v>996</v>
      </c>
      <c r="K994" s="259" t="str">
        <f>HYPERLINK("https://okcountyrecords.com/detail/roger+mills/1978-005133","OKCountyRecords: 1978-005133")</f>
        <v>OKCountyRecords: 1978-005133</v>
      </c>
    </row>
    <row r="995" spans="1:11" ht="32.1" customHeight="1" x14ac:dyDescent="0.25">
      <c r="A995" s="278" t="s">
        <v>1673</v>
      </c>
      <c r="B995" s="266"/>
      <c r="C995" s="266" t="s">
        <v>114</v>
      </c>
      <c r="D995" s="283" t="s">
        <v>6440</v>
      </c>
      <c r="E995" s="291"/>
      <c r="F995" s="295">
        <v>28683</v>
      </c>
      <c r="G995" s="287" t="s">
        <v>394</v>
      </c>
      <c r="H995" s="266" t="s">
        <v>383</v>
      </c>
      <c r="I995" s="268" t="s">
        <v>242</v>
      </c>
      <c r="J995" s="299" t="s">
        <v>996</v>
      </c>
      <c r="K995" s="259" t="str">
        <f>HYPERLINK("https://okcountyrecords.com/detail/roger+mills/1978-005134","OKCountyRecords: 1978-005134")</f>
        <v>OKCountyRecords: 1978-005134</v>
      </c>
    </row>
    <row r="996" spans="1:11" ht="32.1" customHeight="1" x14ac:dyDescent="0.25">
      <c r="A996" s="278" t="s">
        <v>1675</v>
      </c>
      <c r="B996" s="266"/>
      <c r="C996" s="266" t="s">
        <v>114</v>
      </c>
      <c r="D996" s="283" t="s">
        <v>6442</v>
      </c>
      <c r="E996" s="291"/>
      <c r="F996" s="295">
        <v>28683</v>
      </c>
      <c r="G996" s="287" t="s">
        <v>395</v>
      </c>
      <c r="H996" s="266" t="s">
        <v>383</v>
      </c>
      <c r="I996" s="268" t="s">
        <v>242</v>
      </c>
      <c r="J996" s="299" t="s">
        <v>996</v>
      </c>
      <c r="K996" s="259" t="str">
        <f>HYPERLINK("https://okcountyrecords.com/detail/roger+mills/1978-005135","OKCountyRecords: 1978-005135")</f>
        <v>OKCountyRecords: 1978-005135</v>
      </c>
    </row>
    <row r="997" spans="1:11" ht="32.1" customHeight="1" x14ac:dyDescent="0.25">
      <c r="A997" s="278" t="s">
        <v>1677</v>
      </c>
      <c r="B997" s="266"/>
      <c r="C997" s="266" t="s">
        <v>114</v>
      </c>
      <c r="D997" s="283" t="s">
        <v>6444</v>
      </c>
      <c r="E997" s="291"/>
      <c r="F997" s="295">
        <v>28683</v>
      </c>
      <c r="G997" s="287" t="s">
        <v>573</v>
      </c>
      <c r="H997" s="266" t="s">
        <v>383</v>
      </c>
      <c r="I997" s="268" t="s">
        <v>242</v>
      </c>
      <c r="J997" s="299" t="s">
        <v>996</v>
      </c>
      <c r="K997" s="259" t="str">
        <f>HYPERLINK("https://okcountyrecords.com/detail/roger+mills/1978-005136","OKCountyRecords: 1978-005136")</f>
        <v>OKCountyRecords: 1978-005136</v>
      </c>
    </row>
    <row r="998" spans="1:11" ht="32.1" customHeight="1" x14ac:dyDescent="0.25">
      <c r="A998" s="278" t="s">
        <v>1679</v>
      </c>
      <c r="B998" s="266"/>
      <c r="C998" s="266" t="s">
        <v>114</v>
      </c>
      <c r="D998" s="283" t="s">
        <v>6446</v>
      </c>
      <c r="E998" s="291"/>
      <c r="F998" s="295">
        <v>28683</v>
      </c>
      <c r="G998" s="287" t="s">
        <v>1681</v>
      </c>
      <c r="H998" s="266" t="s">
        <v>383</v>
      </c>
      <c r="I998" s="268" t="s">
        <v>242</v>
      </c>
      <c r="J998" s="299" t="s">
        <v>996</v>
      </c>
      <c r="K998" s="259" t="str">
        <f>HYPERLINK("https://okcountyrecords.com/detail/roger+mills/1978-005137","OKCountyRecords: 1978-005137")</f>
        <v>OKCountyRecords: 1978-005137</v>
      </c>
    </row>
    <row r="999" spans="1:11" ht="32.1" customHeight="1" x14ac:dyDescent="0.25">
      <c r="A999" s="278" t="s">
        <v>1682</v>
      </c>
      <c r="B999" s="266"/>
      <c r="C999" s="266" t="s">
        <v>114</v>
      </c>
      <c r="D999" s="283" t="s">
        <v>6448</v>
      </c>
      <c r="E999" s="291"/>
      <c r="F999" s="295">
        <v>28688</v>
      </c>
      <c r="G999" s="287" t="s">
        <v>1604</v>
      </c>
      <c r="H999" s="266" t="s">
        <v>383</v>
      </c>
      <c r="I999" s="268" t="s">
        <v>242</v>
      </c>
      <c r="J999" s="299" t="s">
        <v>996</v>
      </c>
      <c r="K999" s="259" t="str">
        <f>HYPERLINK("https://okcountyrecords.com/detail/roger+mills/1978-005257","OKCountyRecords: 1978-005257")</f>
        <v>OKCountyRecords: 1978-005257</v>
      </c>
    </row>
    <row r="1000" spans="1:11" ht="32.1" customHeight="1" x14ac:dyDescent="0.25">
      <c r="A1000" s="278" t="s">
        <v>1684</v>
      </c>
      <c r="B1000" s="266"/>
      <c r="C1000" s="266" t="s">
        <v>309</v>
      </c>
      <c r="D1000" s="283" t="s">
        <v>834</v>
      </c>
      <c r="E1000" s="291"/>
      <c r="F1000" s="295">
        <v>28689</v>
      </c>
      <c r="G1000" s="287" t="s">
        <v>405</v>
      </c>
      <c r="H1000" s="266" t="s">
        <v>1686</v>
      </c>
      <c r="I1000" s="268" t="s">
        <v>242</v>
      </c>
      <c r="J1000" s="299" t="s">
        <v>996</v>
      </c>
      <c r="K1000" s="259" t="str">
        <f>HYPERLINK("https://okcountyrecords.com/detail/roger+mills/1978-005310","OKCountyRecords: 1978-005310")</f>
        <v>OKCountyRecords: 1978-005310</v>
      </c>
    </row>
    <row r="1001" spans="1:11" ht="32.1" customHeight="1" x14ac:dyDescent="0.25">
      <c r="A1001" s="278" t="s">
        <v>1687</v>
      </c>
      <c r="B1001" s="266"/>
      <c r="C1001" s="266" t="s">
        <v>114</v>
      </c>
      <c r="D1001" s="283" t="s">
        <v>6453</v>
      </c>
      <c r="E1001" s="291">
        <v>28711</v>
      </c>
      <c r="F1001" s="295">
        <v>28691</v>
      </c>
      <c r="G1001" s="287" t="s">
        <v>1686</v>
      </c>
      <c r="H1001" s="266" t="s">
        <v>387</v>
      </c>
      <c r="I1001" s="268" t="s">
        <v>6455</v>
      </c>
      <c r="J1001" s="299" t="s">
        <v>996</v>
      </c>
      <c r="K1001" s="259" t="str">
        <f>HYPERLINK("https://okcountyrecords.com/detail/roger+mills/1978-005884","OKCountyRecords: 1978-005884")</f>
        <v>OKCountyRecords: 1978-005884</v>
      </c>
    </row>
    <row r="1002" spans="1:11" ht="32.1" customHeight="1" x14ac:dyDescent="0.25">
      <c r="A1002" s="278" t="s">
        <v>1690</v>
      </c>
      <c r="B1002" s="266"/>
      <c r="C1002" s="266" t="s">
        <v>1483</v>
      </c>
      <c r="D1002" s="283" t="s">
        <v>6457</v>
      </c>
      <c r="E1002" s="291"/>
      <c r="F1002" s="295">
        <v>28711</v>
      </c>
      <c r="G1002" s="287" t="s">
        <v>405</v>
      </c>
      <c r="H1002" s="266" t="s">
        <v>1686</v>
      </c>
      <c r="I1002" s="268" t="s">
        <v>242</v>
      </c>
      <c r="J1002" s="299" t="s">
        <v>996</v>
      </c>
      <c r="K1002" s="259" t="str">
        <f>HYPERLINK("https://okcountyrecords.com/detail/roger+mills/1978-005886","OKCountyRecords: 1978-005886")</f>
        <v>OKCountyRecords: 1978-005886</v>
      </c>
    </row>
    <row r="1003" spans="1:11" ht="32.1" customHeight="1" x14ac:dyDescent="0.25">
      <c r="A1003" s="278" t="s">
        <v>1692</v>
      </c>
      <c r="B1003" s="266"/>
      <c r="C1003" s="266" t="s">
        <v>114</v>
      </c>
      <c r="D1003" s="283" t="s">
        <v>6459</v>
      </c>
      <c r="E1003" s="291"/>
      <c r="F1003" s="295">
        <v>28814</v>
      </c>
      <c r="G1003" s="287" t="s">
        <v>1533</v>
      </c>
      <c r="H1003" s="266" t="s">
        <v>1628</v>
      </c>
      <c r="I1003" s="268" t="s">
        <v>5812</v>
      </c>
      <c r="J1003" s="299" t="s">
        <v>996</v>
      </c>
      <c r="K1003" s="259" t="str">
        <f>HYPERLINK("https://okcountyrecords.com/detail/roger+mills/1978-007974","OKCountyRecords: 1978-007974")</f>
        <v>OKCountyRecords: 1978-007974</v>
      </c>
    </row>
    <row r="1004" spans="1:11" ht="32.1" customHeight="1" x14ac:dyDescent="0.25">
      <c r="A1004" s="278" t="s">
        <v>1694</v>
      </c>
      <c r="B1004" s="266"/>
      <c r="C1004" s="266" t="s">
        <v>969</v>
      </c>
      <c r="D1004" s="283" t="s">
        <v>6462</v>
      </c>
      <c r="E1004" s="291"/>
      <c r="F1004" s="295">
        <v>28923</v>
      </c>
      <c r="G1004" s="287" t="s">
        <v>1696</v>
      </c>
      <c r="H1004" s="266" t="s">
        <v>1697</v>
      </c>
      <c r="I1004" s="268" t="s">
        <v>242</v>
      </c>
      <c r="J1004" s="299" t="s">
        <v>985</v>
      </c>
      <c r="K1004" s="259" t="str">
        <f>HYPERLINK("https://okcountyrecords.com/detail/roger+mills/1979-001572","OKCountyRecords: 1979-001572")</f>
        <v>OKCountyRecords: 1979-001572</v>
      </c>
    </row>
    <row r="1005" spans="1:11" ht="32.1" customHeight="1" x14ac:dyDescent="0.25">
      <c r="A1005" s="278" t="s">
        <v>1698</v>
      </c>
      <c r="B1005" s="266"/>
      <c r="C1005" s="266" t="s">
        <v>1274</v>
      </c>
      <c r="D1005" s="283" t="s">
        <v>6465</v>
      </c>
      <c r="E1005" s="291"/>
      <c r="F1005" s="295">
        <v>28961</v>
      </c>
      <c r="G1005" s="287" t="s">
        <v>1700</v>
      </c>
      <c r="H1005" s="266" t="s">
        <v>1701</v>
      </c>
      <c r="I1005" s="268" t="s">
        <v>5812</v>
      </c>
      <c r="J1005" s="299" t="s">
        <v>985</v>
      </c>
      <c r="K1005" s="259" t="str">
        <f>HYPERLINK("https://okcountyrecords.com/detail/roger+mills/1979-002206","OKCountyRecords: 1979-002206")</f>
        <v>OKCountyRecords: 1979-002206</v>
      </c>
    </row>
    <row r="1006" spans="1:11" ht="32.1" customHeight="1" x14ac:dyDescent="0.25">
      <c r="A1006" s="278" t="s">
        <v>1702</v>
      </c>
      <c r="B1006" s="266"/>
      <c r="C1006" s="266" t="s">
        <v>1091</v>
      </c>
      <c r="D1006" s="283" t="s">
        <v>6468</v>
      </c>
      <c r="E1006" s="291"/>
      <c r="F1006" s="295">
        <v>28961</v>
      </c>
      <c r="G1006" s="287" t="s">
        <v>1704</v>
      </c>
      <c r="H1006" s="266" t="s">
        <v>1705</v>
      </c>
      <c r="I1006" s="268" t="s">
        <v>5812</v>
      </c>
      <c r="J1006" s="299" t="s">
        <v>1095</v>
      </c>
      <c r="K1006" s="259" t="str">
        <f>HYPERLINK("https://okcountyrecords.com/detail/roger+mills/1979-002207","OKCountyRecords: 1979-002207")</f>
        <v>OKCountyRecords: 1979-002207</v>
      </c>
    </row>
    <row r="1007" spans="1:11" ht="32.1" customHeight="1" x14ac:dyDescent="0.25">
      <c r="A1007" s="278" t="s">
        <v>1706</v>
      </c>
      <c r="B1007" s="266"/>
      <c r="C1007" s="266" t="s">
        <v>114</v>
      </c>
      <c r="D1007" s="283" t="s">
        <v>6470</v>
      </c>
      <c r="E1007" s="291"/>
      <c r="F1007" s="295">
        <v>28970</v>
      </c>
      <c r="G1007" s="287" t="s">
        <v>1533</v>
      </c>
      <c r="H1007" s="266" t="s">
        <v>1628</v>
      </c>
      <c r="I1007" s="268" t="s">
        <v>242</v>
      </c>
      <c r="J1007" s="299" t="s">
        <v>996</v>
      </c>
      <c r="K1007" s="259" t="str">
        <f>HYPERLINK("https://okcountyrecords.com/detail/roger+mills/1979-002364","OKCountyRecords: 1979-002364")</f>
        <v>OKCountyRecords: 1979-002364</v>
      </c>
    </row>
    <row r="1008" spans="1:11" ht="32.1" customHeight="1" x14ac:dyDescent="0.25">
      <c r="A1008" s="278" t="s">
        <v>1708</v>
      </c>
      <c r="B1008" s="266"/>
      <c r="C1008" s="266" t="s">
        <v>993</v>
      </c>
      <c r="D1008" s="283" t="s">
        <v>6473</v>
      </c>
      <c r="E1008" s="291"/>
      <c r="F1008" s="295">
        <v>29047</v>
      </c>
      <c r="G1008" s="287" t="s">
        <v>1710</v>
      </c>
      <c r="H1008" s="266" t="s">
        <v>1563</v>
      </c>
      <c r="I1008" s="268" t="s">
        <v>242</v>
      </c>
      <c r="J1008" s="299" t="s">
        <v>996</v>
      </c>
      <c r="K1008" s="259" t="str">
        <f>HYPERLINK("https://okcountyrecords.com/detail/roger+mills/1979-003905","OKCountyRecords: 1979-003905")</f>
        <v>OKCountyRecords: 1979-003905</v>
      </c>
    </row>
    <row r="1009" spans="1:11" ht="32.1" customHeight="1" x14ac:dyDescent="0.25">
      <c r="A1009" s="278" t="s">
        <v>1711</v>
      </c>
      <c r="B1009" s="266"/>
      <c r="C1009" s="266" t="s">
        <v>1274</v>
      </c>
      <c r="D1009" s="283" t="s">
        <v>6476</v>
      </c>
      <c r="E1009" s="291"/>
      <c r="F1009" s="295">
        <v>29049</v>
      </c>
      <c r="G1009" s="287" t="s">
        <v>1713</v>
      </c>
      <c r="H1009" s="266" t="s">
        <v>1714</v>
      </c>
      <c r="I1009" s="268" t="s">
        <v>242</v>
      </c>
      <c r="J1009" s="299" t="s">
        <v>985</v>
      </c>
      <c r="K1009" s="259" t="str">
        <f>HYPERLINK("https://okcountyrecords.com/detail/roger+mills/1979-004016","OKCountyRecords: 1979-004016")</f>
        <v>OKCountyRecords: 1979-004016</v>
      </c>
    </row>
    <row r="1010" spans="1:11" ht="32.1" customHeight="1" x14ac:dyDescent="0.25">
      <c r="A1010" s="278" t="s">
        <v>1715</v>
      </c>
      <c r="B1010" s="266"/>
      <c r="C1010" s="266" t="s">
        <v>969</v>
      </c>
      <c r="D1010" s="283" t="s">
        <v>6479</v>
      </c>
      <c r="E1010" s="291"/>
      <c r="F1010" s="295">
        <v>29049</v>
      </c>
      <c r="G1010" s="287" t="s">
        <v>1697</v>
      </c>
      <c r="H1010" s="266" t="s">
        <v>1717</v>
      </c>
      <c r="I1010" s="268" t="s">
        <v>242</v>
      </c>
      <c r="J1010" s="299" t="s">
        <v>985</v>
      </c>
      <c r="K1010" s="259" t="str">
        <f>HYPERLINK("https://okcountyrecords.com/detail/roger+mills/1979-004021","OKCountyRecords: 1979-004021")</f>
        <v>OKCountyRecords: 1979-004021</v>
      </c>
    </row>
    <row r="1011" spans="1:11" ht="32.1" customHeight="1" x14ac:dyDescent="0.25">
      <c r="A1011" s="278" t="s">
        <v>1718</v>
      </c>
      <c r="B1011" s="266"/>
      <c r="C1011" s="266" t="s">
        <v>114</v>
      </c>
      <c r="D1011" s="283" t="s">
        <v>6481</v>
      </c>
      <c r="E1011" s="291"/>
      <c r="F1011" s="295">
        <v>29052</v>
      </c>
      <c r="G1011" s="287" t="s">
        <v>1628</v>
      </c>
      <c r="H1011" s="266" t="s">
        <v>1720</v>
      </c>
      <c r="I1011" s="268" t="s">
        <v>5812</v>
      </c>
      <c r="J1011" s="299" t="s">
        <v>996</v>
      </c>
      <c r="K1011" s="259" t="str">
        <f>HYPERLINK("https://okcountyrecords.com/detail/roger+mills/1979-004050","OKCountyRecords: 1979-004050")</f>
        <v>OKCountyRecords: 1979-004050</v>
      </c>
    </row>
    <row r="1012" spans="1:11" ht="32.1" customHeight="1" x14ac:dyDescent="0.25">
      <c r="A1012" s="278" t="s">
        <v>1721</v>
      </c>
      <c r="B1012" s="266"/>
      <c r="C1012" s="266" t="s">
        <v>969</v>
      </c>
      <c r="D1012" s="283" t="s">
        <v>6484</v>
      </c>
      <c r="E1012" s="291"/>
      <c r="F1012" s="295">
        <v>29063</v>
      </c>
      <c r="G1012" s="287" t="s">
        <v>1697</v>
      </c>
      <c r="H1012" s="266" t="s">
        <v>1723</v>
      </c>
      <c r="I1012" s="268" t="s">
        <v>242</v>
      </c>
      <c r="J1012" s="299" t="s">
        <v>985</v>
      </c>
      <c r="K1012" s="259" t="str">
        <f>HYPERLINK("https://okcountyrecords.com/detail/roger+mills/1979-004258","OKCountyRecords: 1979-004258")</f>
        <v>OKCountyRecords: 1979-004258</v>
      </c>
    </row>
    <row r="1013" spans="1:11" ht="32.1" customHeight="1" x14ac:dyDescent="0.25">
      <c r="A1013" s="278" t="s">
        <v>1724</v>
      </c>
      <c r="B1013" s="266"/>
      <c r="C1013" s="266" t="s">
        <v>1623</v>
      </c>
      <c r="D1013" s="283" t="s">
        <v>6487</v>
      </c>
      <c r="E1013" s="291"/>
      <c r="F1013" s="295">
        <v>29094</v>
      </c>
      <c r="G1013" s="287" t="s">
        <v>400</v>
      </c>
      <c r="H1013" s="266" t="s">
        <v>1726</v>
      </c>
      <c r="I1013" s="268" t="s">
        <v>5812</v>
      </c>
      <c r="J1013" s="299" t="s">
        <v>1625</v>
      </c>
      <c r="K1013" s="259" t="str">
        <f>HYPERLINK("https://okcountyrecords.com/detail/roger+mills/1979-004881","OKCountyRecords: 1979-004881")</f>
        <v>OKCountyRecords: 1979-004881</v>
      </c>
    </row>
    <row r="1014" spans="1:11" ht="32.1" customHeight="1" x14ac:dyDescent="0.25">
      <c r="A1014" s="278" t="s">
        <v>1727</v>
      </c>
      <c r="B1014" s="266"/>
      <c r="C1014" s="266" t="s">
        <v>1483</v>
      </c>
      <c r="D1014" s="283" t="s">
        <v>6490</v>
      </c>
      <c r="E1014" s="291"/>
      <c r="F1014" s="295">
        <v>29102</v>
      </c>
      <c r="G1014" s="287" t="s">
        <v>372</v>
      </c>
      <c r="H1014" s="266" t="s">
        <v>787</v>
      </c>
      <c r="I1014" s="268" t="s">
        <v>5812</v>
      </c>
      <c r="J1014" s="299" t="s">
        <v>996</v>
      </c>
      <c r="K1014" s="259" t="str">
        <f>HYPERLINK("https://okcountyrecords.com/detail/roger+mills/1979-005006","OKCountyRecords: 1979-005006")</f>
        <v>OKCountyRecords: 1979-005006</v>
      </c>
    </row>
    <row r="1015" spans="1:11" ht="32.1" customHeight="1" x14ac:dyDescent="0.25">
      <c r="A1015" s="278" t="s">
        <v>1729</v>
      </c>
      <c r="B1015" s="266"/>
      <c r="C1015" s="266" t="s">
        <v>1483</v>
      </c>
      <c r="D1015" s="283" t="s">
        <v>6493</v>
      </c>
      <c r="E1015" s="291"/>
      <c r="F1015" s="295">
        <v>29102</v>
      </c>
      <c r="G1015" s="287" t="s">
        <v>372</v>
      </c>
      <c r="H1015" s="266" t="s">
        <v>787</v>
      </c>
      <c r="I1015" s="268" t="s">
        <v>5812</v>
      </c>
      <c r="J1015" s="299" t="s">
        <v>996</v>
      </c>
      <c r="K1015" s="259" t="str">
        <f>HYPERLINK("https://okcountyrecords.com/detail/roger+mills/1979-005007","OKCountyRecords: 1979-005007")</f>
        <v>OKCountyRecords: 1979-005007</v>
      </c>
    </row>
    <row r="1016" spans="1:11" ht="32.1" customHeight="1" x14ac:dyDescent="0.25">
      <c r="A1016" s="278" t="s">
        <v>1731</v>
      </c>
      <c r="B1016" s="266"/>
      <c r="C1016" s="266" t="s">
        <v>1623</v>
      </c>
      <c r="D1016" s="283" t="s">
        <v>4341</v>
      </c>
      <c r="E1016" s="291">
        <v>29132</v>
      </c>
      <c r="F1016" s="295">
        <v>29126</v>
      </c>
      <c r="G1016" s="287" t="s">
        <v>1733</v>
      </c>
      <c r="H1016" s="266" t="s">
        <v>1734</v>
      </c>
      <c r="I1016" s="268" t="s">
        <v>6193</v>
      </c>
      <c r="J1016" s="299" t="s">
        <v>1625</v>
      </c>
      <c r="K1016" s="259" t="str">
        <f>HYPERLINK("https://okcountyrecords.com/detail/roger+mills/1979-005655","OKCountyRecords: 1979-005655")</f>
        <v>OKCountyRecords: 1979-005655</v>
      </c>
    </row>
    <row r="1017" spans="1:11" ht="32.1" customHeight="1" x14ac:dyDescent="0.25">
      <c r="A1017" s="278" t="s">
        <v>1735</v>
      </c>
      <c r="B1017" s="266"/>
      <c r="C1017" s="266" t="s">
        <v>1196</v>
      </c>
      <c r="D1017" s="283" t="s">
        <v>6497</v>
      </c>
      <c r="E1017" s="291"/>
      <c r="F1017" s="295">
        <v>29172</v>
      </c>
      <c r="G1017" s="287" t="s">
        <v>401</v>
      </c>
      <c r="H1017" s="266" t="s">
        <v>1737</v>
      </c>
      <c r="I1017" s="268" t="s">
        <v>242</v>
      </c>
      <c r="J1017" s="299" t="s">
        <v>1095</v>
      </c>
      <c r="K1017" s="259" t="str">
        <f>HYPERLINK("https://okcountyrecords.com/detail/roger+mills/1979-006593","OKCountyRecords: 1979-006593")</f>
        <v>OKCountyRecords: 1979-006593</v>
      </c>
    </row>
    <row r="1018" spans="1:11" ht="32.1" customHeight="1" x14ac:dyDescent="0.25">
      <c r="A1018" s="278" t="s">
        <v>1738</v>
      </c>
      <c r="B1018" s="266"/>
      <c r="C1018" s="266" t="s">
        <v>114</v>
      </c>
      <c r="D1018" s="283" t="s">
        <v>6500</v>
      </c>
      <c r="E1018" s="291"/>
      <c r="F1018" s="295">
        <v>29189</v>
      </c>
      <c r="G1018" s="287" t="s">
        <v>1628</v>
      </c>
      <c r="H1018" s="266" t="s">
        <v>812</v>
      </c>
      <c r="I1018" s="268" t="s">
        <v>5812</v>
      </c>
      <c r="J1018" s="299" t="s">
        <v>996</v>
      </c>
      <c r="K1018" s="259" t="str">
        <f>HYPERLINK("https://okcountyrecords.com/detail/roger+mills/1979-006913","OKCountyRecords: 1979-006913")</f>
        <v>OKCountyRecords: 1979-006913</v>
      </c>
    </row>
    <row r="1019" spans="1:11" ht="32.1" customHeight="1" x14ac:dyDescent="0.25">
      <c r="A1019" s="278" t="s">
        <v>1740</v>
      </c>
      <c r="B1019" s="266"/>
      <c r="C1019" s="266" t="s">
        <v>309</v>
      </c>
      <c r="D1019" s="283" t="s">
        <v>836</v>
      </c>
      <c r="E1019" s="291"/>
      <c r="F1019" s="295">
        <v>29299</v>
      </c>
      <c r="G1019" s="287" t="s">
        <v>407</v>
      </c>
      <c r="H1019" s="266" t="s">
        <v>837</v>
      </c>
      <c r="I1019" s="268" t="s">
        <v>242</v>
      </c>
      <c r="J1019" s="299" t="s">
        <v>996</v>
      </c>
      <c r="K1019" s="259" t="str">
        <f>HYPERLINK("https://okcountyrecords.com/detail/roger+mills/1980-002071","OKCountyRecords: 1980-002071")</f>
        <v>OKCountyRecords: 1980-002071</v>
      </c>
    </row>
    <row r="1020" spans="1:11" ht="32.1" customHeight="1" x14ac:dyDescent="0.25">
      <c r="A1020" s="278" t="s">
        <v>1742</v>
      </c>
      <c r="B1020" s="266"/>
      <c r="C1020" s="266" t="s">
        <v>114</v>
      </c>
      <c r="D1020" s="283" t="s">
        <v>6505</v>
      </c>
      <c r="E1020" s="291"/>
      <c r="F1020" s="295">
        <v>29312</v>
      </c>
      <c r="G1020" s="287" t="s">
        <v>837</v>
      </c>
      <c r="H1020" s="266" t="s">
        <v>1744</v>
      </c>
      <c r="I1020" s="268" t="s">
        <v>242</v>
      </c>
      <c r="J1020" s="299" t="s">
        <v>996</v>
      </c>
      <c r="K1020" s="259" t="str">
        <f>HYPERLINK("https://okcountyrecords.com/detail/roger+mills/1980-002413","OKCountyRecords: 1980-002413")</f>
        <v>OKCountyRecords: 1980-002413</v>
      </c>
    </row>
    <row r="1021" spans="1:11" ht="32.1" customHeight="1" x14ac:dyDescent="0.25">
      <c r="A1021" s="278" t="s">
        <v>1745</v>
      </c>
      <c r="B1021" s="266"/>
      <c r="C1021" s="266" t="s">
        <v>993</v>
      </c>
      <c r="D1021" s="283" t="s">
        <v>6508</v>
      </c>
      <c r="E1021" s="291"/>
      <c r="F1021" s="295">
        <v>29369</v>
      </c>
      <c r="G1021" s="287" t="s">
        <v>1628</v>
      </c>
      <c r="H1021" s="266" t="s">
        <v>1747</v>
      </c>
      <c r="I1021" s="268" t="s">
        <v>242</v>
      </c>
      <c r="J1021" s="299" t="s">
        <v>996</v>
      </c>
      <c r="K1021" s="259" t="str">
        <f>HYPERLINK("https://okcountyrecords.com/detail/roger+mills/1980-004149","OKCountyRecords: 1980-004149")</f>
        <v>OKCountyRecords: 1980-004149</v>
      </c>
    </row>
    <row r="1022" spans="1:11" ht="32.1" customHeight="1" x14ac:dyDescent="0.25">
      <c r="A1022" s="278" t="s">
        <v>1748</v>
      </c>
      <c r="B1022" s="266"/>
      <c r="C1022" s="266" t="s">
        <v>114</v>
      </c>
      <c r="D1022" s="283" t="s">
        <v>6511</v>
      </c>
      <c r="E1022" s="291">
        <v>29388</v>
      </c>
      <c r="F1022" s="295">
        <v>27964</v>
      </c>
      <c r="G1022" s="287" t="s">
        <v>812</v>
      </c>
      <c r="H1022" s="266" t="s">
        <v>1750</v>
      </c>
      <c r="I1022" s="268" t="s">
        <v>6367</v>
      </c>
      <c r="J1022" s="299" t="s">
        <v>996</v>
      </c>
      <c r="K1022" s="259" t="str">
        <f>HYPERLINK("https://okcountyrecords.com/detail/roger+mills/1980-004634","OKCountyRecords: 1980-004634")</f>
        <v>OKCountyRecords: 1980-004634</v>
      </c>
    </row>
    <row r="1023" spans="1:11" ht="32.1" customHeight="1" x14ac:dyDescent="0.25">
      <c r="A1023" s="278" t="s">
        <v>1751</v>
      </c>
      <c r="B1023" s="266"/>
      <c r="C1023" s="266" t="s">
        <v>969</v>
      </c>
      <c r="D1023" s="283" t="s">
        <v>6514</v>
      </c>
      <c r="E1023" s="291"/>
      <c r="F1023" s="295">
        <v>29438</v>
      </c>
      <c r="G1023" s="287" t="s">
        <v>1753</v>
      </c>
      <c r="H1023" s="266" t="s">
        <v>1696</v>
      </c>
      <c r="I1023" s="268" t="s">
        <v>242</v>
      </c>
      <c r="J1023" s="299" t="s">
        <v>985</v>
      </c>
      <c r="K1023" s="259" t="str">
        <f>HYPERLINK("https://okcountyrecords.com/detail/roger+mills/1980-006290","OKCountyRecords: 1980-006290")</f>
        <v>OKCountyRecords: 1980-006290</v>
      </c>
    </row>
    <row r="1024" spans="1:11" ht="32.1" customHeight="1" x14ac:dyDescent="0.25">
      <c r="A1024" s="278" t="s">
        <v>1754</v>
      </c>
      <c r="B1024" s="266"/>
      <c r="C1024" s="266" t="s">
        <v>969</v>
      </c>
      <c r="D1024" s="283" t="s">
        <v>6517</v>
      </c>
      <c r="E1024" s="291"/>
      <c r="F1024" s="295">
        <v>29438</v>
      </c>
      <c r="G1024" s="287" t="s">
        <v>1696</v>
      </c>
      <c r="H1024" s="266" t="s">
        <v>1582</v>
      </c>
      <c r="I1024" s="268" t="s">
        <v>242</v>
      </c>
      <c r="J1024" s="299" t="s">
        <v>985</v>
      </c>
      <c r="K1024" s="259" t="str">
        <f>HYPERLINK("https://okcountyrecords.com/detail/roger+mills/1980-006291","OKCountyRecords: 1980-006291")</f>
        <v>OKCountyRecords: 1980-006291</v>
      </c>
    </row>
    <row r="1025" spans="1:11" ht="32.1" customHeight="1" x14ac:dyDescent="0.25">
      <c r="A1025" s="278" t="s">
        <v>1756</v>
      </c>
      <c r="B1025" s="266"/>
      <c r="C1025" s="266" t="s">
        <v>114</v>
      </c>
      <c r="D1025" s="283" t="s">
        <v>6519</v>
      </c>
      <c r="E1025" s="291"/>
      <c r="F1025" s="295">
        <v>29444</v>
      </c>
      <c r="G1025" s="287" t="s">
        <v>1628</v>
      </c>
      <c r="H1025" s="266" t="s">
        <v>812</v>
      </c>
      <c r="I1025" s="268" t="s">
        <v>5812</v>
      </c>
      <c r="J1025" s="299" t="s">
        <v>996</v>
      </c>
      <c r="K1025" s="259" t="str">
        <f>HYPERLINK("https://okcountyrecords.com/detail/roger+mills/1980-006466","OKCountyRecords: 1980-006466")</f>
        <v>OKCountyRecords: 1980-006466</v>
      </c>
    </row>
    <row r="1026" spans="1:11" ht="32.1" customHeight="1" x14ac:dyDescent="0.25">
      <c r="A1026" s="278" t="s">
        <v>1758</v>
      </c>
      <c r="B1026" s="266"/>
      <c r="C1026" s="266" t="s">
        <v>309</v>
      </c>
      <c r="D1026" s="283" t="s">
        <v>838</v>
      </c>
      <c r="E1026" s="291"/>
      <c r="F1026" s="295">
        <v>29669</v>
      </c>
      <c r="G1026" s="287" t="s">
        <v>409</v>
      </c>
      <c r="H1026" s="266" t="s">
        <v>840</v>
      </c>
      <c r="I1026" s="268" t="s">
        <v>5812</v>
      </c>
      <c r="J1026" s="299" t="s">
        <v>996</v>
      </c>
      <c r="K1026" s="259" t="str">
        <f>HYPERLINK("https://okcountyrecords.com/detail/roger+mills/1981-003167","OKCountyRecords: 1981-003167")</f>
        <v>OKCountyRecords: 1981-003167</v>
      </c>
    </row>
    <row r="1027" spans="1:11" ht="32.1" customHeight="1" x14ac:dyDescent="0.25">
      <c r="A1027" s="278" t="s">
        <v>1760</v>
      </c>
      <c r="B1027" s="266"/>
      <c r="C1027" s="266" t="s">
        <v>969</v>
      </c>
      <c r="D1027" s="283" t="s">
        <v>6524</v>
      </c>
      <c r="E1027" s="291"/>
      <c r="F1027" s="295">
        <v>29675</v>
      </c>
      <c r="G1027" s="287" t="s">
        <v>372</v>
      </c>
      <c r="H1027" s="266" t="s">
        <v>1762</v>
      </c>
      <c r="I1027" s="268" t="s">
        <v>242</v>
      </c>
      <c r="J1027" s="299" t="s">
        <v>985</v>
      </c>
      <c r="K1027" s="259" t="str">
        <f>HYPERLINK("https://okcountyrecords.com/detail/roger+mills/1981-003445","OKCountyRecords: 1981-003445")</f>
        <v>OKCountyRecords: 1981-003445</v>
      </c>
    </row>
    <row r="1028" spans="1:11" ht="32.1" customHeight="1" x14ac:dyDescent="0.25">
      <c r="A1028" s="278" t="s">
        <v>1763</v>
      </c>
      <c r="B1028" s="266"/>
      <c r="C1028" s="266" t="s">
        <v>969</v>
      </c>
      <c r="D1028" s="283" t="s">
        <v>6527</v>
      </c>
      <c r="E1028" s="291"/>
      <c r="F1028" s="295">
        <v>29714</v>
      </c>
      <c r="G1028" s="287" t="s">
        <v>1765</v>
      </c>
      <c r="H1028" s="266" t="s">
        <v>1766</v>
      </c>
      <c r="I1028" s="268" t="s">
        <v>5812</v>
      </c>
      <c r="J1028" s="299" t="s">
        <v>985</v>
      </c>
      <c r="K1028" s="259" t="str">
        <f>HYPERLINK("https://okcountyrecords.com/detail/roger+mills/1981-005180","OKCountyRecords: 1981-005180")</f>
        <v>OKCountyRecords: 1981-005180</v>
      </c>
    </row>
    <row r="1029" spans="1:11" ht="32.1" customHeight="1" x14ac:dyDescent="0.25">
      <c r="A1029" s="278" t="s">
        <v>1767</v>
      </c>
      <c r="B1029" s="266"/>
      <c r="C1029" s="266" t="s">
        <v>969</v>
      </c>
      <c r="D1029" s="283" t="s">
        <v>6530</v>
      </c>
      <c r="E1029" s="291"/>
      <c r="F1029" s="295">
        <v>29714</v>
      </c>
      <c r="G1029" s="287" t="s">
        <v>1766</v>
      </c>
      <c r="H1029" s="266" t="s">
        <v>1769</v>
      </c>
      <c r="I1029" s="268" t="s">
        <v>5812</v>
      </c>
      <c r="J1029" s="299" t="s">
        <v>985</v>
      </c>
      <c r="K1029" s="259" t="str">
        <f>HYPERLINK("https://okcountyrecords.com/detail/roger+mills/1981-005181","OKCountyRecords: 1981-005181")</f>
        <v>OKCountyRecords: 1981-005181</v>
      </c>
    </row>
    <row r="1030" spans="1:11" ht="32.1" customHeight="1" x14ac:dyDescent="0.25">
      <c r="A1030" s="278" t="s">
        <v>1770</v>
      </c>
      <c r="B1030" s="266"/>
      <c r="C1030" s="266" t="s">
        <v>969</v>
      </c>
      <c r="D1030" s="283" t="s">
        <v>6532</v>
      </c>
      <c r="E1030" s="291"/>
      <c r="F1030" s="295">
        <v>29767</v>
      </c>
      <c r="G1030" s="287" t="s">
        <v>1762</v>
      </c>
      <c r="H1030" s="266" t="s">
        <v>1772</v>
      </c>
      <c r="I1030" s="268" t="s">
        <v>242</v>
      </c>
      <c r="J1030" s="299" t="s">
        <v>985</v>
      </c>
      <c r="K1030" s="259" t="str">
        <f>HYPERLINK("https://okcountyrecords.com/detail/roger+mills/1981-007481","OKCountyRecords: 1981-007481")</f>
        <v>OKCountyRecords: 1981-007481</v>
      </c>
    </row>
    <row r="1031" spans="1:11" ht="32.1" customHeight="1" x14ac:dyDescent="0.25">
      <c r="A1031" s="278" t="s">
        <v>1773</v>
      </c>
      <c r="B1031" s="266"/>
      <c r="C1031" s="266" t="s">
        <v>969</v>
      </c>
      <c r="D1031" s="283" t="s">
        <v>6535</v>
      </c>
      <c r="E1031" s="291"/>
      <c r="F1031" s="295">
        <v>29812</v>
      </c>
      <c r="G1031" s="287" t="s">
        <v>1762</v>
      </c>
      <c r="H1031" s="266" t="s">
        <v>1775</v>
      </c>
      <c r="I1031" s="268" t="s">
        <v>242</v>
      </c>
      <c r="J1031" s="299" t="s">
        <v>985</v>
      </c>
      <c r="K1031" s="259" t="str">
        <f>HYPERLINK("https://okcountyrecords.com/detail/roger+mills/1981-009501","OKCountyRecords: 1981-009501")</f>
        <v>OKCountyRecords: 1981-009501</v>
      </c>
    </row>
    <row r="1032" spans="1:11" ht="32.1" customHeight="1" x14ac:dyDescent="0.25">
      <c r="A1032" s="278" t="s">
        <v>1776</v>
      </c>
      <c r="B1032" s="266"/>
      <c r="C1032" s="266" t="s">
        <v>114</v>
      </c>
      <c r="D1032" s="283" t="s">
        <v>6538</v>
      </c>
      <c r="E1032" s="291"/>
      <c r="F1032" s="295">
        <v>29857</v>
      </c>
      <c r="G1032" s="287" t="s">
        <v>840</v>
      </c>
      <c r="H1032" s="266" t="s">
        <v>1772</v>
      </c>
      <c r="I1032" s="268" t="s">
        <v>242</v>
      </c>
      <c r="J1032" s="299" t="s">
        <v>996</v>
      </c>
      <c r="K1032" s="259" t="str">
        <f>HYPERLINK("https://okcountyrecords.com/detail/roger+mills/1981-011348","OKCountyRecords: 1981-011348")</f>
        <v>OKCountyRecords: 1981-011348</v>
      </c>
    </row>
    <row r="1033" spans="1:11" ht="32.1" customHeight="1" x14ac:dyDescent="0.25">
      <c r="A1033" s="278" t="s">
        <v>1778</v>
      </c>
      <c r="B1033" s="266"/>
      <c r="C1033" s="266" t="s">
        <v>114</v>
      </c>
      <c r="D1033" s="283" t="s">
        <v>6541</v>
      </c>
      <c r="E1033" s="291"/>
      <c r="F1033" s="295">
        <v>29857</v>
      </c>
      <c r="G1033" s="287" t="s">
        <v>840</v>
      </c>
      <c r="H1033" s="266" t="s">
        <v>1775</v>
      </c>
      <c r="I1033" s="268" t="s">
        <v>242</v>
      </c>
      <c r="J1033" s="299" t="s">
        <v>996</v>
      </c>
      <c r="K1033" s="259" t="str">
        <f>HYPERLINK("https://okcountyrecords.com/detail/roger+mills/1981-011365","OKCountyRecords: 1981-011365")</f>
        <v>OKCountyRecords: 1981-011365</v>
      </c>
    </row>
    <row r="1034" spans="1:11" ht="32.1" customHeight="1" x14ac:dyDescent="0.25">
      <c r="A1034" s="278" t="s">
        <v>1780</v>
      </c>
      <c r="B1034" s="266"/>
      <c r="C1034" s="266" t="s">
        <v>309</v>
      </c>
      <c r="D1034" s="283" t="s">
        <v>841</v>
      </c>
      <c r="E1034" s="291"/>
      <c r="F1034" s="295">
        <v>29861</v>
      </c>
      <c r="G1034" s="287" t="s">
        <v>404</v>
      </c>
      <c r="H1034" s="266" t="s">
        <v>383</v>
      </c>
      <c r="I1034" s="268" t="s">
        <v>242</v>
      </c>
      <c r="J1034" s="299" t="s">
        <v>996</v>
      </c>
      <c r="K1034" s="259" t="str">
        <f>HYPERLINK("https://okcountyrecords.com/detail/roger+mills/1981-011564","OKCountyRecords: 1981-011564")</f>
        <v>OKCountyRecords: 1981-011564</v>
      </c>
    </row>
    <row r="1035" spans="1:11" ht="32.1" customHeight="1" x14ac:dyDescent="0.25">
      <c r="A1035" s="278" t="s">
        <v>1782</v>
      </c>
      <c r="B1035" s="266"/>
      <c r="C1035" s="266" t="s">
        <v>114</v>
      </c>
      <c r="D1035" s="283" t="s">
        <v>6545</v>
      </c>
      <c r="E1035" s="291">
        <v>29867</v>
      </c>
      <c r="F1035" s="295">
        <v>29844</v>
      </c>
      <c r="G1035" s="287" t="s">
        <v>1533</v>
      </c>
      <c r="H1035" s="266" t="s">
        <v>1784</v>
      </c>
      <c r="I1035" s="268" t="s">
        <v>6193</v>
      </c>
      <c r="J1035" s="299" t="s">
        <v>996</v>
      </c>
      <c r="K1035" s="259" t="str">
        <f>HYPERLINK("https://okcountyrecords.com/detail/roger+mills/1981-011846","OKCountyRecords: 1981-011846")</f>
        <v>OKCountyRecords: 1981-011846</v>
      </c>
    </row>
    <row r="1036" spans="1:11" ht="32.1" customHeight="1" x14ac:dyDescent="0.25">
      <c r="A1036" s="278" t="s">
        <v>1785</v>
      </c>
      <c r="B1036" s="266"/>
      <c r="C1036" s="266" t="s">
        <v>309</v>
      </c>
      <c r="D1036" s="283" t="s">
        <v>842</v>
      </c>
      <c r="E1036" s="291"/>
      <c r="F1036" s="295">
        <v>29915</v>
      </c>
      <c r="G1036" s="287" t="s">
        <v>411</v>
      </c>
      <c r="H1036" s="266" t="s">
        <v>412</v>
      </c>
      <c r="I1036" s="268" t="s">
        <v>242</v>
      </c>
      <c r="J1036" s="299" t="s">
        <v>996</v>
      </c>
      <c r="K1036" s="259" t="str">
        <f>HYPERLINK("https://okcountyrecords.com/detail/roger+mills/1981-013847","OKCountyRecords: 1981-013847")</f>
        <v>OKCountyRecords: 1981-013847</v>
      </c>
    </row>
    <row r="1037" spans="1:11" ht="32.1" customHeight="1" x14ac:dyDescent="0.25">
      <c r="A1037" s="278" t="s">
        <v>1787</v>
      </c>
      <c r="B1037" s="266"/>
      <c r="C1037" s="266" t="s">
        <v>309</v>
      </c>
      <c r="D1037" s="283" t="s">
        <v>844</v>
      </c>
      <c r="E1037" s="291"/>
      <c r="F1037" s="295">
        <v>29969</v>
      </c>
      <c r="G1037" s="287" t="s">
        <v>413</v>
      </c>
      <c r="H1037" s="266" t="s">
        <v>414</v>
      </c>
      <c r="I1037" s="268" t="s">
        <v>242</v>
      </c>
      <c r="J1037" s="299" t="s">
        <v>996</v>
      </c>
      <c r="K1037" s="259" t="str">
        <f>HYPERLINK("https://okcountyrecords.com/detail/roger+mills/1982-000608","OKCountyRecords: 1982-000608")</f>
        <v>OKCountyRecords: 1982-000608</v>
      </c>
    </row>
    <row r="1038" spans="1:11" ht="32.1" customHeight="1" x14ac:dyDescent="0.25">
      <c r="A1038" s="278" t="s">
        <v>1789</v>
      </c>
      <c r="B1038" s="266"/>
      <c r="C1038" s="266" t="s">
        <v>114</v>
      </c>
      <c r="D1038" s="283" t="s">
        <v>6552</v>
      </c>
      <c r="E1038" s="291"/>
      <c r="F1038" s="295">
        <v>29977</v>
      </c>
      <c r="G1038" s="287" t="s">
        <v>1775</v>
      </c>
      <c r="H1038" s="266" t="s">
        <v>840</v>
      </c>
      <c r="I1038" s="268" t="s">
        <v>242</v>
      </c>
      <c r="J1038" s="299" t="s">
        <v>996</v>
      </c>
      <c r="K1038" s="259" t="str">
        <f>HYPERLINK("https://okcountyrecords.com/detail/roger+mills/1982-001029","OKCountyRecords: 1982-001029")</f>
        <v>OKCountyRecords: 1982-001029</v>
      </c>
    </row>
    <row r="1039" spans="1:11" ht="32.1" customHeight="1" x14ac:dyDescent="0.25">
      <c r="A1039" s="278" t="s">
        <v>1791</v>
      </c>
      <c r="B1039" s="266"/>
      <c r="C1039" s="266" t="s">
        <v>309</v>
      </c>
      <c r="D1039" s="283" t="s">
        <v>846</v>
      </c>
      <c r="E1039" s="291"/>
      <c r="F1039" s="295">
        <v>29992</v>
      </c>
      <c r="G1039" s="287" t="s">
        <v>372</v>
      </c>
      <c r="H1039" s="266" t="s">
        <v>847</v>
      </c>
      <c r="I1039" s="268" t="s">
        <v>242</v>
      </c>
      <c r="J1039" s="299" t="s">
        <v>996</v>
      </c>
      <c r="K1039" s="259" t="str">
        <f>HYPERLINK("https://okcountyrecords.com/detail/roger+mills/1982-001703","OKCountyRecords: 1982-001703")</f>
        <v>OKCountyRecords: 1982-001703</v>
      </c>
    </row>
    <row r="1040" spans="1:11" ht="32.1" customHeight="1" x14ac:dyDescent="0.25">
      <c r="A1040" s="278" t="s">
        <v>1793</v>
      </c>
      <c r="B1040" s="266"/>
      <c r="C1040" s="266" t="s">
        <v>969</v>
      </c>
      <c r="D1040" s="283" t="s">
        <v>6557</v>
      </c>
      <c r="E1040" s="291"/>
      <c r="F1040" s="295">
        <v>30015</v>
      </c>
      <c r="G1040" s="287" t="s">
        <v>1582</v>
      </c>
      <c r="H1040" s="266" t="s">
        <v>411</v>
      </c>
      <c r="I1040" s="268" t="s">
        <v>242</v>
      </c>
      <c r="J1040" s="299" t="s">
        <v>985</v>
      </c>
      <c r="K1040" s="259" t="str">
        <f>HYPERLINK("https://okcountyrecords.com/detail/roger+mills/1982-002776","OKCountyRecords: 1982-002776")</f>
        <v>OKCountyRecords: 1982-002776</v>
      </c>
    </row>
    <row r="1041" spans="1:11" ht="32.1" customHeight="1" x14ac:dyDescent="0.25">
      <c r="A1041" s="278" t="s">
        <v>1795</v>
      </c>
      <c r="B1041" s="266"/>
      <c r="C1041" s="266" t="s">
        <v>309</v>
      </c>
      <c r="D1041" s="283" t="s">
        <v>848</v>
      </c>
      <c r="E1041" s="291"/>
      <c r="F1041" s="295">
        <v>30028</v>
      </c>
      <c r="G1041" s="287" t="s">
        <v>416</v>
      </c>
      <c r="H1041" s="266" t="s">
        <v>847</v>
      </c>
      <c r="I1041" s="268" t="s">
        <v>242</v>
      </c>
      <c r="J1041" s="299" t="s">
        <v>996</v>
      </c>
      <c r="K1041" s="259" t="str">
        <f>HYPERLINK("https://okcountyrecords.com/detail/roger+mills/1982-003363","OKCountyRecords: 1982-003363")</f>
        <v>OKCountyRecords: 1982-003363</v>
      </c>
    </row>
    <row r="1042" spans="1:11" ht="32.1" customHeight="1" x14ac:dyDescent="0.25">
      <c r="A1042" s="278" t="s">
        <v>1797</v>
      </c>
      <c r="B1042" s="266"/>
      <c r="C1042" s="266" t="s">
        <v>309</v>
      </c>
      <c r="D1042" s="283" t="s">
        <v>849</v>
      </c>
      <c r="E1042" s="291"/>
      <c r="F1042" s="295">
        <v>30039</v>
      </c>
      <c r="G1042" s="287" t="s">
        <v>1799</v>
      </c>
      <c r="H1042" s="266" t="s">
        <v>847</v>
      </c>
      <c r="I1042" s="268" t="s">
        <v>242</v>
      </c>
      <c r="J1042" s="299" t="s">
        <v>996</v>
      </c>
      <c r="K1042" s="259" t="str">
        <f>HYPERLINK("https://okcountyrecords.com/detail/roger+mills/1982-003751","OKCountyRecords: 1982-003751")</f>
        <v>OKCountyRecords: 1982-003751</v>
      </c>
    </row>
    <row r="1043" spans="1:11" ht="32.1" customHeight="1" x14ac:dyDescent="0.25">
      <c r="A1043" s="278" t="s">
        <v>1800</v>
      </c>
      <c r="B1043" s="266"/>
      <c r="C1043" s="266" t="s">
        <v>969</v>
      </c>
      <c r="D1043" s="283" t="s">
        <v>6564</v>
      </c>
      <c r="E1043" s="291"/>
      <c r="F1043" s="295">
        <v>30054</v>
      </c>
      <c r="G1043" s="287" t="s">
        <v>1572</v>
      </c>
      <c r="H1043" s="266" t="s">
        <v>1802</v>
      </c>
      <c r="I1043" s="268" t="s">
        <v>242</v>
      </c>
      <c r="J1043" s="299" t="s">
        <v>985</v>
      </c>
      <c r="K1043" s="259" t="str">
        <f>HYPERLINK("https://okcountyrecords.com/detail/roger+mills/1982-004342","OKCountyRecords: 1982-004342")</f>
        <v>OKCountyRecords: 1982-004342</v>
      </c>
    </row>
    <row r="1044" spans="1:11" ht="32.1" customHeight="1" x14ac:dyDescent="0.25">
      <c r="A1044" s="278" t="s">
        <v>1803</v>
      </c>
      <c r="B1044" s="266"/>
      <c r="C1044" s="266" t="s">
        <v>1091</v>
      </c>
      <c r="D1044" s="283" t="s">
        <v>6567</v>
      </c>
      <c r="E1044" s="291"/>
      <c r="F1044" s="295">
        <v>30061</v>
      </c>
      <c r="G1044" s="287" t="s">
        <v>1805</v>
      </c>
      <c r="H1044" s="266" t="s">
        <v>1391</v>
      </c>
      <c r="I1044" s="268" t="s">
        <v>5812</v>
      </c>
      <c r="J1044" s="299" t="s">
        <v>1095</v>
      </c>
      <c r="K1044" s="259" t="str">
        <f>HYPERLINK("https://okcountyrecords.com/detail/roger+mills/1982-004658","OKCountyRecords: 1982-004658")</f>
        <v>OKCountyRecords: 1982-004658</v>
      </c>
    </row>
    <row r="1045" spans="1:11" ht="32.1" customHeight="1" x14ac:dyDescent="0.25">
      <c r="A1045" s="278" t="s">
        <v>1806</v>
      </c>
      <c r="B1045" s="266"/>
      <c r="C1045" s="266" t="s">
        <v>993</v>
      </c>
      <c r="D1045" s="283" t="s">
        <v>6570</v>
      </c>
      <c r="E1045" s="291"/>
      <c r="F1045" s="295">
        <v>30076</v>
      </c>
      <c r="G1045" s="287" t="s">
        <v>983</v>
      </c>
      <c r="H1045" s="266" t="s">
        <v>1808</v>
      </c>
      <c r="I1045" s="268" t="s">
        <v>242</v>
      </c>
      <c r="J1045" s="299" t="s">
        <v>996</v>
      </c>
      <c r="K1045" s="259" t="str">
        <f>HYPERLINK("https://okcountyrecords.com/detail/roger+mills/1982-005195","OKCountyRecords: 1982-005195")</f>
        <v>OKCountyRecords: 1982-005195</v>
      </c>
    </row>
    <row r="1046" spans="1:11" ht="32.1" customHeight="1" x14ac:dyDescent="0.25">
      <c r="A1046" s="278" t="s">
        <v>1809</v>
      </c>
      <c r="B1046" s="266"/>
      <c r="C1046" s="266" t="s">
        <v>969</v>
      </c>
      <c r="D1046" s="283" t="s">
        <v>6573</v>
      </c>
      <c r="E1046" s="291"/>
      <c r="F1046" s="295">
        <v>30081</v>
      </c>
      <c r="G1046" s="287" t="s">
        <v>840</v>
      </c>
      <c r="H1046" s="266" t="s">
        <v>1772</v>
      </c>
      <c r="I1046" s="268" t="s">
        <v>242</v>
      </c>
      <c r="J1046" s="299" t="s">
        <v>985</v>
      </c>
      <c r="K1046" s="259" t="str">
        <f>HYPERLINK("https://okcountyrecords.com/detail/roger+mills/1982-005352","OKCountyRecords: 1982-005352")</f>
        <v>OKCountyRecords: 1982-005352</v>
      </c>
    </row>
    <row r="1047" spans="1:11" ht="32.1" customHeight="1" x14ac:dyDescent="0.25">
      <c r="A1047" s="278" t="s">
        <v>1811</v>
      </c>
      <c r="B1047" s="266"/>
      <c r="C1047" s="266" t="s">
        <v>114</v>
      </c>
      <c r="D1047" s="283" t="s">
        <v>6576</v>
      </c>
      <c r="E1047" s="291"/>
      <c r="F1047" s="295">
        <v>30081</v>
      </c>
      <c r="G1047" s="287" t="s">
        <v>840</v>
      </c>
      <c r="H1047" s="266" t="s">
        <v>1772</v>
      </c>
      <c r="I1047" s="268" t="s">
        <v>242</v>
      </c>
      <c r="J1047" s="299" t="s">
        <v>996</v>
      </c>
      <c r="K1047" s="259" t="str">
        <f>HYPERLINK("https://okcountyrecords.com/detail/roger+mills/1982-005357","OKCountyRecords: 1982-005357")</f>
        <v>OKCountyRecords: 1982-005357</v>
      </c>
    </row>
    <row r="1048" spans="1:11" ht="32.1" customHeight="1" x14ac:dyDescent="0.25">
      <c r="A1048" s="278" t="s">
        <v>1813</v>
      </c>
      <c r="B1048" s="266"/>
      <c r="C1048" s="266" t="s">
        <v>969</v>
      </c>
      <c r="D1048" s="283" t="s">
        <v>6578</v>
      </c>
      <c r="E1048" s="291"/>
      <c r="F1048" s="295">
        <v>30088</v>
      </c>
      <c r="G1048" s="287" t="s">
        <v>411</v>
      </c>
      <c r="H1048" s="266" t="s">
        <v>436</v>
      </c>
      <c r="I1048" s="268" t="s">
        <v>242</v>
      </c>
      <c r="J1048" s="299" t="s">
        <v>985</v>
      </c>
      <c r="K1048" s="259" t="str">
        <f>HYPERLINK("https://okcountyrecords.com/detail/roger+mills/1982-005721","OKCountyRecords: 1982-005721")</f>
        <v>OKCountyRecords: 1982-005721</v>
      </c>
    </row>
    <row r="1049" spans="1:11" ht="32.1" customHeight="1" x14ac:dyDescent="0.25">
      <c r="A1049" s="278" t="s">
        <v>1815</v>
      </c>
      <c r="B1049" s="266"/>
      <c r="C1049" s="266" t="s">
        <v>309</v>
      </c>
      <c r="D1049" s="283" t="s">
        <v>851</v>
      </c>
      <c r="E1049" s="291"/>
      <c r="F1049" s="295">
        <v>30095</v>
      </c>
      <c r="G1049" s="287" t="s">
        <v>1817</v>
      </c>
      <c r="H1049" s="266" t="s">
        <v>847</v>
      </c>
      <c r="I1049" s="268" t="s">
        <v>242</v>
      </c>
      <c r="J1049" s="299" t="s">
        <v>996</v>
      </c>
      <c r="K1049" s="259" t="str">
        <f>HYPERLINK("https://okcountyrecords.com/detail/roger+mills/1982-005993","OKCountyRecords: 1982-005993")</f>
        <v>OKCountyRecords: 1982-005993</v>
      </c>
    </row>
    <row r="1050" spans="1:11" ht="32.1" customHeight="1" x14ac:dyDescent="0.25">
      <c r="A1050" s="278" t="s">
        <v>1818</v>
      </c>
      <c r="B1050" s="266"/>
      <c r="C1050" s="266" t="s">
        <v>114</v>
      </c>
      <c r="D1050" s="283" t="s">
        <v>6583</v>
      </c>
      <c r="E1050" s="291"/>
      <c r="F1050" s="295">
        <v>30095</v>
      </c>
      <c r="G1050" s="287" t="s">
        <v>1820</v>
      </c>
      <c r="H1050" s="266" t="s">
        <v>1821</v>
      </c>
      <c r="I1050" s="268" t="s">
        <v>242</v>
      </c>
      <c r="J1050" s="299" t="s">
        <v>996</v>
      </c>
      <c r="K1050" s="259" t="str">
        <f>HYPERLINK("https://okcountyrecords.com/detail/roger+mills/1982-005994","OKCountyRecords: 1982-005994")</f>
        <v>OKCountyRecords: 1982-005994</v>
      </c>
    </row>
    <row r="1051" spans="1:11" ht="32.1" customHeight="1" x14ac:dyDescent="0.25">
      <c r="A1051" s="278" t="s">
        <v>1822</v>
      </c>
      <c r="B1051" s="266"/>
      <c r="C1051" s="266" t="s">
        <v>114</v>
      </c>
      <c r="D1051" s="283" t="s">
        <v>6585</v>
      </c>
      <c r="E1051" s="291"/>
      <c r="F1051" s="295">
        <v>30095</v>
      </c>
      <c r="G1051" s="287" t="s">
        <v>1820</v>
      </c>
      <c r="H1051" s="266" t="s">
        <v>1821</v>
      </c>
      <c r="I1051" s="268" t="s">
        <v>242</v>
      </c>
      <c r="J1051" s="299" t="s">
        <v>996</v>
      </c>
      <c r="K1051" s="259" t="str">
        <f>HYPERLINK("https://okcountyrecords.com/detail/roger+mills/1982-005996","OKCountyRecords: 1982-005996")</f>
        <v>OKCountyRecords: 1982-005996</v>
      </c>
    </row>
    <row r="1052" spans="1:11" ht="32.1" customHeight="1" x14ac:dyDescent="0.25">
      <c r="A1052" s="278" t="s">
        <v>1824</v>
      </c>
      <c r="B1052" s="266"/>
      <c r="C1052" s="266" t="s">
        <v>114</v>
      </c>
      <c r="D1052" s="283" t="s">
        <v>6587</v>
      </c>
      <c r="E1052" s="291"/>
      <c r="F1052" s="295">
        <v>30095</v>
      </c>
      <c r="G1052" s="287" t="s">
        <v>1820</v>
      </c>
      <c r="H1052" s="266" t="s">
        <v>1821</v>
      </c>
      <c r="I1052" s="268" t="s">
        <v>242</v>
      </c>
      <c r="J1052" s="299" t="s">
        <v>996</v>
      </c>
      <c r="K1052" s="259" t="str">
        <f>HYPERLINK("https://okcountyrecords.com/detail/roger+mills/1982-005997","OKCountyRecords: 1982-005997")</f>
        <v>OKCountyRecords: 1982-005997</v>
      </c>
    </row>
    <row r="1053" spans="1:11" ht="32.1" customHeight="1" x14ac:dyDescent="0.25">
      <c r="A1053" s="278" t="s">
        <v>1826</v>
      </c>
      <c r="B1053" s="266"/>
      <c r="C1053" s="266" t="s">
        <v>1317</v>
      </c>
      <c r="D1053" s="283" t="s">
        <v>6589</v>
      </c>
      <c r="E1053" s="291"/>
      <c r="F1053" s="295">
        <v>30099</v>
      </c>
      <c r="G1053" s="287" t="s">
        <v>1828</v>
      </c>
      <c r="H1053" s="266" t="s">
        <v>1110</v>
      </c>
      <c r="I1053" s="268" t="s">
        <v>242</v>
      </c>
      <c r="J1053" s="299" t="s">
        <v>1095</v>
      </c>
      <c r="K1053" s="259" t="str">
        <f>HYPERLINK("https://okcountyrecords.com/detail/roger+mills/1982-006217","OKCountyRecords: 1982-006217")</f>
        <v>OKCountyRecords: 1982-006217</v>
      </c>
    </row>
    <row r="1054" spans="1:11" ht="32.1" customHeight="1" x14ac:dyDescent="0.25">
      <c r="A1054" s="278" t="s">
        <v>1829</v>
      </c>
      <c r="B1054" s="266"/>
      <c r="C1054" s="266" t="s">
        <v>1317</v>
      </c>
      <c r="D1054" s="283" t="s">
        <v>6592</v>
      </c>
      <c r="E1054" s="291"/>
      <c r="F1054" s="295">
        <v>30099</v>
      </c>
      <c r="G1054" s="287" t="s">
        <v>1828</v>
      </c>
      <c r="H1054" s="266" t="s">
        <v>1110</v>
      </c>
      <c r="I1054" s="268" t="s">
        <v>242</v>
      </c>
      <c r="J1054" s="299" t="s">
        <v>1095</v>
      </c>
      <c r="K1054" s="259" t="str">
        <f>HYPERLINK("https://okcountyrecords.com/detail/roger+mills/1982-006218","OKCountyRecords: 1982-006218")</f>
        <v>OKCountyRecords: 1982-006218</v>
      </c>
    </row>
    <row r="1055" spans="1:11" ht="32.1" customHeight="1" x14ac:dyDescent="0.25">
      <c r="A1055" s="278" t="s">
        <v>1831</v>
      </c>
      <c r="B1055" s="266"/>
      <c r="C1055" s="266" t="s">
        <v>969</v>
      </c>
      <c r="D1055" s="283" t="s">
        <v>6594</v>
      </c>
      <c r="E1055" s="291"/>
      <c r="F1055" s="295">
        <v>30124</v>
      </c>
      <c r="G1055" s="287" t="s">
        <v>404</v>
      </c>
      <c r="H1055" s="266" t="s">
        <v>286</v>
      </c>
      <c r="I1055" s="268" t="s">
        <v>242</v>
      </c>
      <c r="J1055" s="299" t="s">
        <v>985</v>
      </c>
      <c r="K1055" s="259" t="str">
        <f>HYPERLINK("https://okcountyrecords.com/detail/roger+mills/1982-007158","OKCountyRecords: 1982-007158")</f>
        <v>OKCountyRecords: 1982-007158</v>
      </c>
    </row>
    <row r="1056" spans="1:11" ht="32.1" customHeight="1" x14ac:dyDescent="0.25">
      <c r="A1056" s="278" t="s">
        <v>1833</v>
      </c>
      <c r="B1056" s="266"/>
      <c r="C1056" s="266" t="s">
        <v>114</v>
      </c>
      <c r="D1056" s="283" t="s">
        <v>6597</v>
      </c>
      <c r="E1056" s="291"/>
      <c r="F1056" s="295">
        <v>30130</v>
      </c>
      <c r="G1056" s="287" t="s">
        <v>1820</v>
      </c>
      <c r="H1056" s="266" t="s">
        <v>1821</v>
      </c>
      <c r="I1056" s="268" t="s">
        <v>242</v>
      </c>
      <c r="J1056" s="299" t="s">
        <v>996</v>
      </c>
      <c r="K1056" s="259" t="str">
        <f>HYPERLINK("https://okcountyrecords.com/detail/roger+mills/1982-007341","OKCountyRecords: 1982-007341")</f>
        <v>OKCountyRecords: 1982-007341</v>
      </c>
    </row>
    <row r="1057" spans="1:11" ht="32.1" customHeight="1" x14ac:dyDescent="0.25">
      <c r="A1057" s="278" t="s">
        <v>1835</v>
      </c>
      <c r="B1057" s="266"/>
      <c r="C1057" s="266" t="s">
        <v>114</v>
      </c>
      <c r="D1057" s="283" t="s">
        <v>6600</v>
      </c>
      <c r="E1057" s="291"/>
      <c r="F1057" s="295">
        <v>30173</v>
      </c>
      <c r="G1057" s="287" t="s">
        <v>1837</v>
      </c>
      <c r="H1057" s="266" t="s">
        <v>1838</v>
      </c>
      <c r="I1057" s="268" t="s">
        <v>5812</v>
      </c>
      <c r="J1057" s="299" t="s">
        <v>996</v>
      </c>
      <c r="K1057" s="259" t="str">
        <f>HYPERLINK("https://okcountyrecords.com/detail/roger+mills/1982-008742","OKCountyRecords: 1982-008742")</f>
        <v>OKCountyRecords: 1982-008742</v>
      </c>
    </row>
    <row r="1058" spans="1:11" ht="32.1" customHeight="1" x14ac:dyDescent="0.25">
      <c r="A1058" s="278" t="s">
        <v>1839</v>
      </c>
      <c r="B1058" s="266"/>
      <c r="C1058" s="266" t="s">
        <v>114</v>
      </c>
      <c r="D1058" s="283" t="s">
        <v>6603</v>
      </c>
      <c r="E1058" s="291"/>
      <c r="F1058" s="295">
        <v>30230</v>
      </c>
      <c r="G1058" s="287" t="s">
        <v>1841</v>
      </c>
      <c r="H1058" s="266" t="s">
        <v>1842</v>
      </c>
      <c r="I1058" s="268" t="s">
        <v>242</v>
      </c>
      <c r="J1058" s="299" t="s">
        <v>996</v>
      </c>
      <c r="K1058" s="259" t="str">
        <f>HYPERLINK("https://okcountyrecords.com/detail/roger+mills/1982-010547","OKCountyRecords: 1982-010547")</f>
        <v>OKCountyRecords: 1982-010547</v>
      </c>
    </row>
    <row r="1059" spans="1:11" ht="32.1" customHeight="1" x14ac:dyDescent="0.25">
      <c r="A1059" s="278" t="s">
        <v>1843</v>
      </c>
      <c r="B1059" s="266"/>
      <c r="C1059" s="266" t="s">
        <v>969</v>
      </c>
      <c r="D1059" s="283" t="s">
        <v>6606</v>
      </c>
      <c r="E1059" s="291"/>
      <c r="F1059" s="295">
        <v>30250</v>
      </c>
      <c r="G1059" s="287" t="s">
        <v>1845</v>
      </c>
      <c r="H1059" s="266" t="s">
        <v>240</v>
      </c>
      <c r="I1059" s="268" t="s">
        <v>5812</v>
      </c>
      <c r="J1059" s="299" t="s">
        <v>985</v>
      </c>
      <c r="K1059" s="259" t="str">
        <f>HYPERLINK("https://okcountyrecords.com/detail/roger+mills/1982-011142","OKCountyRecords: 1982-011142")</f>
        <v>OKCountyRecords: 1982-011142</v>
      </c>
    </row>
    <row r="1060" spans="1:11" ht="32.1" customHeight="1" x14ac:dyDescent="0.25">
      <c r="A1060" s="278" t="s">
        <v>1846</v>
      </c>
      <c r="B1060" s="266"/>
      <c r="C1060" s="266" t="s">
        <v>969</v>
      </c>
      <c r="D1060" s="283" t="s">
        <v>6609</v>
      </c>
      <c r="E1060" s="291"/>
      <c r="F1060" s="295">
        <v>30250</v>
      </c>
      <c r="G1060" s="287" t="s">
        <v>1845</v>
      </c>
      <c r="H1060" s="266" t="s">
        <v>263</v>
      </c>
      <c r="I1060" s="268" t="s">
        <v>5812</v>
      </c>
      <c r="J1060" s="299" t="s">
        <v>985</v>
      </c>
      <c r="K1060" s="259" t="str">
        <f>HYPERLINK("https://okcountyrecords.com/detail/roger+mills/1982-011143","OKCountyRecords: 1982-011143")</f>
        <v>OKCountyRecords: 1982-011143</v>
      </c>
    </row>
    <row r="1061" spans="1:11" ht="32.1" customHeight="1" x14ac:dyDescent="0.25">
      <c r="A1061" s="278" t="s">
        <v>1848</v>
      </c>
      <c r="B1061" s="266"/>
      <c r="C1061" s="266" t="s">
        <v>969</v>
      </c>
      <c r="D1061" s="283" t="s">
        <v>6611</v>
      </c>
      <c r="E1061" s="291"/>
      <c r="F1061" s="295">
        <v>30250</v>
      </c>
      <c r="G1061" s="287" t="s">
        <v>1845</v>
      </c>
      <c r="H1061" s="266" t="s">
        <v>252</v>
      </c>
      <c r="I1061" s="268" t="s">
        <v>5812</v>
      </c>
      <c r="J1061" s="299" t="s">
        <v>985</v>
      </c>
      <c r="K1061" s="259" t="str">
        <f>HYPERLINK("https://okcountyrecords.com/detail/roger+mills/1982-011144","OKCountyRecords: 1982-011144")</f>
        <v>OKCountyRecords: 1982-011144</v>
      </c>
    </row>
    <row r="1062" spans="1:11" ht="32.1" customHeight="1" x14ac:dyDescent="0.25">
      <c r="A1062" s="278" t="s">
        <v>1850</v>
      </c>
      <c r="B1062" s="266"/>
      <c r="C1062" s="266" t="s">
        <v>1091</v>
      </c>
      <c r="D1062" s="283" t="s">
        <v>6613</v>
      </c>
      <c r="E1062" s="291"/>
      <c r="F1062" s="295">
        <v>30369</v>
      </c>
      <c r="G1062" s="287" t="s">
        <v>1604</v>
      </c>
      <c r="H1062" s="266" t="s">
        <v>433</v>
      </c>
      <c r="I1062" s="268" t="s">
        <v>5812</v>
      </c>
      <c r="J1062" s="299" t="s">
        <v>1095</v>
      </c>
      <c r="K1062" s="259" t="str">
        <f>HYPERLINK("https://okcountyrecords.com/detail/roger+mills/1983-001668","OKCountyRecords: 1983-001668")</f>
        <v>OKCountyRecords: 1983-001668</v>
      </c>
    </row>
    <row r="1063" spans="1:11" ht="32.1" customHeight="1" x14ac:dyDescent="0.25">
      <c r="A1063" s="278" t="s">
        <v>1852</v>
      </c>
      <c r="B1063" s="266"/>
      <c r="C1063" s="266" t="s">
        <v>969</v>
      </c>
      <c r="D1063" s="283" t="s">
        <v>6616</v>
      </c>
      <c r="E1063" s="291"/>
      <c r="F1063" s="295">
        <v>30369</v>
      </c>
      <c r="G1063" s="287" t="s">
        <v>6617</v>
      </c>
      <c r="H1063" s="266" t="s">
        <v>1855</v>
      </c>
      <c r="I1063" s="268" t="s">
        <v>5812</v>
      </c>
      <c r="J1063" s="299" t="s">
        <v>985</v>
      </c>
      <c r="K1063" s="259" t="str">
        <f>HYPERLINK("https://okcountyrecords.com/detail/roger+mills/1983-001669","OKCountyRecords: 1983-001669")</f>
        <v>OKCountyRecords: 1983-001669</v>
      </c>
    </row>
    <row r="1064" spans="1:11" ht="32.1" customHeight="1" x14ac:dyDescent="0.25">
      <c r="A1064" s="278" t="s">
        <v>1856</v>
      </c>
      <c r="B1064" s="266"/>
      <c r="C1064" s="266" t="s">
        <v>1274</v>
      </c>
      <c r="D1064" s="283" t="s">
        <v>6619</v>
      </c>
      <c r="E1064" s="291"/>
      <c r="F1064" s="295">
        <v>30369</v>
      </c>
      <c r="G1064" s="287" t="s">
        <v>1858</v>
      </c>
      <c r="H1064" s="266" t="s">
        <v>1859</v>
      </c>
      <c r="I1064" s="268" t="s">
        <v>5812</v>
      </c>
      <c r="J1064" s="299" t="s">
        <v>985</v>
      </c>
      <c r="K1064" s="259" t="str">
        <f>HYPERLINK("https://okcountyrecords.com/detail/roger+mills/1983-001671","OKCountyRecords: 1983-001671")</f>
        <v>OKCountyRecords: 1983-001671</v>
      </c>
    </row>
    <row r="1065" spans="1:11" ht="32.1" customHeight="1" x14ac:dyDescent="0.25">
      <c r="A1065" s="278" t="s">
        <v>1860</v>
      </c>
      <c r="B1065" s="266"/>
      <c r="C1065" s="266" t="s">
        <v>1091</v>
      </c>
      <c r="D1065" s="283" t="s">
        <v>6621</v>
      </c>
      <c r="E1065" s="291"/>
      <c r="F1065" s="295">
        <v>30375</v>
      </c>
      <c r="G1065" s="287" t="s">
        <v>1391</v>
      </c>
      <c r="H1065" s="266" t="s">
        <v>436</v>
      </c>
      <c r="I1065" s="268" t="s">
        <v>5812</v>
      </c>
      <c r="J1065" s="299" t="s">
        <v>1095</v>
      </c>
      <c r="K1065" s="259" t="str">
        <f>HYPERLINK("https://okcountyrecords.com/detail/roger+mills/1983-001869","OKCountyRecords: 1983-001869")</f>
        <v>OKCountyRecords: 1983-001869</v>
      </c>
    </row>
    <row r="1066" spans="1:11" ht="32.1" customHeight="1" x14ac:dyDescent="0.25">
      <c r="A1066" s="278" t="s">
        <v>1862</v>
      </c>
      <c r="B1066" s="266"/>
      <c r="C1066" s="266" t="s">
        <v>969</v>
      </c>
      <c r="D1066" s="283" t="s">
        <v>6624</v>
      </c>
      <c r="E1066" s="291"/>
      <c r="F1066" s="295">
        <v>30388</v>
      </c>
      <c r="G1066" s="287" t="s">
        <v>1855</v>
      </c>
      <c r="H1066" s="266" t="s">
        <v>438</v>
      </c>
      <c r="I1066" s="268" t="s">
        <v>5812</v>
      </c>
      <c r="J1066" s="299" t="s">
        <v>985</v>
      </c>
      <c r="K1066" s="259" t="str">
        <f>HYPERLINK("https://okcountyrecords.com/detail/roger+mills/1983-002348","OKCountyRecords: 1983-002348")</f>
        <v>OKCountyRecords: 1983-002348</v>
      </c>
    </row>
    <row r="1067" spans="1:11" ht="32.1" customHeight="1" x14ac:dyDescent="0.25">
      <c r="A1067" s="278" t="s">
        <v>1864</v>
      </c>
      <c r="B1067" s="266"/>
      <c r="C1067" s="266" t="s">
        <v>969</v>
      </c>
      <c r="D1067" s="283" t="s">
        <v>6627</v>
      </c>
      <c r="E1067" s="291"/>
      <c r="F1067" s="295">
        <v>30388</v>
      </c>
      <c r="G1067" s="287" t="s">
        <v>1855</v>
      </c>
      <c r="H1067" s="266" t="s">
        <v>1866</v>
      </c>
      <c r="I1067" s="268" t="s">
        <v>5812</v>
      </c>
      <c r="J1067" s="299" t="s">
        <v>985</v>
      </c>
      <c r="K1067" s="259" t="str">
        <f>HYPERLINK("https://okcountyrecords.com/detail/roger+mills/1983-002349","OKCountyRecords: 1983-002349")</f>
        <v>OKCountyRecords: 1983-002349</v>
      </c>
    </row>
    <row r="1068" spans="1:11" ht="32.1" customHeight="1" x14ac:dyDescent="0.25">
      <c r="A1068" s="278" t="s">
        <v>1867</v>
      </c>
      <c r="B1068" s="266"/>
      <c r="C1068" s="266" t="s">
        <v>969</v>
      </c>
      <c r="D1068" s="283" t="s">
        <v>6629</v>
      </c>
      <c r="E1068" s="291"/>
      <c r="F1068" s="295">
        <v>30388</v>
      </c>
      <c r="G1068" s="287" t="s">
        <v>1855</v>
      </c>
      <c r="H1068" s="266" t="s">
        <v>430</v>
      </c>
      <c r="I1068" s="268" t="s">
        <v>5812</v>
      </c>
      <c r="J1068" s="299" t="s">
        <v>985</v>
      </c>
      <c r="K1068" s="259" t="str">
        <f>HYPERLINK("https://okcountyrecords.com/detail/roger+mills/1983-002350","OKCountyRecords: 1983-002350")</f>
        <v>OKCountyRecords: 1983-002350</v>
      </c>
    </row>
    <row r="1069" spans="1:11" ht="32.1" customHeight="1" x14ac:dyDescent="0.25">
      <c r="A1069" s="278" t="s">
        <v>1869</v>
      </c>
      <c r="B1069" s="266"/>
      <c r="C1069" s="266" t="s">
        <v>969</v>
      </c>
      <c r="D1069" s="283" t="s">
        <v>6631</v>
      </c>
      <c r="E1069" s="291"/>
      <c r="F1069" s="295">
        <v>30388</v>
      </c>
      <c r="G1069" s="287" t="s">
        <v>1855</v>
      </c>
      <c r="H1069" s="266" t="s">
        <v>247</v>
      </c>
      <c r="I1069" s="268" t="s">
        <v>5812</v>
      </c>
      <c r="J1069" s="299" t="s">
        <v>985</v>
      </c>
      <c r="K1069" s="259" t="str">
        <f>HYPERLINK("https://okcountyrecords.com/detail/roger+mills/1983-002351","OKCountyRecords: 1983-002351")</f>
        <v>OKCountyRecords: 1983-002351</v>
      </c>
    </row>
    <row r="1070" spans="1:11" ht="32.1" customHeight="1" x14ac:dyDescent="0.25">
      <c r="A1070" s="278" t="s">
        <v>1871</v>
      </c>
      <c r="B1070" s="266"/>
      <c r="C1070" s="266" t="s">
        <v>969</v>
      </c>
      <c r="D1070" s="283" t="s">
        <v>6633</v>
      </c>
      <c r="E1070" s="291"/>
      <c r="F1070" s="295">
        <v>30388</v>
      </c>
      <c r="G1070" s="287" t="s">
        <v>1855</v>
      </c>
      <c r="H1070" s="266" t="s">
        <v>437</v>
      </c>
      <c r="I1070" s="268" t="s">
        <v>5812</v>
      </c>
      <c r="J1070" s="299" t="s">
        <v>985</v>
      </c>
      <c r="K1070" s="259" t="str">
        <f>HYPERLINK("https://okcountyrecords.com/detail/roger+mills/1983-002352","OKCountyRecords: 1983-002352")</f>
        <v>OKCountyRecords: 1983-002352</v>
      </c>
    </row>
    <row r="1071" spans="1:11" ht="32.1" customHeight="1" x14ac:dyDescent="0.25">
      <c r="A1071" s="278" t="s">
        <v>1873</v>
      </c>
      <c r="B1071" s="266"/>
      <c r="C1071" s="266" t="s">
        <v>309</v>
      </c>
      <c r="D1071" s="283" t="s">
        <v>853</v>
      </c>
      <c r="E1071" s="291"/>
      <c r="F1071" s="295">
        <v>30391</v>
      </c>
      <c r="G1071" s="287" t="s">
        <v>407</v>
      </c>
      <c r="H1071" s="266" t="s">
        <v>383</v>
      </c>
      <c r="I1071" s="268" t="s">
        <v>242</v>
      </c>
      <c r="J1071" s="299" t="s">
        <v>996</v>
      </c>
      <c r="K1071" s="259" t="str">
        <f>HYPERLINK("https://okcountyrecords.com/detail/roger+mills/1983-002495","OKCountyRecords: 1983-002495")</f>
        <v>OKCountyRecords: 1983-002495</v>
      </c>
    </row>
    <row r="1072" spans="1:11" ht="32.1" customHeight="1" x14ac:dyDescent="0.25">
      <c r="A1072" s="278" t="s">
        <v>1875</v>
      </c>
      <c r="B1072" s="266"/>
      <c r="C1072" s="266" t="s">
        <v>309</v>
      </c>
      <c r="D1072" s="283" t="s">
        <v>854</v>
      </c>
      <c r="E1072" s="291"/>
      <c r="F1072" s="295">
        <v>30396</v>
      </c>
      <c r="G1072" s="287" t="s">
        <v>407</v>
      </c>
      <c r="H1072" s="266" t="s">
        <v>383</v>
      </c>
      <c r="I1072" s="268" t="s">
        <v>242</v>
      </c>
      <c r="J1072" s="299" t="s">
        <v>996</v>
      </c>
      <c r="K1072" s="259" t="str">
        <f>HYPERLINK("https://okcountyrecords.com/detail/roger+mills/1983-002623","OKCountyRecords: 1983-002623")</f>
        <v>OKCountyRecords: 1983-002623</v>
      </c>
    </row>
    <row r="1073" spans="1:11" ht="32.1" customHeight="1" x14ac:dyDescent="0.25">
      <c r="A1073" s="278" t="s">
        <v>1877</v>
      </c>
      <c r="B1073" s="266"/>
      <c r="C1073" s="266" t="s">
        <v>114</v>
      </c>
      <c r="D1073" s="283" t="s">
        <v>6639</v>
      </c>
      <c r="E1073" s="291"/>
      <c r="F1073" s="295">
        <v>30411</v>
      </c>
      <c r="G1073" s="287" t="s">
        <v>1879</v>
      </c>
      <c r="H1073" s="266" t="s">
        <v>1880</v>
      </c>
      <c r="I1073" s="268" t="s">
        <v>5812</v>
      </c>
      <c r="J1073" s="299" t="s">
        <v>996</v>
      </c>
      <c r="K1073" s="259" t="str">
        <f>HYPERLINK("https://okcountyrecords.com/detail/roger+mills/1983-003111","OKCountyRecords: 1983-003111")</f>
        <v>OKCountyRecords: 1983-003111</v>
      </c>
    </row>
    <row r="1074" spans="1:11" ht="32.1" customHeight="1" x14ac:dyDescent="0.25">
      <c r="A1074" s="278" t="s">
        <v>1881</v>
      </c>
      <c r="B1074" s="266"/>
      <c r="C1074" s="266" t="s">
        <v>114</v>
      </c>
      <c r="D1074" s="283" t="s">
        <v>6642</v>
      </c>
      <c r="E1074" s="291"/>
      <c r="F1074" s="295">
        <v>30433</v>
      </c>
      <c r="G1074" s="287" t="s">
        <v>1883</v>
      </c>
      <c r="H1074" s="266" t="s">
        <v>1884</v>
      </c>
      <c r="I1074" s="268" t="s">
        <v>6193</v>
      </c>
      <c r="J1074" s="299" t="s">
        <v>996</v>
      </c>
      <c r="K1074" s="259" t="str">
        <f>HYPERLINK("https://okcountyrecords.com/detail/roger+mills/1983-003752","OKCountyRecords: 1983-003752")</f>
        <v>OKCountyRecords: 1983-003752</v>
      </c>
    </row>
    <row r="1075" spans="1:11" ht="32.1" customHeight="1" x14ac:dyDescent="0.25">
      <c r="A1075" s="278" t="s">
        <v>1885</v>
      </c>
      <c r="B1075" s="266"/>
      <c r="C1075" s="266" t="s">
        <v>309</v>
      </c>
      <c r="D1075" s="283" t="s">
        <v>855</v>
      </c>
      <c r="E1075" s="291"/>
      <c r="F1075" s="295">
        <v>30438</v>
      </c>
      <c r="G1075" s="287" t="s">
        <v>348</v>
      </c>
      <c r="H1075" s="266" t="s">
        <v>856</v>
      </c>
      <c r="I1075" s="268" t="s">
        <v>5812</v>
      </c>
      <c r="J1075" s="299" t="s">
        <v>996</v>
      </c>
      <c r="K1075" s="259" t="str">
        <f>HYPERLINK("https://okcountyrecords.com/detail/roger+mills/1983-003792","OKCountyRecords: 1983-003792")</f>
        <v>OKCountyRecords: 1983-003792</v>
      </c>
    </row>
    <row r="1076" spans="1:11" ht="32.1" customHeight="1" x14ac:dyDescent="0.25">
      <c r="A1076" s="278" t="s">
        <v>1887</v>
      </c>
      <c r="B1076" s="266"/>
      <c r="C1076" s="266" t="s">
        <v>309</v>
      </c>
      <c r="D1076" s="283" t="s">
        <v>857</v>
      </c>
      <c r="E1076" s="291"/>
      <c r="F1076" s="295">
        <v>30438</v>
      </c>
      <c r="G1076" s="287" t="s">
        <v>340</v>
      </c>
      <c r="H1076" s="266" t="s">
        <v>856</v>
      </c>
      <c r="I1076" s="268" t="s">
        <v>242</v>
      </c>
      <c r="J1076" s="299" t="s">
        <v>996</v>
      </c>
      <c r="K1076" s="259" t="str">
        <f>HYPERLINK("https://okcountyrecords.com/detail/roger+mills/1983-003793","OKCountyRecords: 1983-003793")</f>
        <v>OKCountyRecords: 1983-003793</v>
      </c>
    </row>
    <row r="1077" spans="1:11" ht="32.1" customHeight="1" x14ac:dyDescent="0.25">
      <c r="A1077" s="278" t="s">
        <v>1889</v>
      </c>
      <c r="B1077" s="266"/>
      <c r="C1077" s="266" t="s">
        <v>309</v>
      </c>
      <c r="D1077" s="283" t="s">
        <v>858</v>
      </c>
      <c r="E1077" s="291"/>
      <c r="F1077" s="295">
        <v>30445</v>
      </c>
      <c r="G1077" s="287" t="s">
        <v>345</v>
      </c>
      <c r="H1077" s="266" t="s">
        <v>856</v>
      </c>
      <c r="I1077" s="268" t="s">
        <v>242</v>
      </c>
      <c r="J1077" s="299" t="s">
        <v>996</v>
      </c>
      <c r="K1077" s="259" t="str">
        <f>HYPERLINK("https://okcountyrecords.com/detail/roger+mills/1983-003961","OKCountyRecords: 1983-003961")</f>
        <v>OKCountyRecords: 1983-003961</v>
      </c>
    </row>
    <row r="1078" spans="1:11" ht="32.1" customHeight="1" x14ac:dyDescent="0.25">
      <c r="A1078" s="278" t="s">
        <v>1891</v>
      </c>
      <c r="B1078" s="266"/>
      <c r="C1078" s="266" t="s">
        <v>309</v>
      </c>
      <c r="D1078" s="283" t="s">
        <v>859</v>
      </c>
      <c r="E1078" s="291"/>
      <c r="F1078" s="295">
        <v>30445</v>
      </c>
      <c r="G1078" s="287" t="s">
        <v>420</v>
      </c>
      <c r="H1078" s="266" t="s">
        <v>856</v>
      </c>
      <c r="I1078" s="268" t="s">
        <v>242</v>
      </c>
      <c r="J1078" s="299" t="s">
        <v>996</v>
      </c>
      <c r="K1078" s="259" t="str">
        <f>HYPERLINK("https://okcountyrecords.com/detail/roger+mills/1983-003962","OKCountyRecords: 1983-003962")</f>
        <v>OKCountyRecords: 1983-003962</v>
      </c>
    </row>
    <row r="1079" spans="1:11" ht="32.1" customHeight="1" x14ac:dyDescent="0.25">
      <c r="A1079" s="278" t="s">
        <v>1893</v>
      </c>
      <c r="B1079" s="266"/>
      <c r="C1079" s="266" t="s">
        <v>114</v>
      </c>
      <c r="D1079" s="283" t="s">
        <v>6651</v>
      </c>
      <c r="E1079" s="291"/>
      <c r="F1079" s="295">
        <v>30490</v>
      </c>
      <c r="G1079" s="287" t="s">
        <v>1895</v>
      </c>
      <c r="H1079" s="266" t="s">
        <v>1896</v>
      </c>
      <c r="I1079" s="268" t="s">
        <v>242</v>
      </c>
      <c r="J1079" s="299" t="s">
        <v>996</v>
      </c>
      <c r="K1079" s="259" t="str">
        <f>HYPERLINK("https://okcountyrecords.com/detail/roger+mills/1983-005001","OKCountyRecords: 1983-005001")</f>
        <v>OKCountyRecords: 1983-005001</v>
      </c>
    </row>
    <row r="1080" spans="1:11" ht="32.1" customHeight="1" x14ac:dyDescent="0.25">
      <c r="A1080" s="278" t="s">
        <v>1897</v>
      </c>
      <c r="B1080" s="266"/>
      <c r="C1080" s="266" t="s">
        <v>309</v>
      </c>
      <c r="D1080" s="283" t="s">
        <v>860</v>
      </c>
      <c r="E1080" s="291"/>
      <c r="F1080" s="295">
        <v>30536</v>
      </c>
      <c r="G1080" s="287" t="s">
        <v>421</v>
      </c>
      <c r="H1080" s="266" t="s">
        <v>862</v>
      </c>
      <c r="I1080" s="268" t="s">
        <v>242</v>
      </c>
      <c r="J1080" s="299" t="s">
        <v>996</v>
      </c>
      <c r="K1080" s="259" t="str">
        <f>HYPERLINK("https://okcountyrecords.com/detail/roger+mills/1983-005956","OKCountyRecords: 1983-005956")</f>
        <v>OKCountyRecords: 1983-005956</v>
      </c>
    </row>
    <row r="1081" spans="1:11" ht="32.1" customHeight="1" x14ac:dyDescent="0.25">
      <c r="A1081" s="278" t="s">
        <v>1899</v>
      </c>
      <c r="B1081" s="266"/>
      <c r="C1081" s="266" t="s">
        <v>114</v>
      </c>
      <c r="D1081" s="283" t="s">
        <v>6656</v>
      </c>
      <c r="E1081" s="291"/>
      <c r="F1081" s="295">
        <v>30536</v>
      </c>
      <c r="G1081" s="287" t="s">
        <v>1901</v>
      </c>
      <c r="H1081" s="266" t="s">
        <v>1784</v>
      </c>
      <c r="I1081" s="268" t="s">
        <v>242</v>
      </c>
      <c r="J1081" s="299" t="s">
        <v>996</v>
      </c>
      <c r="K1081" s="259" t="str">
        <f>HYPERLINK("https://okcountyrecords.com/detail/roger+mills/1983-005957","OKCountyRecords: 1983-005957")</f>
        <v>OKCountyRecords: 1983-005957</v>
      </c>
    </row>
    <row r="1082" spans="1:11" ht="32.1" customHeight="1" x14ac:dyDescent="0.25">
      <c r="A1082" s="278" t="s">
        <v>1903</v>
      </c>
      <c r="B1082" s="266"/>
      <c r="C1082" s="266" t="s">
        <v>309</v>
      </c>
      <c r="D1082" s="283" t="s">
        <v>863</v>
      </c>
      <c r="E1082" s="291"/>
      <c r="F1082" s="295">
        <v>30536</v>
      </c>
      <c r="G1082" s="287" t="s">
        <v>423</v>
      </c>
      <c r="H1082" s="266" t="s">
        <v>862</v>
      </c>
      <c r="I1082" s="268" t="s">
        <v>242</v>
      </c>
      <c r="J1082" s="299" t="s">
        <v>996</v>
      </c>
      <c r="K1082" s="259" t="str">
        <f>HYPERLINK("https://okcountyrecords.com/detail/roger+mills/1983-005958","OKCountyRecords: 1983-005958")</f>
        <v>OKCountyRecords: 1983-005958</v>
      </c>
    </row>
    <row r="1083" spans="1:11" ht="32.1" customHeight="1" x14ac:dyDescent="0.25">
      <c r="A1083" s="278" t="s">
        <v>1905</v>
      </c>
      <c r="B1083" s="266"/>
      <c r="C1083" s="266" t="s">
        <v>114</v>
      </c>
      <c r="D1083" s="283" t="s">
        <v>6659</v>
      </c>
      <c r="E1083" s="291"/>
      <c r="F1083" s="295">
        <v>30536</v>
      </c>
      <c r="G1083" s="287" t="s">
        <v>1901</v>
      </c>
      <c r="H1083" s="266" t="s">
        <v>1784</v>
      </c>
      <c r="I1083" s="268" t="s">
        <v>242</v>
      </c>
      <c r="J1083" s="299" t="s">
        <v>996</v>
      </c>
      <c r="K1083" s="259" t="str">
        <f>HYPERLINK("https://okcountyrecords.com/detail/roger+mills/1983-005959","OKCountyRecords: 1983-005959")</f>
        <v>OKCountyRecords: 1983-005959</v>
      </c>
    </row>
    <row r="1084" spans="1:11" ht="32.1" customHeight="1" x14ac:dyDescent="0.25">
      <c r="A1084" s="278" t="s">
        <v>1907</v>
      </c>
      <c r="B1084" s="266"/>
      <c r="C1084" s="266" t="s">
        <v>993</v>
      </c>
      <c r="D1084" s="283" t="s">
        <v>6661</v>
      </c>
      <c r="E1084" s="291"/>
      <c r="F1084" s="295">
        <v>30557</v>
      </c>
      <c r="G1084" s="287" t="s">
        <v>1909</v>
      </c>
      <c r="H1084" s="266" t="s">
        <v>1910</v>
      </c>
      <c r="I1084" s="268" t="s">
        <v>6455</v>
      </c>
      <c r="J1084" s="299" t="s">
        <v>996</v>
      </c>
      <c r="K1084" s="259" t="str">
        <f>HYPERLINK("https://okcountyrecords.com/detail/roger+mills/1983-006435","OKCountyRecords: 1983-006435")</f>
        <v>OKCountyRecords: 1983-006435</v>
      </c>
    </row>
    <row r="1085" spans="1:11" ht="32.1" customHeight="1" x14ac:dyDescent="0.25">
      <c r="A1085" s="278" t="s">
        <v>1911</v>
      </c>
      <c r="B1085" s="266"/>
      <c r="C1085" s="266" t="s">
        <v>309</v>
      </c>
      <c r="D1085" s="283" t="s">
        <v>865</v>
      </c>
      <c r="E1085" s="291"/>
      <c r="F1085" s="295">
        <v>30656</v>
      </c>
      <c r="G1085" s="287" t="s">
        <v>286</v>
      </c>
      <c r="H1085" s="266" t="s">
        <v>383</v>
      </c>
      <c r="I1085" s="268" t="s">
        <v>242</v>
      </c>
      <c r="J1085" s="299" t="s">
        <v>996</v>
      </c>
      <c r="K1085" s="259" t="str">
        <f>HYPERLINK("https://okcountyrecords.com/detail/roger+mills/1983-009092","OKCountyRecords: 1983-009092")</f>
        <v>OKCountyRecords: 1983-009092</v>
      </c>
    </row>
    <row r="1086" spans="1:11" ht="32.1" customHeight="1" x14ac:dyDescent="0.25">
      <c r="A1086" s="278" t="s">
        <v>1913</v>
      </c>
      <c r="B1086" s="266"/>
      <c r="C1086" s="266" t="s">
        <v>309</v>
      </c>
      <c r="D1086" s="283" t="s">
        <v>866</v>
      </c>
      <c r="E1086" s="291"/>
      <c r="F1086" s="295">
        <v>30656</v>
      </c>
      <c r="G1086" s="287" t="s">
        <v>404</v>
      </c>
      <c r="H1086" s="266" t="s">
        <v>383</v>
      </c>
      <c r="I1086" s="268" t="s">
        <v>242</v>
      </c>
      <c r="J1086" s="299" t="s">
        <v>996</v>
      </c>
      <c r="K1086" s="259" t="str">
        <f>HYPERLINK("https://okcountyrecords.com/detail/roger+mills/1983-009093","OKCountyRecords: 1983-009093")</f>
        <v>OKCountyRecords: 1983-009093</v>
      </c>
    </row>
    <row r="1087" spans="1:11" ht="32.1" customHeight="1" x14ac:dyDescent="0.25">
      <c r="A1087" s="278" t="s">
        <v>1915</v>
      </c>
      <c r="B1087" s="266"/>
      <c r="C1087" s="266" t="s">
        <v>1317</v>
      </c>
      <c r="D1087" s="283" t="s">
        <v>6667</v>
      </c>
      <c r="E1087" s="291"/>
      <c r="F1087" s="295">
        <v>30666</v>
      </c>
      <c r="G1087" s="287" t="s">
        <v>1917</v>
      </c>
      <c r="H1087" s="266" t="s">
        <v>1110</v>
      </c>
      <c r="I1087" s="268" t="s">
        <v>242</v>
      </c>
      <c r="J1087" s="299" t="s">
        <v>1095</v>
      </c>
      <c r="K1087" s="259" t="str">
        <f>HYPERLINK("https://okcountyrecords.com/detail/roger+mills/1983-009331","OKCountyRecords: 1983-009331")</f>
        <v>OKCountyRecords: 1983-009331</v>
      </c>
    </row>
    <row r="1088" spans="1:11" ht="32.1" customHeight="1" x14ac:dyDescent="0.25">
      <c r="A1088" s="278" t="s">
        <v>1918</v>
      </c>
      <c r="B1088" s="266"/>
      <c r="C1088" s="266" t="s">
        <v>309</v>
      </c>
      <c r="D1088" s="283" t="s">
        <v>867</v>
      </c>
      <c r="E1088" s="291"/>
      <c r="F1088" s="295">
        <v>30726</v>
      </c>
      <c r="G1088" s="287" t="s">
        <v>1920</v>
      </c>
      <c r="H1088" s="266" t="s">
        <v>383</v>
      </c>
      <c r="I1088" s="268" t="s">
        <v>242</v>
      </c>
      <c r="J1088" s="299" t="s">
        <v>996</v>
      </c>
      <c r="K1088" s="259" t="str">
        <f>HYPERLINK("https://okcountyrecords.com/detail/roger+mills/1984-001299","OKCountyRecords: 1984-001299")</f>
        <v>OKCountyRecords: 1984-001299</v>
      </c>
    </row>
    <row r="1089" spans="1:11" ht="32.1" customHeight="1" x14ac:dyDescent="0.25">
      <c r="A1089" s="278" t="s">
        <v>1921</v>
      </c>
      <c r="B1089" s="266"/>
      <c r="C1089" s="266" t="s">
        <v>309</v>
      </c>
      <c r="D1089" s="283" t="s">
        <v>869</v>
      </c>
      <c r="E1089" s="291"/>
      <c r="F1089" s="295">
        <v>30728</v>
      </c>
      <c r="G1089" s="287" t="s">
        <v>425</v>
      </c>
      <c r="H1089" s="266" t="s">
        <v>426</v>
      </c>
      <c r="I1089" s="268" t="s">
        <v>5812</v>
      </c>
      <c r="J1089" s="299" t="s">
        <v>996</v>
      </c>
      <c r="K1089" s="259" t="str">
        <f>HYPERLINK("https://okcountyrecords.com/detail/roger+mills/1984-001346","OKCountyRecords: 1984-001346")</f>
        <v>OKCountyRecords: 1984-001346</v>
      </c>
    </row>
    <row r="1090" spans="1:11" ht="32.1" customHeight="1" x14ac:dyDescent="0.25">
      <c r="A1090" s="278" t="s">
        <v>1923</v>
      </c>
      <c r="B1090" s="266"/>
      <c r="C1090" s="266" t="s">
        <v>309</v>
      </c>
      <c r="D1090" s="283" t="s">
        <v>871</v>
      </c>
      <c r="E1090" s="291"/>
      <c r="F1090" s="295">
        <v>30736</v>
      </c>
      <c r="G1090" s="287" t="s">
        <v>247</v>
      </c>
      <c r="H1090" s="266" t="s">
        <v>383</v>
      </c>
      <c r="I1090" s="268" t="s">
        <v>242</v>
      </c>
      <c r="J1090" s="299" t="s">
        <v>996</v>
      </c>
      <c r="K1090" s="259" t="str">
        <f>HYPERLINK("https://okcountyrecords.com/detail/roger+mills/1984-001673","OKCountyRecords: 1984-001673")</f>
        <v>OKCountyRecords: 1984-001673</v>
      </c>
    </row>
    <row r="1091" spans="1:11" ht="32.1" customHeight="1" x14ac:dyDescent="0.25">
      <c r="A1091" s="278" t="s">
        <v>1925</v>
      </c>
      <c r="B1091" s="266"/>
      <c r="C1091" s="266" t="s">
        <v>309</v>
      </c>
      <c r="D1091" s="283" t="s">
        <v>872</v>
      </c>
      <c r="E1091" s="291"/>
      <c r="F1091" s="295">
        <v>30736</v>
      </c>
      <c r="G1091" s="287" t="s">
        <v>428</v>
      </c>
      <c r="H1091" s="266" t="s">
        <v>383</v>
      </c>
      <c r="I1091" s="268" t="s">
        <v>242</v>
      </c>
      <c r="J1091" s="299" t="s">
        <v>996</v>
      </c>
      <c r="K1091" s="259" t="str">
        <f>HYPERLINK("https://okcountyrecords.com/detail/roger+mills/1984-001674","OKCountyRecords: 1984-001674")</f>
        <v>OKCountyRecords: 1984-001674</v>
      </c>
    </row>
    <row r="1092" spans="1:11" ht="32.1" customHeight="1" x14ac:dyDescent="0.25">
      <c r="A1092" s="278" t="s">
        <v>1927</v>
      </c>
      <c r="B1092" s="266"/>
      <c r="C1092" s="266" t="s">
        <v>309</v>
      </c>
      <c r="D1092" s="283" t="s">
        <v>875</v>
      </c>
      <c r="E1092" s="291"/>
      <c r="F1092" s="295">
        <v>30736</v>
      </c>
      <c r="G1092" s="287" t="s">
        <v>430</v>
      </c>
      <c r="H1092" s="266" t="s">
        <v>383</v>
      </c>
      <c r="I1092" s="268" t="s">
        <v>242</v>
      </c>
      <c r="J1092" s="299" t="s">
        <v>996</v>
      </c>
      <c r="K1092" s="259" t="str">
        <f>HYPERLINK("https://okcountyrecords.com/detail/roger+mills/1984-001675","OKCountyRecords: 1984-001675")</f>
        <v>OKCountyRecords: 1984-001675</v>
      </c>
    </row>
    <row r="1093" spans="1:11" ht="32.1" customHeight="1" x14ac:dyDescent="0.25">
      <c r="A1093" s="278" t="s">
        <v>1929</v>
      </c>
      <c r="B1093" s="266"/>
      <c r="C1093" s="266" t="s">
        <v>309</v>
      </c>
      <c r="D1093" s="283" t="s">
        <v>876</v>
      </c>
      <c r="E1093" s="291"/>
      <c r="F1093" s="295">
        <v>30736</v>
      </c>
      <c r="G1093" s="287" t="s">
        <v>252</v>
      </c>
      <c r="H1093" s="266" t="s">
        <v>383</v>
      </c>
      <c r="I1093" s="268" t="s">
        <v>242</v>
      </c>
      <c r="J1093" s="299" t="s">
        <v>996</v>
      </c>
      <c r="K1093" s="259" t="str">
        <f>HYPERLINK("https://okcountyrecords.com/detail/roger+mills/1984-001676","OKCountyRecords: 1984-001676")</f>
        <v>OKCountyRecords: 1984-001676</v>
      </c>
    </row>
    <row r="1094" spans="1:11" ht="32.1" customHeight="1" x14ac:dyDescent="0.25">
      <c r="A1094" s="278" t="s">
        <v>1931</v>
      </c>
      <c r="B1094" s="266"/>
      <c r="C1094" s="266" t="s">
        <v>309</v>
      </c>
      <c r="D1094" s="283" t="s">
        <v>877</v>
      </c>
      <c r="E1094" s="291"/>
      <c r="F1094" s="295">
        <v>30736</v>
      </c>
      <c r="G1094" s="287" t="s">
        <v>263</v>
      </c>
      <c r="H1094" s="266" t="s">
        <v>383</v>
      </c>
      <c r="I1094" s="268" t="s">
        <v>242</v>
      </c>
      <c r="J1094" s="299" t="s">
        <v>996</v>
      </c>
      <c r="K1094" s="259" t="str">
        <f>HYPERLINK("https://okcountyrecords.com/detail/roger+mills/1984-001677","OKCountyRecords: 1984-001677")</f>
        <v>OKCountyRecords: 1984-001677</v>
      </c>
    </row>
    <row r="1095" spans="1:11" ht="32.1" customHeight="1" x14ac:dyDescent="0.25">
      <c r="A1095" s="278" t="s">
        <v>1933</v>
      </c>
      <c r="B1095" s="266"/>
      <c r="C1095" s="266" t="s">
        <v>309</v>
      </c>
      <c r="D1095" s="283" t="s">
        <v>878</v>
      </c>
      <c r="E1095" s="291"/>
      <c r="F1095" s="295">
        <v>30736</v>
      </c>
      <c r="G1095" s="287" t="s">
        <v>394</v>
      </c>
      <c r="H1095" s="266" t="s">
        <v>383</v>
      </c>
      <c r="I1095" s="268" t="s">
        <v>242</v>
      </c>
      <c r="J1095" s="299" t="s">
        <v>996</v>
      </c>
      <c r="K1095" s="259" t="str">
        <f>HYPERLINK("https://okcountyrecords.com/detail/roger+mills/1984-001679","OKCountyRecords: 1984-001679")</f>
        <v>OKCountyRecords: 1984-001679</v>
      </c>
    </row>
    <row r="1096" spans="1:11" ht="32.1" customHeight="1" x14ac:dyDescent="0.25">
      <c r="A1096" s="278" t="s">
        <v>1935</v>
      </c>
      <c r="B1096" s="266"/>
      <c r="C1096" s="266" t="s">
        <v>309</v>
      </c>
      <c r="D1096" s="283" t="s">
        <v>879</v>
      </c>
      <c r="E1096" s="291"/>
      <c r="F1096" s="295">
        <v>30736</v>
      </c>
      <c r="G1096" s="287" t="s">
        <v>396</v>
      </c>
      <c r="H1096" s="266" t="s">
        <v>383</v>
      </c>
      <c r="I1096" s="268" t="s">
        <v>242</v>
      </c>
      <c r="J1096" s="299" t="s">
        <v>996</v>
      </c>
      <c r="K1096" s="259" t="str">
        <f>HYPERLINK("https://okcountyrecords.com/detail/roger+mills/1984-001680","OKCountyRecords: 1984-001680")</f>
        <v>OKCountyRecords: 1984-001680</v>
      </c>
    </row>
    <row r="1097" spans="1:11" ht="32.1" customHeight="1" x14ac:dyDescent="0.25">
      <c r="A1097" s="278" t="s">
        <v>1937</v>
      </c>
      <c r="B1097" s="266"/>
      <c r="C1097" s="266" t="s">
        <v>309</v>
      </c>
      <c r="D1097" s="283" t="s">
        <v>880</v>
      </c>
      <c r="E1097" s="291"/>
      <c r="F1097" s="295">
        <v>30736</v>
      </c>
      <c r="G1097" s="287" t="s">
        <v>397</v>
      </c>
      <c r="H1097" s="266" t="s">
        <v>383</v>
      </c>
      <c r="I1097" s="268" t="s">
        <v>242</v>
      </c>
      <c r="J1097" s="299" t="s">
        <v>996</v>
      </c>
      <c r="K1097" s="259" t="str">
        <f>HYPERLINK("https://okcountyrecords.com/detail/roger+mills/1984-001681","OKCountyRecords: 1984-001681")</f>
        <v>OKCountyRecords: 1984-001681</v>
      </c>
    </row>
    <row r="1098" spans="1:11" ht="32.1" customHeight="1" x14ac:dyDescent="0.25">
      <c r="A1098" s="278" t="s">
        <v>1939</v>
      </c>
      <c r="B1098" s="266"/>
      <c r="C1098" s="266" t="s">
        <v>309</v>
      </c>
      <c r="D1098" s="283" t="s">
        <v>881</v>
      </c>
      <c r="E1098" s="291"/>
      <c r="F1098" s="295">
        <v>30736</v>
      </c>
      <c r="G1098" s="287" t="s">
        <v>1941</v>
      </c>
      <c r="H1098" s="266" t="s">
        <v>383</v>
      </c>
      <c r="I1098" s="268" t="s">
        <v>242</v>
      </c>
      <c r="J1098" s="299" t="s">
        <v>996</v>
      </c>
      <c r="K1098" s="259" t="str">
        <f>HYPERLINK("https://okcountyrecords.com/detail/roger+mills/1984-001682","OKCountyRecords: 1984-001682")</f>
        <v>OKCountyRecords: 1984-001682</v>
      </c>
    </row>
    <row r="1099" spans="1:11" ht="32.1" customHeight="1" x14ac:dyDescent="0.25">
      <c r="A1099" s="278" t="s">
        <v>1942</v>
      </c>
      <c r="B1099" s="266"/>
      <c r="C1099" s="266" t="s">
        <v>309</v>
      </c>
      <c r="D1099" s="283" t="s">
        <v>873</v>
      </c>
      <c r="E1099" s="291"/>
      <c r="F1099" s="295">
        <v>30736</v>
      </c>
      <c r="G1099" s="287" t="s">
        <v>6684</v>
      </c>
      <c r="H1099" s="266" t="s">
        <v>383</v>
      </c>
      <c r="I1099" s="268" t="s">
        <v>242</v>
      </c>
      <c r="J1099" s="299" t="s">
        <v>996</v>
      </c>
      <c r="K1099" s="259" t="str">
        <f>HYPERLINK("https://okcountyrecords.com/detail/roger+mills/1984-001683","OKCountyRecords: 1984-001683")</f>
        <v>OKCountyRecords: 1984-001683</v>
      </c>
    </row>
    <row r="1100" spans="1:11" ht="32.1" customHeight="1" x14ac:dyDescent="0.25">
      <c r="A1100" s="278" t="s">
        <v>1945</v>
      </c>
      <c r="B1100" s="266"/>
      <c r="C1100" s="266" t="s">
        <v>309</v>
      </c>
      <c r="D1100" s="283" t="s">
        <v>886</v>
      </c>
      <c r="E1100" s="291"/>
      <c r="F1100" s="295">
        <v>30739</v>
      </c>
      <c r="G1100" s="287" t="s">
        <v>1947</v>
      </c>
      <c r="H1100" s="266" t="s">
        <v>383</v>
      </c>
      <c r="I1100" s="268" t="s">
        <v>242</v>
      </c>
      <c r="J1100" s="299" t="s">
        <v>996</v>
      </c>
      <c r="K1100" s="259" t="str">
        <f>HYPERLINK("https://okcountyrecords.com/detail/roger+mills/1984-001750","OKCountyRecords: 1984-001750")</f>
        <v>OKCountyRecords: 1984-001750</v>
      </c>
    </row>
    <row r="1101" spans="1:11" ht="32.1" customHeight="1" x14ac:dyDescent="0.25">
      <c r="A1101" s="278" t="s">
        <v>1948</v>
      </c>
      <c r="B1101" s="266"/>
      <c r="C1101" s="266" t="s">
        <v>309</v>
      </c>
      <c r="D1101" s="283" t="s">
        <v>882</v>
      </c>
      <c r="E1101" s="291"/>
      <c r="F1101" s="295">
        <v>30739</v>
      </c>
      <c r="G1101" s="287" t="s">
        <v>392</v>
      </c>
      <c r="H1101" s="266" t="s">
        <v>383</v>
      </c>
      <c r="I1101" s="268" t="s">
        <v>242</v>
      </c>
      <c r="J1101" s="299" t="s">
        <v>996</v>
      </c>
      <c r="K1101" s="259" t="str">
        <f>HYPERLINK("https://okcountyrecords.com/detail/roger+mills/1984-001751","OKCountyRecords: 1984-001751")</f>
        <v>OKCountyRecords: 1984-001751</v>
      </c>
    </row>
    <row r="1102" spans="1:11" ht="32.1" customHeight="1" x14ac:dyDescent="0.25">
      <c r="A1102" s="278" t="s">
        <v>1950</v>
      </c>
      <c r="B1102" s="266"/>
      <c r="C1102" s="266" t="s">
        <v>309</v>
      </c>
      <c r="D1102" s="283" t="s">
        <v>883</v>
      </c>
      <c r="E1102" s="291"/>
      <c r="F1102" s="295">
        <v>30739</v>
      </c>
      <c r="G1102" s="287" t="s">
        <v>6617</v>
      </c>
      <c r="H1102" s="266" t="s">
        <v>383</v>
      </c>
      <c r="I1102" s="268" t="s">
        <v>242</v>
      </c>
      <c r="J1102" s="299" t="s">
        <v>996</v>
      </c>
      <c r="K1102" s="259" t="str">
        <f>HYPERLINK("https://okcountyrecords.com/detail/roger+mills/1984-001752","OKCountyRecords: 1984-001752")</f>
        <v>OKCountyRecords: 1984-001752</v>
      </c>
    </row>
    <row r="1103" spans="1:11" ht="32.1" customHeight="1" x14ac:dyDescent="0.25">
      <c r="A1103" s="278" t="s">
        <v>1952</v>
      </c>
      <c r="B1103" s="266"/>
      <c r="C1103" s="266" t="s">
        <v>309</v>
      </c>
      <c r="D1103" s="283" t="s">
        <v>885</v>
      </c>
      <c r="E1103" s="291"/>
      <c r="F1103" s="295">
        <v>30739</v>
      </c>
      <c r="G1103" s="287" t="s">
        <v>433</v>
      </c>
      <c r="H1103" s="266" t="s">
        <v>383</v>
      </c>
      <c r="I1103" s="268" t="s">
        <v>242</v>
      </c>
      <c r="J1103" s="299" t="s">
        <v>996</v>
      </c>
      <c r="K1103" s="259" t="str">
        <f>HYPERLINK("https://okcountyrecords.com/detail/roger+mills/1984-001753","OKCountyRecords: 1984-001753")</f>
        <v>OKCountyRecords: 1984-001753</v>
      </c>
    </row>
    <row r="1104" spans="1:11" ht="32.1" customHeight="1" x14ac:dyDescent="0.25">
      <c r="A1104" s="278" t="s">
        <v>1954</v>
      </c>
      <c r="B1104" s="266"/>
      <c r="C1104" s="266" t="s">
        <v>309</v>
      </c>
      <c r="D1104" s="283" t="s">
        <v>887</v>
      </c>
      <c r="E1104" s="291"/>
      <c r="F1104" s="295">
        <v>30741</v>
      </c>
      <c r="G1104" s="287" t="s">
        <v>400</v>
      </c>
      <c r="H1104" s="266" t="s">
        <v>383</v>
      </c>
      <c r="I1104" s="268" t="s">
        <v>242</v>
      </c>
      <c r="J1104" s="299" t="s">
        <v>996</v>
      </c>
      <c r="K1104" s="259" t="str">
        <f>HYPERLINK("https://okcountyrecords.com/detail/roger+mills/1984-001867","OKCountyRecords: 1984-001867")</f>
        <v>OKCountyRecords: 1984-001867</v>
      </c>
    </row>
    <row r="1105" spans="1:11" ht="32.1" customHeight="1" x14ac:dyDescent="0.25">
      <c r="A1105" s="278" t="s">
        <v>1956</v>
      </c>
      <c r="B1105" s="266"/>
      <c r="C1105" s="266" t="s">
        <v>309</v>
      </c>
      <c r="D1105" s="283" t="s">
        <v>888</v>
      </c>
      <c r="E1105" s="291"/>
      <c r="F1105" s="295">
        <v>30742</v>
      </c>
      <c r="G1105" s="287" t="s">
        <v>1958</v>
      </c>
      <c r="H1105" s="266" t="s">
        <v>383</v>
      </c>
      <c r="I1105" s="268" t="s">
        <v>242</v>
      </c>
      <c r="J1105" s="299" t="s">
        <v>996</v>
      </c>
      <c r="K1105" s="259" t="str">
        <f>HYPERLINK("https://okcountyrecords.com/detail/roger+mills/1984-001901","OKCountyRecords: 1984-001901")</f>
        <v>OKCountyRecords: 1984-001901</v>
      </c>
    </row>
    <row r="1106" spans="1:11" ht="32.1" customHeight="1" x14ac:dyDescent="0.25">
      <c r="A1106" s="278" t="s">
        <v>1959</v>
      </c>
      <c r="B1106" s="266"/>
      <c r="C1106" s="266" t="s">
        <v>309</v>
      </c>
      <c r="D1106" s="283" t="s">
        <v>889</v>
      </c>
      <c r="E1106" s="291"/>
      <c r="F1106" s="295">
        <v>30748</v>
      </c>
      <c r="G1106" s="287" t="s">
        <v>435</v>
      </c>
      <c r="H1106" s="266" t="s">
        <v>383</v>
      </c>
      <c r="I1106" s="268" t="s">
        <v>242</v>
      </c>
      <c r="J1106" s="299" t="s">
        <v>996</v>
      </c>
      <c r="K1106" s="259" t="str">
        <f>HYPERLINK("https://okcountyrecords.com/detail/roger+mills/1984-002100","OKCountyRecords: 1984-002100")</f>
        <v>OKCountyRecords: 1984-002100</v>
      </c>
    </row>
    <row r="1107" spans="1:11" ht="32.1" customHeight="1" x14ac:dyDescent="0.25">
      <c r="A1107" s="278" t="s">
        <v>1961</v>
      </c>
      <c r="B1107" s="266"/>
      <c r="C1107" s="266" t="s">
        <v>309</v>
      </c>
      <c r="D1107" s="283" t="s">
        <v>890</v>
      </c>
      <c r="E1107" s="291"/>
      <c r="F1107" s="295">
        <v>30749</v>
      </c>
      <c r="G1107" s="287" t="s">
        <v>436</v>
      </c>
      <c r="H1107" s="266" t="s">
        <v>383</v>
      </c>
      <c r="I1107" s="268" t="s">
        <v>242</v>
      </c>
      <c r="J1107" s="299" t="s">
        <v>996</v>
      </c>
      <c r="K1107" s="259" t="str">
        <f>HYPERLINK("https://okcountyrecords.com/detail/roger+mills/1984-002212","OKCountyRecords: 1984-002212")</f>
        <v>OKCountyRecords: 1984-002212</v>
      </c>
    </row>
    <row r="1108" spans="1:11" ht="32.1" customHeight="1" x14ac:dyDescent="0.25">
      <c r="A1108" s="278" t="s">
        <v>1963</v>
      </c>
      <c r="B1108" s="266"/>
      <c r="C1108" s="266" t="s">
        <v>309</v>
      </c>
      <c r="D1108" s="283" t="s">
        <v>891</v>
      </c>
      <c r="E1108" s="291"/>
      <c r="F1108" s="295">
        <v>30756</v>
      </c>
      <c r="G1108" s="287" t="s">
        <v>437</v>
      </c>
      <c r="H1108" s="266" t="s">
        <v>383</v>
      </c>
      <c r="I1108" s="268" t="s">
        <v>242</v>
      </c>
      <c r="J1108" s="299" t="s">
        <v>996</v>
      </c>
      <c r="K1108" s="259" t="str">
        <f>HYPERLINK("https://okcountyrecords.com/detail/roger+mills/1984-002528","OKCountyRecords: 1984-002528")</f>
        <v>OKCountyRecords: 1984-002528</v>
      </c>
    </row>
    <row r="1109" spans="1:11" ht="32.1" customHeight="1" x14ac:dyDescent="0.25">
      <c r="A1109" s="278" t="s">
        <v>1965</v>
      </c>
      <c r="B1109" s="266"/>
      <c r="C1109" s="266" t="s">
        <v>309</v>
      </c>
      <c r="D1109" s="283" t="s">
        <v>892</v>
      </c>
      <c r="E1109" s="291"/>
      <c r="F1109" s="295">
        <v>30756</v>
      </c>
      <c r="G1109" s="287" t="s">
        <v>438</v>
      </c>
      <c r="H1109" s="266" t="s">
        <v>383</v>
      </c>
      <c r="I1109" s="268" t="s">
        <v>242</v>
      </c>
      <c r="J1109" s="299" t="s">
        <v>996</v>
      </c>
      <c r="K1109" s="259" t="str">
        <f>HYPERLINK("https://okcountyrecords.com/detail/roger+mills/1984-002529","OKCountyRecords: 1984-002529")</f>
        <v>OKCountyRecords: 1984-002529</v>
      </c>
    </row>
    <row r="1110" spans="1:11" ht="32.1" customHeight="1" x14ac:dyDescent="0.25">
      <c r="A1110" s="278" t="s">
        <v>1967</v>
      </c>
      <c r="B1110" s="266"/>
      <c r="C1110" s="266" t="s">
        <v>309</v>
      </c>
      <c r="D1110" s="283" t="s">
        <v>893</v>
      </c>
      <c r="E1110" s="291"/>
      <c r="F1110" s="295">
        <v>30756</v>
      </c>
      <c r="G1110" s="287" t="s">
        <v>240</v>
      </c>
      <c r="H1110" s="266" t="s">
        <v>383</v>
      </c>
      <c r="I1110" s="268" t="s">
        <v>242</v>
      </c>
      <c r="J1110" s="299" t="s">
        <v>996</v>
      </c>
      <c r="K1110" s="259" t="str">
        <f>HYPERLINK("https://okcountyrecords.com/detail/roger+mills/1984-002532","OKCountyRecords: 1984-002532")</f>
        <v>OKCountyRecords: 1984-002532</v>
      </c>
    </row>
    <row r="1111" spans="1:11" ht="32.1" customHeight="1" x14ac:dyDescent="0.25">
      <c r="A1111" s="278" t="s">
        <v>1969</v>
      </c>
      <c r="B1111" s="266"/>
      <c r="C1111" s="266" t="s">
        <v>114</v>
      </c>
      <c r="D1111" s="283" t="s">
        <v>6703</v>
      </c>
      <c r="E1111" s="291"/>
      <c r="F1111" s="295">
        <v>30757</v>
      </c>
      <c r="G1111" s="287" t="s">
        <v>1628</v>
      </c>
      <c r="H1111" s="266" t="s">
        <v>1971</v>
      </c>
      <c r="I1111" s="268" t="s">
        <v>6193</v>
      </c>
      <c r="J1111" s="299" t="s">
        <v>996</v>
      </c>
      <c r="K1111" s="259" t="str">
        <f>HYPERLINK("https://okcountyrecords.com/detail/roger+mills/1984-002563","OKCountyRecords: 1984-002563")</f>
        <v>OKCountyRecords: 1984-002563</v>
      </c>
    </row>
    <row r="1112" spans="1:11" ht="32.1" customHeight="1" x14ac:dyDescent="0.25">
      <c r="A1112" s="278" t="s">
        <v>1972</v>
      </c>
      <c r="B1112" s="266"/>
      <c r="C1112" s="266" t="s">
        <v>993</v>
      </c>
      <c r="D1112" s="283" t="s">
        <v>6706</v>
      </c>
      <c r="E1112" s="291"/>
      <c r="F1112" s="295">
        <v>30769</v>
      </c>
      <c r="G1112" s="287" t="s">
        <v>1309</v>
      </c>
      <c r="H1112" s="266" t="s">
        <v>1974</v>
      </c>
      <c r="I1112" s="268" t="s">
        <v>242</v>
      </c>
      <c r="J1112" s="299" t="s">
        <v>996</v>
      </c>
      <c r="K1112" s="259" t="str">
        <f>HYPERLINK("https://okcountyrecords.com/detail/roger+mills/1984-002940","OKCountyRecords: 1984-002940")</f>
        <v>OKCountyRecords: 1984-002940</v>
      </c>
    </row>
    <row r="1113" spans="1:11" ht="32.1" customHeight="1" x14ac:dyDescent="0.25">
      <c r="A1113" s="278" t="s">
        <v>1975</v>
      </c>
      <c r="B1113" s="266"/>
      <c r="C1113" s="266" t="s">
        <v>114</v>
      </c>
      <c r="D1113" s="283" t="s">
        <v>6709</v>
      </c>
      <c r="E1113" s="291"/>
      <c r="F1113" s="295">
        <v>30769</v>
      </c>
      <c r="G1113" s="287" t="s">
        <v>1772</v>
      </c>
      <c r="H1113" s="266" t="s">
        <v>1977</v>
      </c>
      <c r="I1113" s="268" t="s">
        <v>5812</v>
      </c>
      <c r="J1113" s="299" t="s">
        <v>996</v>
      </c>
      <c r="K1113" s="259" t="str">
        <f>HYPERLINK("https://okcountyrecords.com/detail/roger+mills/1984-002941","OKCountyRecords: 1984-002941")</f>
        <v>OKCountyRecords: 1984-002941</v>
      </c>
    </row>
    <row r="1114" spans="1:11" ht="32.1" customHeight="1" x14ac:dyDescent="0.25">
      <c r="A1114" s="278" t="s">
        <v>1978</v>
      </c>
      <c r="B1114" s="266"/>
      <c r="C1114" s="266" t="s">
        <v>1623</v>
      </c>
      <c r="D1114" s="283" t="s">
        <v>6711</v>
      </c>
      <c r="E1114" s="291">
        <v>30770</v>
      </c>
      <c r="F1114" s="295">
        <v>30741</v>
      </c>
      <c r="G1114" s="287" t="s">
        <v>1772</v>
      </c>
      <c r="H1114" s="266" t="s">
        <v>1977</v>
      </c>
      <c r="I1114" s="268" t="s">
        <v>6713</v>
      </c>
      <c r="J1114" s="299" t="s">
        <v>1625</v>
      </c>
      <c r="K1114" s="259" t="str">
        <f>HYPERLINK("https://okcountyrecords.com/detail/roger+mills/1984-002943","OKCountyRecords: 1984-002943")</f>
        <v>OKCountyRecords: 1984-002943</v>
      </c>
    </row>
    <row r="1115" spans="1:11" ht="32.1" customHeight="1" x14ac:dyDescent="0.25">
      <c r="A1115" s="278" t="s">
        <v>1981</v>
      </c>
      <c r="B1115" s="266"/>
      <c r="C1115" s="266" t="s">
        <v>1623</v>
      </c>
      <c r="D1115" s="283" t="s">
        <v>6715</v>
      </c>
      <c r="E1115" s="291"/>
      <c r="F1115" s="295">
        <v>30770</v>
      </c>
      <c r="G1115" s="287" t="s">
        <v>1772</v>
      </c>
      <c r="H1115" s="266" t="s">
        <v>1983</v>
      </c>
      <c r="I1115" s="268" t="s">
        <v>6713</v>
      </c>
      <c r="J1115" s="299" t="s">
        <v>1625</v>
      </c>
      <c r="K1115" s="259" t="str">
        <f>HYPERLINK("https://okcountyrecords.com/detail/roger+mills/1984-002948","OKCountyRecords: 1984-002948")</f>
        <v>OKCountyRecords: 1984-002948</v>
      </c>
    </row>
    <row r="1116" spans="1:11" ht="32.1" customHeight="1" x14ac:dyDescent="0.25">
      <c r="A1116" s="278" t="s">
        <v>1984</v>
      </c>
      <c r="B1116" s="266"/>
      <c r="C1116" s="266" t="s">
        <v>1623</v>
      </c>
      <c r="D1116" s="283" t="s">
        <v>6717</v>
      </c>
      <c r="E1116" s="291"/>
      <c r="F1116" s="295">
        <v>30791</v>
      </c>
      <c r="G1116" s="287" t="s">
        <v>400</v>
      </c>
      <c r="H1116" s="266" t="s">
        <v>1986</v>
      </c>
      <c r="I1116" s="268" t="s">
        <v>5812</v>
      </c>
      <c r="J1116" s="299" t="s">
        <v>1625</v>
      </c>
      <c r="K1116" s="259" t="str">
        <f>HYPERLINK("https://okcountyrecords.com/detail/roger+mills/1984-003786","OKCountyRecords: 1984-003786")</f>
        <v>OKCountyRecords: 1984-003786</v>
      </c>
    </row>
    <row r="1117" spans="1:11" ht="32.1" customHeight="1" x14ac:dyDescent="0.25">
      <c r="A1117" s="278" t="s">
        <v>1987</v>
      </c>
      <c r="B1117" s="266"/>
      <c r="C1117" s="266" t="s">
        <v>114</v>
      </c>
      <c r="D1117" s="283" t="s">
        <v>6720</v>
      </c>
      <c r="E1117" s="291"/>
      <c r="F1117" s="295">
        <v>30937</v>
      </c>
      <c r="G1117" s="287" t="s">
        <v>1585</v>
      </c>
      <c r="H1117" s="266" t="s">
        <v>1989</v>
      </c>
      <c r="I1117" s="268" t="s">
        <v>6193</v>
      </c>
      <c r="J1117" s="299" t="s">
        <v>996</v>
      </c>
      <c r="K1117" s="259" t="str">
        <f>HYPERLINK("https://okcountyrecords.com/detail/roger+mills/1984-009002","OKCountyRecords: 1984-009002")</f>
        <v>OKCountyRecords: 1984-009002</v>
      </c>
    </row>
    <row r="1118" spans="1:11" ht="32.1" customHeight="1" x14ac:dyDescent="0.25">
      <c r="A1118" s="278" t="s">
        <v>1990</v>
      </c>
      <c r="B1118" s="266"/>
      <c r="C1118" s="266" t="s">
        <v>1091</v>
      </c>
      <c r="D1118" s="283" t="s">
        <v>6723</v>
      </c>
      <c r="E1118" s="291"/>
      <c r="F1118" s="295">
        <v>30967</v>
      </c>
      <c r="G1118" s="287" t="s">
        <v>1992</v>
      </c>
      <c r="H1118" s="266" t="s">
        <v>1110</v>
      </c>
      <c r="I1118" s="268" t="s">
        <v>5812</v>
      </c>
      <c r="J1118" s="299" t="s">
        <v>1095</v>
      </c>
      <c r="K1118" s="259" t="str">
        <f>HYPERLINK("https://okcountyrecords.com/detail/roger+mills/1984-009873","OKCountyRecords: 1984-009873")</f>
        <v>OKCountyRecords: 1984-009873</v>
      </c>
    </row>
    <row r="1119" spans="1:11" ht="32.1" customHeight="1" x14ac:dyDescent="0.25">
      <c r="A1119" s="278" t="s">
        <v>1993</v>
      </c>
      <c r="B1119" s="266"/>
      <c r="C1119" s="266" t="s">
        <v>114</v>
      </c>
      <c r="D1119" s="283" t="s">
        <v>6726</v>
      </c>
      <c r="E1119" s="291"/>
      <c r="F1119" s="295">
        <v>30979</v>
      </c>
      <c r="G1119" s="287" t="s">
        <v>1750</v>
      </c>
      <c r="H1119" s="266" t="s">
        <v>1995</v>
      </c>
      <c r="I1119" s="268" t="s">
        <v>242</v>
      </c>
      <c r="J1119" s="299" t="s">
        <v>996</v>
      </c>
      <c r="K1119" s="259" t="str">
        <f>HYPERLINK("https://okcountyrecords.com/detail/roger+mills/1984-010210","OKCountyRecords: 1984-010210")</f>
        <v>OKCountyRecords: 1984-010210</v>
      </c>
    </row>
    <row r="1120" spans="1:11" ht="32.1" customHeight="1" x14ac:dyDescent="0.25">
      <c r="A1120" s="278" t="s">
        <v>1996</v>
      </c>
      <c r="B1120" s="266"/>
      <c r="C1120" s="266" t="s">
        <v>309</v>
      </c>
      <c r="D1120" s="283" t="s">
        <v>894</v>
      </c>
      <c r="E1120" s="291"/>
      <c r="F1120" s="295">
        <v>31051</v>
      </c>
      <c r="G1120" s="287" t="s">
        <v>439</v>
      </c>
      <c r="H1120" s="266" t="s">
        <v>896</v>
      </c>
      <c r="I1120" s="268" t="s">
        <v>242</v>
      </c>
      <c r="J1120" s="299" t="s">
        <v>996</v>
      </c>
      <c r="K1120" s="259" t="str">
        <f>HYPERLINK("https://okcountyrecords.com/detail/roger+mills/1985-000160","OKCountyRecords: 1985-000160")</f>
        <v>OKCountyRecords: 1985-000160</v>
      </c>
    </row>
    <row r="1121" spans="1:11" ht="32.1" customHeight="1" x14ac:dyDescent="0.25">
      <c r="A1121" s="278" t="s">
        <v>1998</v>
      </c>
      <c r="B1121" s="266"/>
      <c r="C1121" s="266" t="s">
        <v>993</v>
      </c>
      <c r="D1121" s="283" t="s">
        <v>6731</v>
      </c>
      <c r="E1121" s="291"/>
      <c r="F1121" s="295">
        <v>31079</v>
      </c>
      <c r="G1121" s="287" t="s">
        <v>412</v>
      </c>
      <c r="H1121" s="266" t="s">
        <v>411</v>
      </c>
      <c r="I1121" s="268" t="s">
        <v>242</v>
      </c>
      <c r="J1121" s="299" t="s">
        <v>996</v>
      </c>
      <c r="K1121" s="259" t="str">
        <f>HYPERLINK("https://okcountyrecords.com/detail/roger+mills/1985-000800","OKCountyRecords: 1985-000800")</f>
        <v>OKCountyRecords: 1985-000800</v>
      </c>
    </row>
    <row r="1122" spans="1:11" ht="32.1" customHeight="1" x14ac:dyDescent="0.25">
      <c r="A1122" s="278" t="s">
        <v>2000</v>
      </c>
      <c r="B1122" s="266"/>
      <c r="C1122" s="266" t="s">
        <v>969</v>
      </c>
      <c r="D1122" s="283" t="s">
        <v>6734</v>
      </c>
      <c r="E1122" s="291"/>
      <c r="F1122" s="295">
        <v>31100</v>
      </c>
      <c r="G1122" s="287" t="s">
        <v>1821</v>
      </c>
      <c r="H1122" s="266" t="s">
        <v>2002</v>
      </c>
      <c r="I1122" s="268" t="s">
        <v>242</v>
      </c>
      <c r="J1122" s="299" t="s">
        <v>985</v>
      </c>
      <c r="K1122" s="259" t="str">
        <f>HYPERLINK("https://okcountyrecords.com/detail/roger+mills/1985-001211","OKCountyRecords: 1985-001211")</f>
        <v>OKCountyRecords: 1985-001211</v>
      </c>
    </row>
    <row r="1123" spans="1:11" ht="32.1" customHeight="1" x14ac:dyDescent="0.25">
      <c r="A1123" s="278" t="s">
        <v>2003</v>
      </c>
      <c r="B1123" s="266"/>
      <c r="C1123" s="266" t="s">
        <v>114</v>
      </c>
      <c r="D1123" s="283" t="s">
        <v>6737</v>
      </c>
      <c r="E1123" s="291"/>
      <c r="F1123" s="295">
        <v>31147</v>
      </c>
      <c r="G1123" s="287" t="s">
        <v>896</v>
      </c>
      <c r="H1123" s="266" t="s">
        <v>2005</v>
      </c>
      <c r="I1123" s="268" t="s">
        <v>5812</v>
      </c>
      <c r="J1123" s="299" t="s">
        <v>996</v>
      </c>
      <c r="K1123" s="259" t="str">
        <f>HYPERLINK("https://okcountyrecords.com/detail/roger+mills/1985-002380","OKCountyRecords: 1985-002380")</f>
        <v>OKCountyRecords: 1985-002380</v>
      </c>
    </row>
    <row r="1124" spans="1:11" ht="32.1" customHeight="1" x14ac:dyDescent="0.25">
      <c r="A1124" s="278" t="s">
        <v>2006</v>
      </c>
      <c r="B1124" s="266"/>
      <c r="C1124" s="266" t="s">
        <v>309</v>
      </c>
      <c r="D1124" s="283" t="s">
        <v>897</v>
      </c>
      <c r="E1124" s="291"/>
      <c r="F1124" s="295">
        <v>31147</v>
      </c>
      <c r="G1124" s="287" t="s">
        <v>392</v>
      </c>
      <c r="H1124" s="266" t="s">
        <v>383</v>
      </c>
      <c r="I1124" s="268" t="s">
        <v>242</v>
      </c>
      <c r="J1124" s="299" t="s">
        <v>996</v>
      </c>
      <c r="K1124" s="259" t="str">
        <f>HYPERLINK("https://okcountyrecords.com/detail/roger+mills/1985-002388","OKCountyRecords: 1985-002388")</f>
        <v>OKCountyRecords: 1985-002388</v>
      </c>
    </row>
    <row r="1125" spans="1:11" ht="32.1" customHeight="1" x14ac:dyDescent="0.25">
      <c r="A1125" s="278" t="s">
        <v>2008</v>
      </c>
      <c r="B1125" s="266"/>
      <c r="C1125" s="266" t="s">
        <v>309</v>
      </c>
      <c r="D1125" s="283" t="s">
        <v>898</v>
      </c>
      <c r="E1125" s="291"/>
      <c r="F1125" s="295">
        <v>31147</v>
      </c>
      <c r="G1125" s="287" t="s">
        <v>394</v>
      </c>
      <c r="H1125" s="266" t="s">
        <v>383</v>
      </c>
      <c r="I1125" s="268" t="s">
        <v>242</v>
      </c>
      <c r="J1125" s="299" t="s">
        <v>996</v>
      </c>
      <c r="K1125" s="259" t="str">
        <f>HYPERLINK("https://okcountyrecords.com/detail/roger+mills/1985-002391","OKCountyRecords: 1985-002391")</f>
        <v>OKCountyRecords: 1985-002391</v>
      </c>
    </row>
    <row r="1126" spans="1:11" ht="32.1" customHeight="1" x14ac:dyDescent="0.25">
      <c r="A1126" s="278" t="s">
        <v>2010</v>
      </c>
      <c r="B1126" s="266"/>
      <c r="C1126" s="266" t="s">
        <v>309</v>
      </c>
      <c r="D1126" s="283" t="s">
        <v>899</v>
      </c>
      <c r="E1126" s="291"/>
      <c r="F1126" s="295">
        <v>31147</v>
      </c>
      <c r="G1126" s="287" t="s">
        <v>396</v>
      </c>
      <c r="H1126" s="266" t="s">
        <v>383</v>
      </c>
      <c r="I1126" s="268" t="s">
        <v>242</v>
      </c>
      <c r="J1126" s="299" t="s">
        <v>996</v>
      </c>
      <c r="K1126" s="259" t="str">
        <f>HYPERLINK("https://okcountyrecords.com/detail/roger+mills/1985-002392","OKCountyRecords: 1985-002392")</f>
        <v>OKCountyRecords: 1985-002392</v>
      </c>
    </row>
    <row r="1127" spans="1:11" ht="32.1" customHeight="1" x14ac:dyDescent="0.25">
      <c r="A1127" s="278" t="s">
        <v>2012</v>
      </c>
      <c r="B1127" s="266"/>
      <c r="C1127" s="266" t="s">
        <v>309</v>
      </c>
      <c r="D1127" s="283" t="s">
        <v>902</v>
      </c>
      <c r="E1127" s="291"/>
      <c r="F1127" s="295">
        <v>31147</v>
      </c>
      <c r="G1127" s="287" t="s">
        <v>2014</v>
      </c>
      <c r="H1127" s="266" t="s">
        <v>383</v>
      </c>
      <c r="I1127" s="268" t="s">
        <v>242</v>
      </c>
      <c r="J1127" s="299" t="s">
        <v>996</v>
      </c>
      <c r="K1127" s="259" t="str">
        <f>HYPERLINK("https://okcountyrecords.com/detail/roger+mills/1985-002393","OKCountyRecords: 1985-002393")</f>
        <v>OKCountyRecords: 1985-002393</v>
      </c>
    </row>
    <row r="1128" spans="1:11" ht="32.1" customHeight="1" x14ac:dyDescent="0.25">
      <c r="A1128" s="278" t="s">
        <v>2015</v>
      </c>
      <c r="B1128" s="266"/>
      <c r="C1128" s="266" t="s">
        <v>309</v>
      </c>
      <c r="D1128" s="283" t="s">
        <v>904</v>
      </c>
      <c r="E1128" s="291"/>
      <c r="F1128" s="295">
        <v>31147</v>
      </c>
      <c r="G1128" s="287" t="s">
        <v>433</v>
      </c>
      <c r="H1128" s="266" t="s">
        <v>383</v>
      </c>
      <c r="I1128" s="268" t="s">
        <v>242</v>
      </c>
      <c r="J1128" s="299" t="s">
        <v>996</v>
      </c>
      <c r="K1128" s="259" t="str">
        <f>HYPERLINK("https://okcountyrecords.com/detail/roger+mills/1985-002394","OKCountyRecords: 1985-002394")</f>
        <v>OKCountyRecords: 1985-002394</v>
      </c>
    </row>
    <row r="1129" spans="1:11" ht="32.1" customHeight="1" x14ac:dyDescent="0.25">
      <c r="A1129" s="278" t="s">
        <v>2017</v>
      </c>
      <c r="B1129" s="266"/>
      <c r="C1129" s="266" t="s">
        <v>309</v>
      </c>
      <c r="D1129" s="283" t="s">
        <v>900</v>
      </c>
      <c r="E1129" s="291"/>
      <c r="F1129" s="295">
        <v>31147</v>
      </c>
      <c r="G1129" s="287" t="s">
        <v>397</v>
      </c>
      <c r="H1129" s="266" t="s">
        <v>383</v>
      </c>
      <c r="I1129" s="268" t="s">
        <v>242</v>
      </c>
      <c r="J1129" s="299" t="s">
        <v>996</v>
      </c>
      <c r="K1129" s="259" t="str">
        <f>HYPERLINK("https://okcountyrecords.com/detail/roger+mills/1985-002398","OKCountyRecords: 1985-002398")</f>
        <v>OKCountyRecords: 1985-002398</v>
      </c>
    </row>
    <row r="1130" spans="1:11" ht="32.1" customHeight="1" x14ac:dyDescent="0.25">
      <c r="A1130" s="278" t="s">
        <v>2019</v>
      </c>
      <c r="B1130" s="266"/>
      <c r="C1130" s="266" t="s">
        <v>309</v>
      </c>
      <c r="D1130" s="283" t="s">
        <v>901</v>
      </c>
      <c r="E1130" s="291"/>
      <c r="F1130" s="295">
        <v>31147</v>
      </c>
      <c r="G1130" s="287" t="s">
        <v>395</v>
      </c>
      <c r="H1130" s="266" t="s">
        <v>383</v>
      </c>
      <c r="I1130" s="268" t="s">
        <v>242</v>
      </c>
      <c r="J1130" s="299" t="s">
        <v>996</v>
      </c>
      <c r="K1130" s="259" t="str">
        <f>HYPERLINK("https://okcountyrecords.com/detail/roger+mills/1985-002403","OKCountyRecords: 1985-002403")</f>
        <v>OKCountyRecords: 1985-002403</v>
      </c>
    </row>
    <row r="1131" spans="1:11" ht="32.1" customHeight="1" x14ac:dyDescent="0.25">
      <c r="A1131" s="278" t="s">
        <v>2021</v>
      </c>
      <c r="B1131" s="266"/>
      <c r="C1131" s="266" t="s">
        <v>309</v>
      </c>
      <c r="D1131" s="283" t="s">
        <v>905</v>
      </c>
      <c r="E1131" s="291"/>
      <c r="F1131" s="295">
        <v>31147</v>
      </c>
      <c r="G1131" s="287" t="s">
        <v>1941</v>
      </c>
      <c r="H1131" s="266" t="s">
        <v>383</v>
      </c>
      <c r="I1131" s="268" t="s">
        <v>242</v>
      </c>
      <c r="J1131" s="299" t="s">
        <v>996</v>
      </c>
      <c r="K1131" s="259" t="str">
        <f>HYPERLINK("https://okcountyrecords.com/detail/roger+mills/1985-002405","OKCountyRecords: 1985-002405")</f>
        <v>OKCountyRecords: 1985-002405</v>
      </c>
    </row>
    <row r="1132" spans="1:11" ht="32.1" customHeight="1" x14ac:dyDescent="0.25">
      <c r="A1132" s="278" t="s">
        <v>2023</v>
      </c>
      <c r="B1132" s="266"/>
      <c r="C1132" s="266" t="s">
        <v>309</v>
      </c>
      <c r="D1132" s="283" t="s">
        <v>906</v>
      </c>
      <c r="E1132" s="291"/>
      <c r="F1132" s="295">
        <v>31147</v>
      </c>
      <c r="G1132" s="287" t="s">
        <v>2025</v>
      </c>
      <c r="H1132" s="266" t="s">
        <v>383</v>
      </c>
      <c r="I1132" s="268" t="s">
        <v>242</v>
      </c>
      <c r="J1132" s="299" t="s">
        <v>996</v>
      </c>
      <c r="K1132" s="259" t="str">
        <f>HYPERLINK("https://okcountyrecords.com/detail/roger+mills/1985-002406","OKCountyRecords: 1985-002406")</f>
        <v>OKCountyRecords: 1985-002406</v>
      </c>
    </row>
    <row r="1133" spans="1:11" ht="32.1" customHeight="1" x14ac:dyDescent="0.25">
      <c r="A1133" s="278" t="s">
        <v>2026</v>
      </c>
      <c r="B1133" s="266"/>
      <c r="C1133" s="266" t="s">
        <v>309</v>
      </c>
      <c r="D1133" s="283" t="s">
        <v>908</v>
      </c>
      <c r="E1133" s="291"/>
      <c r="F1133" s="295">
        <v>31147</v>
      </c>
      <c r="G1133" s="287" t="s">
        <v>6749</v>
      </c>
      <c r="H1133" s="266" t="s">
        <v>383</v>
      </c>
      <c r="I1133" s="268" t="s">
        <v>242</v>
      </c>
      <c r="J1133" s="299" t="s">
        <v>996</v>
      </c>
      <c r="K1133" s="259" t="str">
        <f>HYPERLINK("https://okcountyrecords.com/detail/roger+mills/1985-002407","OKCountyRecords: 1985-002407")</f>
        <v>OKCountyRecords: 1985-002407</v>
      </c>
    </row>
    <row r="1134" spans="1:11" ht="32.1" customHeight="1" x14ac:dyDescent="0.25">
      <c r="A1134" s="278" t="s">
        <v>2029</v>
      </c>
      <c r="B1134" s="266"/>
      <c r="C1134" s="266" t="s">
        <v>969</v>
      </c>
      <c r="D1134" s="283" t="s">
        <v>6751</v>
      </c>
      <c r="E1134" s="291"/>
      <c r="F1134" s="295">
        <v>31158</v>
      </c>
      <c r="G1134" s="287" t="s">
        <v>1769</v>
      </c>
      <c r="H1134" s="266" t="s">
        <v>2031</v>
      </c>
      <c r="I1134" s="268" t="s">
        <v>5812</v>
      </c>
      <c r="J1134" s="299" t="s">
        <v>985</v>
      </c>
      <c r="K1134" s="259" t="str">
        <f>HYPERLINK("https://okcountyrecords.com/detail/roger+mills/1985-002650","OKCountyRecords: 1985-002650")</f>
        <v>OKCountyRecords: 1985-002650</v>
      </c>
    </row>
    <row r="1135" spans="1:11" ht="32.1" customHeight="1" x14ac:dyDescent="0.25">
      <c r="A1135" s="278" t="s">
        <v>2032</v>
      </c>
      <c r="B1135" s="266"/>
      <c r="C1135" s="266" t="s">
        <v>309</v>
      </c>
      <c r="D1135" s="283" t="s">
        <v>910</v>
      </c>
      <c r="E1135" s="291"/>
      <c r="F1135" s="295">
        <v>31158</v>
      </c>
      <c r="G1135" s="287" t="s">
        <v>1958</v>
      </c>
      <c r="H1135" s="266" t="s">
        <v>383</v>
      </c>
      <c r="I1135" s="268" t="s">
        <v>242</v>
      </c>
      <c r="J1135" s="299" t="s">
        <v>996</v>
      </c>
      <c r="K1135" s="259" t="str">
        <f>HYPERLINK("https://okcountyrecords.com/detail/roger+mills/1985-002660","OKCountyRecords: 1985-002660")</f>
        <v>OKCountyRecords: 1985-002660</v>
      </c>
    </row>
    <row r="1136" spans="1:11" ht="32.1" customHeight="1" x14ac:dyDescent="0.25">
      <c r="A1136" s="278" t="s">
        <v>2034</v>
      </c>
      <c r="B1136" s="266"/>
      <c r="C1136" s="266" t="s">
        <v>309</v>
      </c>
      <c r="D1136" s="283" t="s">
        <v>911</v>
      </c>
      <c r="E1136" s="291"/>
      <c r="F1136" s="295">
        <v>31158</v>
      </c>
      <c r="G1136" s="287" t="s">
        <v>400</v>
      </c>
      <c r="H1136" s="266" t="s">
        <v>383</v>
      </c>
      <c r="I1136" s="268" t="s">
        <v>5812</v>
      </c>
      <c r="J1136" s="299" t="s">
        <v>996</v>
      </c>
      <c r="K1136" s="259" t="str">
        <f>HYPERLINK("https://okcountyrecords.com/detail/roger+mills/1985-002661","OKCountyRecords: 1985-002661")</f>
        <v>OKCountyRecords: 1985-002661</v>
      </c>
    </row>
    <row r="1137" spans="1:11" ht="32.1" customHeight="1" x14ac:dyDescent="0.25">
      <c r="A1137" s="278" t="s">
        <v>2036</v>
      </c>
      <c r="B1137" s="266"/>
      <c r="C1137" s="266" t="s">
        <v>309</v>
      </c>
      <c r="D1137" s="283" t="s">
        <v>912</v>
      </c>
      <c r="E1137" s="291"/>
      <c r="F1137" s="295">
        <v>31166</v>
      </c>
      <c r="G1137" s="287" t="s">
        <v>249</v>
      </c>
      <c r="H1137" s="266" t="s">
        <v>383</v>
      </c>
      <c r="I1137" s="268" t="s">
        <v>242</v>
      </c>
      <c r="J1137" s="299" t="s">
        <v>996</v>
      </c>
      <c r="K1137" s="259" t="str">
        <f>HYPERLINK("https://okcountyrecords.com/detail/roger+mills/1985-002819","OKCountyRecords: 1985-002819")</f>
        <v>OKCountyRecords: 1985-002819</v>
      </c>
    </row>
    <row r="1138" spans="1:11" ht="32.1" customHeight="1" x14ac:dyDescent="0.25">
      <c r="A1138" s="278" t="s">
        <v>2038</v>
      </c>
      <c r="B1138" s="266"/>
      <c r="C1138" s="266" t="s">
        <v>993</v>
      </c>
      <c r="D1138" s="283" t="s">
        <v>6758</v>
      </c>
      <c r="E1138" s="291">
        <v>31180</v>
      </c>
      <c r="F1138" s="295">
        <v>31036</v>
      </c>
      <c r="G1138" s="287" t="s">
        <v>2040</v>
      </c>
      <c r="H1138" s="266" t="s">
        <v>1977</v>
      </c>
      <c r="I1138" s="268" t="s">
        <v>6193</v>
      </c>
      <c r="J1138" s="299" t="s">
        <v>996</v>
      </c>
      <c r="K1138" s="259" t="str">
        <f>HYPERLINK("https://okcountyrecords.com/detail/roger+mills/1985-003205","OKCountyRecords: 1985-003205")</f>
        <v>OKCountyRecords: 1985-003205</v>
      </c>
    </row>
    <row r="1139" spans="1:11" ht="32.1" customHeight="1" x14ac:dyDescent="0.25">
      <c r="A1139" s="278" t="s">
        <v>2041</v>
      </c>
      <c r="B1139" s="266"/>
      <c r="C1139" s="266" t="s">
        <v>309</v>
      </c>
      <c r="D1139" s="283" t="s">
        <v>913</v>
      </c>
      <c r="E1139" s="291"/>
      <c r="F1139" s="295">
        <v>31226</v>
      </c>
      <c r="G1139" s="287" t="s">
        <v>435</v>
      </c>
      <c r="H1139" s="266" t="s">
        <v>383</v>
      </c>
      <c r="I1139" s="268" t="s">
        <v>242</v>
      </c>
      <c r="J1139" s="299" t="s">
        <v>996</v>
      </c>
      <c r="K1139" s="259" t="str">
        <f>HYPERLINK("https://okcountyrecords.com/detail/roger+mills/1985-004439","OKCountyRecords: 1985-004439")</f>
        <v>OKCountyRecords: 1985-004439</v>
      </c>
    </row>
    <row r="1140" spans="1:11" ht="32.1" customHeight="1" x14ac:dyDescent="0.25">
      <c r="A1140" s="278" t="s">
        <v>2043</v>
      </c>
      <c r="B1140" s="266"/>
      <c r="C1140" s="266" t="s">
        <v>993</v>
      </c>
      <c r="D1140" s="283" t="s">
        <v>6763</v>
      </c>
      <c r="E1140" s="291"/>
      <c r="F1140" s="295">
        <v>31278</v>
      </c>
      <c r="G1140" s="287" t="s">
        <v>2040</v>
      </c>
      <c r="H1140" s="266" t="s">
        <v>1977</v>
      </c>
      <c r="I1140" s="268" t="s">
        <v>6193</v>
      </c>
      <c r="J1140" s="299" t="s">
        <v>996</v>
      </c>
      <c r="K1140" s="259" t="str">
        <f>HYPERLINK("https://okcountyrecords.com/detail/roger+mills/1985-005702","OKCountyRecords: 1985-005702")</f>
        <v>OKCountyRecords: 1985-005702</v>
      </c>
    </row>
    <row r="1141" spans="1:11" ht="32.1" customHeight="1" x14ac:dyDescent="0.25">
      <c r="A1141" s="278" t="s">
        <v>2045</v>
      </c>
      <c r="B1141" s="266"/>
      <c r="C1141" s="266" t="s">
        <v>969</v>
      </c>
      <c r="D1141" s="283" t="s">
        <v>6766</v>
      </c>
      <c r="E1141" s="291"/>
      <c r="F1141" s="295">
        <v>31279</v>
      </c>
      <c r="G1141" s="287" t="s">
        <v>2047</v>
      </c>
      <c r="H1141" s="266" t="s">
        <v>2048</v>
      </c>
      <c r="I1141" s="268" t="s">
        <v>242</v>
      </c>
      <c r="J1141" s="299" t="s">
        <v>985</v>
      </c>
      <c r="K1141" s="259" t="str">
        <f>HYPERLINK("https://okcountyrecords.com/detail/roger+mills/1985-005895","OKCountyRecords: 1985-005895")</f>
        <v>OKCountyRecords: 1985-005895</v>
      </c>
    </row>
    <row r="1142" spans="1:11" ht="32.1" customHeight="1" x14ac:dyDescent="0.25">
      <c r="A1142" s="278" t="s">
        <v>2049</v>
      </c>
      <c r="B1142" s="266"/>
      <c r="C1142" s="266" t="s">
        <v>969</v>
      </c>
      <c r="D1142" s="283" t="s">
        <v>6769</v>
      </c>
      <c r="E1142" s="291"/>
      <c r="F1142" s="295">
        <v>31308</v>
      </c>
      <c r="G1142" s="287" t="s">
        <v>573</v>
      </c>
      <c r="H1142" s="266" t="s">
        <v>249</v>
      </c>
      <c r="I1142" s="268" t="s">
        <v>5812</v>
      </c>
      <c r="J1142" s="299" t="s">
        <v>985</v>
      </c>
      <c r="K1142" s="259" t="str">
        <f>HYPERLINK("https://okcountyrecords.com/detail/roger+mills/1985-006556","OKCountyRecords: 1985-006556")</f>
        <v>OKCountyRecords: 1985-006556</v>
      </c>
    </row>
    <row r="1143" spans="1:11" ht="32.1" customHeight="1" x14ac:dyDescent="0.25">
      <c r="A1143" s="278" t="s">
        <v>2051</v>
      </c>
      <c r="B1143" s="266"/>
      <c r="C1143" s="266" t="s">
        <v>969</v>
      </c>
      <c r="D1143" s="283" t="s">
        <v>6772</v>
      </c>
      <c r="E1143" s="291"/>
      <c r="F1143" s="295">
        <v>31329</v>
      </c>
      <c r="G1143" s="287" t="s">
        <v>2053</v>
      </c>
      <c r="H1143" s="266" t="s">
        <v>2054</v>
      </c>
      <c r="I1143" s="268" t="s">
        <v>5812</v>
      </c>
      <c r="J1143" s="299" t="s">
        <v>985</v>
      </c>
      <c r="K1143" s="259" t="str">
        <f>HYPERLINK("https://okcountyrecords.com/detail/roger+mills/1985-007068","OKCountyRecords: 1985-007068")</f>
        <v>OKCountyRecords: 1985-007068</v>
      </c>
    </row>
    <row r="1144" spans="1:11" ht="32.1" customHeight="1" x14ac:dyDescent="0.25">
      <c r="A1144" s="278" t="s">
        <v>2055</v>
      </c>
      <c r="B1144" s="266"/>
      <c r="C1144" s="266" t="s">
        <v>969</v>
      </c>
      <c r="D1144" s="283" t="s">
        <v>6775</v>
      </c>
      <c r="E1144" s="291"/>
      <c r="F1144" s="295">
        <v>31330</v>
      </c>
      <c r="G1144" s="287" t="s">
        <v>1582</v>
      </c>
      <c r="H1144" s="266" t="s">
        <v>1723</v>
      </c>
      <c r="I1144" s="268" t="s">
        <v>5812</v>
      </c>
      <c r="J1144" s="299" t="s">
        <v>985</v>
      </c>
      <c r="K1144" s="259" t="str">
        <f>HYPERLINK("https://okcountyrecords.com/detail/roger+mills/1985-007096","OKCountyRecords: 1985-007096")</f>
        <v>OKCountyRecords: 1985-007096</v>
      </c>
    </row>
    <row r="1145" spans="1:11" ht="32.1" customHeight="1" x14ac:dyDescent="0.25">
      <c r="A1145" s="278" t="s">
        <v>2057</v>
      </c>
      <c r="B1145" s="266"/>
      <c r="C1145" s="266" t="s">
        <v>309</v>
      </c>
      <c r="D1145" s="283" t="s">
        <v>914</v>
      </c>
      <c r="E1145" s="291"/>
      <c r="F1145" s="295">
        <v>31347</v>
      </c>
      <c r="G1145" s="287" t="s">
        <v>407</v>
      </c>
      <c r="H1145" s="266" t="s">
        <v>383</v>
      </c>
      <c r="I1145" s="268" t="s">
        <v>242</v>
      </c>
      <c r="J1145" s="299" t="s">
        <v>996</v>
      </c>
      <c r="K1145" s="259" t="str">
        <f>HYPERLINK("https://okcountyrecords.com/detail/roger+mills/1985-007545","OKCountyRecords: 1985-007545")</f>
        <v>OKCountyRecords: 1985-007545</v>
      </c>
    </row>
    <row r="1146" spans="1:11" ht="32.1" customHeight="1" x14ac:dyDescent="0.25">
      <c r="A1146" s="278" t="s">
        <v>2059</v>
      </c>
      <c r="B1146" s="266"/>
      <c r="C1146" s="266" t="s">
        <v>1623</v>
      </c>
      <c r="D1146" s="283" t="s">
        <v>6780</v>
      </c>
      <c r="E1146" s="291"/>
      <c r="F1146" s="295">
        <v>31408</v>
      </c>
      <c r="G1146" s="287" t="s">
        <v>400</v>
      </c>
      <c r="H1146" s="266" t="s">
        <v>435</v>
      </c>
      <c r="I1146" s="268" t="s">
        <v>5812</v>
      </c>
      <c r="J1146" s="299" t="s">
        <v>1625</v>
      </c>
      <c r="K1146" s="259" t="str">
        <f>HYPERLINK("https://okcountyrecords.com/detail/roger+mills/1985-000060","OKCountyRecords: 1985-000060")</f>
        <v>OKCountyRecords: 1985-000060</v>
      </c>
    </row>
    <row r="1147" spans="1:11" ht="32.1" customHeight="1" x14ac:dyDescent="0.25">
      <c r="A1147" s="278" t="s">
        <v>2061</v>
      </c>
      <c r="B1147" s="266"/>
      <c r="C1147" s="266" t="s">
        <v>1623</v>
      </c>
      <c r="D1147" s="283" t="s">
        <v>6783</v>
      </c>
      <c r="E1147" s="291"/>
      <c r="F1147" s="295">
        <v>31408</v>
      </c>
      <c r="G1147" s="287" t="s">
        <v>400</v>
      </c>
      <c r="H1147" s="266" t="s">
        <v>1958</v>
      </c>
      <c r="I1147" s="268" t="s">
        <v>5812</v>
      </c>
      <c r="J1147" s="299" t="s">
        <v>1625</v>
      </c>
      <c r="K1147" s="259" t="str">
        <f>HYPERLINK("https://okcountyrecords.com/detail/roger+mills/1985-000061","OKCountyRecords: 1985-000061")</f>
        <v>OKCountyRecords: 1985-000061</v>
      </c>
    </row>
    <row r="1148" spans="1:11" ht="32.1" customHeight="1" x14ac:dyDescent="0.25">
      <c r="A1148" s="278" t="s">
        <v>2063</v>
      </c>
      <c r="B1148" s="266"/>
      <c r="C1148" s="266" t="s">
        <v>969</v>
      </c>
      <c r="D1148" s="283" t="s">
        <v>6785</v>
      </c>
      <c r="E1148" s="291"/>
      <c r="F1148" s="295">
        <v>31418</v>
      </c>
      <c r="G1148" s="287" t="s">
        <v>1799</v>
      </c>
      <c r="H1148" s="266" t="s">
        <v>2065</v>
      </c>
      <c r="I1148" s="268" t="s">
        <v>5812</v>
      </c>
      <c r="J1148" s="299" t="s">
        <v>985</v>
      </c>
      <c r="K1148" s="259" t="str">
        <f>HYPERLINK("https://okcountyrecords.com/detail/roger+mills/1986-000268","OKCountyRecords: 1986-000268")</f>
        <v>OKCountyRecords: 1986-000268</v>
      </c>
    </row>
    <row r="1149" spans="1:11" ht="32.1" customHeight="1" x14ac:dyDescent="0.25">
      <c r="A1149" s="278" t="s">
        <v>2066</v>
      </c>
      <c r="B1149" s="266"/>
      <c r="C1149" s="266" t="s">
        <v>969</v>
      </c>
      <c r="D1149" s="283" t="s">
        <v>6788</v>
      </c>
      <c r="E1149" s="291"/>
      <c r="F1149" s="295">
        <v>31434</v>
      </c>
      <c r="G1149" s="287" t="s">
        <v>1977</v>
      </c>
      <c r="H1149" s="266" t="s">
        <v>2068</v>
      </c>
      <c r="I1149" s="268" t="s">
        <v>242</v>
      </c>
      <c r="J1149" s="299" t="s">
        <v>985</v>
      </c>
      <c r="K1149" s="259" t="str">
        <f>HYPERLINK("https://okcountyrecords.com/detail/roger+mills/1986-000656","OKCountyRecords: 1986-000656")</f>
        <v>OKCountyRecords: 1986-000656</v>
      </c>
    </row>
    <row r="1150" spans="1:11" ht="32.1" customHeight="1" x14ac:dyDescent="0.25">
      <c r="A1150" s="278" t="s">
        <v>2069</v>
      </c>
      <c r="B1150" s="266"/>
      <c r="C1150" s="266" t="s">
        <v>969</v>
      </c>
      <c r="D1150" s="283" t="s">
        <v>6791</v>
      </c>
      <c r="E1150" s="291"/>
      <c r="F1150" s="295">
        <v>31582</v>
      </c>
      <c r="G1150" s="287" t="s">
        <v>573</v>
      </c>
      <c r="H1150" s="266" t="s">
        <v>1958</v>
      </c>
      <c r="I1150" s="268" t="s">
        <v>5812</v>
      </c>
      <c r="J1150" s="299" t="s">
        <v>985</v>
      </c>
      <c r="K1150" s="259" t="str">
        <f>HYPERLINK("https://okcountyrecords.com/detail/roger+mills/1986-003428","OKCountyRecords: 1986-003428")</f>
        <v>OKCountyRecords: 1986-003428</v>
      </c>
    </row>
    <row r="1151" spans="1:11" ht="32.1" customHeight="1" x14ac:dyDescent="0.25">
      <c r="A1151" s="278" t="s">
        <v>2071</v>
      </c>
      <c r="B1151" s="266"/>
      <c r="C1151" s="266" t="s">
        <v>993</v>
      </c>
      <c r="D1151" s="283" t="s">
        <v>6794</v>
      </c>
      <c r="E1151" s="291"/>
      <c r="F1151" s="295">
        <v>31637</v>
      </c>
      <c r="G1151" s="287" t="s">
        <v>2073</v>
      </c>
      <c r="H1151" s="266" t="s">
        <v>2074</v>
      </c>
      <c r="I1151" s="268" t="s">
        <v>5812</v>
      </c>
      <c r="J1151" s="299" t="s">
        <v>996</v>
      </c>
      <c r="K1151" s="259" t="str">
        <f>HYPERLINK("https://okcountyrecords.com/detail/roger+mills/1986-004245","OKCountyRecords: 1986-004245")</f>
        <v>OKCountyRecords: 1986-004245</v>
      </c>
    </row>
    <row r="1152" spans="1:11" ht="32.1" customHeight="1" x14ac:dyDescent="0.25">
      <c r="A1152" s="278" t="s">
        <v>2075</v>
      </c>
      <c r="B1152" s="266"/>
      <c r="C1152" s="266" t="s">
        <v>969</v>
      </c>
      <c r="D1152" s="283" t="s">
        <v>6797</v>
      </c>
      <c r="E1152" s="291"/>
      <c r="F1152" s="295">
        <v>31657</v>
      </c>
      <c r="G1152" s="287" t="s">
        <v>573</v>
      </c>
      <c r="H1152" s="266" t="s">
        <v>394</v>
      </c>
      <c r="I1152" s="268" t="s">
        <v>5812</v>
      </c>
      <c r="J1152" s="299" t="s">
        <v>985</v>
      </c>
      <c r="K1152" s="259" t="str">
        <f>HYPERLINK("https://okcountyrecords.com/detail/roger+mills/1986-004476","OKCountyRecords: 1986-004476")</f>
        <v>OKCountyRecords: 1986-004476</v>
      </c>
    </row>
    <row r="1153" spans="1:11" ht="32.1" customHeight="1" x14ac:dyDescent="0.25">
      <c r="A1153" s="278" t="s">
        <v>2077</v>
      </c>
      <c r="B1153" s="266"/>
      <c r="C1153" s="266" t="s">
        <v>969</v>
      </c>
      <c r="D1153" s="283" t="s">
        <v>6800</v>
      </c>
      <c r="E1153" s="291"/>
      <c r="F1153" s="295">
        <v>31684</v>
      </c>
      <c r="G1153" s="287" t="s">
        <v>433</v>
      </c>
      <c r="H1153" s="266" t="s">
        <v>2079</v>
      </c>
      <c r="I1153" s="268" t="s">
        <v>5812</v>
      </c>
      <c r="J1153" s="299" t="s">
        <v>985</v>
      </c>
      <c r="K1153" s="259" t="str">
        <f>HYPERLINK("https://okcountyrecords.com/detail/roger+mills/1986-005223","OKCountyRecords: 1986-005223")</f>
        <v>OKCountyRecords: 1986-005223</v>
      </c>
    </row>
    <row r="1154" spans="1:11" ht="32.1" customHeight="1" x14ac:dyDescent="0.25">
      <c r="A1154" s="278" t="s">
        <v>2080</v>
      </c>
      <c r="B1154" s="266"/>
      <c r="C1154" s="266" t="s">
        <v>969</v>
      </c>
      <c r="D1154" s="283" t="s">
        <v>6803</v>
      </c>
      <c r="E1154" s="291"/>
      <c r="F1154" s="295">
        <v>31723</v>
      </c>
      <c r="G1154" s="287" t="s">
        <v>2068</v>
      </c>
      <c r="H1154" s="266" t="s">
        <v>2082</v>
      </c>
      <c r="I1154" s="268" t="s">
        <v>242</v>
      </c>
      <c r="J1154" s="299" t="s">
        <v>985</v>
      </c>
      <c r="K1154" s="259" t="str">
        <f>HYPERLINK("https://okcountyrecords.com/detail/roger+mills/1986-005341","OKCountyRecords: 1986-005341")</f>
        <v>OKCountyRecords: 1986-005341</v>
      </c>
    </row>
    <row r="1155" spans="1:11" ht="32.1" customHeight="1" x14ac:dyDescent="0.25">
      <c r="A1155" s="278" t="s">
        <v>2083</v>
      </c>
      <c r="B1155" s="266"/>
      <c r="C1155" s="266" t="s">
        <v>309</v>
      </c>
      <c r="D1155" s="283" t="s">
        <v>915</v>
      </c>
      <c r="E1155" s="291"/>
      <c r="F1155" s="295">
        <v>31755</v>
      </c>
      <c r="G1155" s="287" t="s">
        <v>411</v>
      </c>
      <c r="H1155" s="266" t="s">
        <v>444</v>
      </c>
      <c r="I1155" s="268" t="s">
        <v>242</v>
      </c>
      <c r="J1155" s="299" t="s">
        <v>996</v>
      </c>
      <c r="K1155" s="259" t="str">
        <f>HYPERLINK("https://okcountyrecords.com/detail/roger+mills/1986-005971","OKCountyRecords: 1986-005971")</f>
        <v>OKCountyRecords: 1986-005971</v>
      </c>
    </row>
    <row r="1156" spans="1:11" ht="32.1" customHeight="1" x14ac:dyDescent="0.25">
      <c r="A1156" s="278" t="s">
        <v>2085</v>
      </c>
      <c r="B1156" s="266"/>
      <c r="C1156" s="266" t="s">
        <v>1091</v>
      </c>
      <c r="D1156" s="283" t="s">
        <v>6808</v>
      </c>
      <c r="E1156" s="291"/>
      <c r="F1156" s="295">
        <v>31803</v>
      </c>
      <c r="G1156" s="287" t="s">
        <v>463</v>
      </c>
      <c r="H1156" s="266" t="s">
        <v>1110</v>
      </c>
      <c r="I1156" s="268" t="s">
        <v>5812</v>
      </c>
      <c r="J1156" s="299" t="s">
        <v>1095</v>
      </c>
      <c r="K1156" s="259" t="str">
        <f>HYPERLINK("https://okcountyrecords.com/detail/roger+mills/1987-000496","OKCountyRecords: 1987-000496")</f>
        <v>OKCountyRecords: 1987-000496</v>
      </c>
    </row>
    <row r="1157" spans="1:11" ht="32.1" customHeight="1" x14ac:dyDescent="0.25">
      <c r="A1157" s="278" t="s">
        <v>2087</v>
      </c>
      <c r="B1157" s="266"/>
      <c r="C1157" s="266" t="s">
        <v>969</v>
      </c>
      <c r="D1157" s="283" t="s">
        <v>6811</v>
      </c>
      <c r="E1157" s="291"/>
      <c r="F1157" s="295">
        <v>31917</v>
      </c>
      <c r="G1157" s="287" t="s">
        <v>573</v>
      </c>
      <c r="H1157" s="266" t="s">
        <v>2089</v>
      </c>
      <c r="I1157" s="268" t="s">
        <v>5812</v>
      </c>
      <c r="J1157" s="299" t="s">
        <v>985</v>
      </c>
      <c r="K1157" s="259" t="str">
        <f>HYPERLINK("https://okcountyrecords.com/detail/roger+mills/1987-002610","OKCountyRecords: 1987-002610")</f>
        <v>OKCountyRecords: 1987-002610</v>
      </c>
    </row>
    <row r="1158" spans="1:11" ht="32.1" customHeight="1" x14ac:dyDescent="0.25">
      <c r="A1158" s="278" t="s">
        <v>2090</v>
      </c>
      <c r="B1158" s="266"/>
      <c r="C1158" s="266" t="s">
        <v>114</v>
      </c>
      <c r="D1158" s="283" t="s">
        <v>6814</v>
      </c>
      <c r="E1158" s="291"/>
      <c r="F1158" s="295">
        <v>31964</v>
      </c>
      <c r="G1158" s="287" t="s">
        <v>2031</v>
      </c>
      <c r="H1158" s="266" t="s">
        <v>2092</v>
      </c>
      <c r="I1158" s="268" t="s">
        <v>5812</v>
      </c>
      <c r="J1158" s="299" t="s">
        <v>996</v>
      </c>
      <c r="K1158" s="259" t="str">
        <f>HYPERLINK("https://okcountyrecords.com/detail/roger+mills/1987-003826","OKCountyRecords: 1987-003826")</f>
        <v>OKCountyRecords: 1987-003826</v>
      </c>
    </row>
    <row r="1159" spans="1:11" ht="32.1" customHeight="1" x14ac:dyDescent="0.25">
      <c r="A1159" s="278" t="s">
        <v>2093</v>
      </c>
      <c r="B1159" s="266"/>
      <c r="C1159" s="266" t="s">
        <v>309</v>
      </c>
      <c r="D1159" s="283" t="s">
        <v>916</v>
      </c>
      <c r="E1159" s="291"/>
      <c r="F1159" s="295">
        <v>31971</v>
      </c>
      <c r="G1159" s="287" t="s">
        <v>436</v>
      </c>
      <c r="H1159" s="266" t="s">
        <v>445</v>
      </c>
      <c r="I1159" s="268" t="s">
        <v>242</v>
      </c>
      <c r="J1159" s="299" t="s">
        <v>996</v>
      </c>
      <c r="K1159" s="259" t="str">
        <f>HYPERLINK("https://okcountyrecords.com/detail/roger+mills/1987-003977","OKCountyRecords: 1987-003977")</f>
        <v>OKCountyRecords: 1987-003977</v>
      </c>
    </row>
    <row r="1160" spans="1:11" ht="32.1" customHeight="1" x14ac:dyDescent="0.25">
      <c r="A1160" s="278" t="s">
        <v>2095</v>
      </c>
      <c r="B1160" s="266"/>
      <c r="C1160" s="266" t="s">
        <v>309</v>
      </c>
      <c r="D1160" s="283" t="s">
        <v>917</v>
      </c>
      <c r="E1160" s="291"/>
      <c r="F1160" s="295">
        <v>31971</v>
      </c>
      <c r="G1160" s="287" t="s">
        <v>446</v>
      </c>
      <c r="H1160" s="266" t="s">
        <v>445</v>
      </c>
      <c r="I1160" s="268" t="s">
        <v>242</v>
      </c>
      <c r="J1160" s="299" t="s">
        <v>996</v>
      </c>
      <c r="K1160" s="259" t="str">
        <f>HYPERLINK("https://okcountyrecords.com/detail/roger+mills/1987-003978","OKCountyRecords: 1987-003978")</f>
        <v>OKCountyRecords: 1987-003978</v>
      </c>
    </row>
    <row r="1161" spans="1:11" ht="32.1" customHeight="1" x14ac:dyDescent="0.25">
      <c r="A1161" s="278" t="s">
        <v>2097</v>
      </c>
      <c r="B1161" s="266"/>
      <c r="C1161" s="266" t="s">
        <v>309</v>
      </c>
      <c r="D1161" s="283" t="s">
        <v>918</v>
      </c>
      <c r="E1161" s="291"/>
      <c r="F1161" s="295">
        <v>32002</v>
      </c>
      <c r="G1161" s="287" t="s">
        <v>407</v>
      </c>
      <c r="H1161" s="266" t="s">
        <v>447</v>
      </c>
      <c r="I1161" s="268" t="s">
        <v>242</v>
      </c>
      <c r="J1161" s="299" t="s">
        <v>996</v>
      </c>
      <c r="K1161" s="259" t="str">
        <f>HYPERLINK("https://okcountyrecords.com/detail/roger+mills/1987-004839","OKCountyRecords: 1987-004839")</f>
        <v>OKCountyRecords: 1987-004839</v>
      </c>
    </row>
    <row r="1162" spans="1:11" ht="32.1" customHeight="1" x14ac:dyDescent="0.25">
      <c r="A1162" s="278" t="s">
        <v>2099</v>
      </c>
      <c r="B1162" s="266"/>
      <c r="C1162" s="266" t="s">
        <v>114</v>
      </c>
      <c r="D1162" s="283" t="s">
        <v>6822</v>
      </c>
      <c r="E1162" s="291"/>
      <c r="F1162" s="295">
        <v>32009</v>
      </c>
      <c r="G1162" s="287" t="s">
        <v>445</v>
      </c>
      <c r="H1162" s="266" t="s">
        <v>2101</v>
      </c>
      <c r="I1162" s="268" t="s">
        <v>242</v>
      </c>
      <c r="J1162" s="299" t="s">
        <v>996</v>
      </c>
      <c r="K1162" s="259" t="str">
        <f>HYPERLINK("https://okcountyrecords.com/detail/roger+mills/1987-005035","OKCountyRecords: 1987-005035")</f>
        <v>OKCountyRecords: 1987-005035</v>
      </c>
    </row>
    <row r="1163" spans="1:11" ht="32.1" customHeight="1" x14ac:dyDescent="0.25">
      <c r="A1163" s="278" t="s">
        <v>2102</v>
      </c>
      <c r="B1163" s="266"/>
      <c r="C1163" s="266" t="s">
        <v>114</v>
      </c>
      <c r="D1163" s="283" t="s">
        <v>6825</v>
      </c>
      <c r="E1163" s="291"/>
      <c r="F1163" s="295">
        <v>32009</v>
      </c>
      <c r="G1163" s="287" t="s">
        <v>445</v>
      </c>
      <c r="H1163" s="266" t="s">
        <v>2101</v>
      </c>
      <c r="I1163" s="268" t="s">
        <v>242</v>
      </c>
      <c r="J1163" s="299" t="s">
        <v>996</v>
      </c>
      <c r="K1163" s="259" t="str">
        <f>HYPERLINK("https://okcountyrecords.com/detail/roger+mills/1987-005036","OKCountyRecords: 1987-005036")</f>
        <v>OKCountyRecords: 1987-005036</v>
      </c>
    </row>
    <row r="1164" spans="1:11" ht="32.1" customHeight="1" x14ac:dyDescent="0.25">
      <c r="A1164" s="278" t="s">
        <v>2104</v>
      </c>
      <c r="B1164" s="266"/>
      <c r="C1164" s="266" t="s">
        <v>309</v>
      </c>
      <c r="D1164" s="283" t="s">
        <v>919</v>
      </c>
      <c r="E1164" s="291"/>
      <c r="F1164" s="295">
        <v>32010</v>
      </c>
      <c r="G1164" s="287" t="s">
        <v>446</v>
      </c>
      <c r="H1164" s="266" t="s">
        <v>447</v>
      </c>
      <c r="I1164" s="268" t="s">
        <v>242</v>
      </c>
      <c r="J1164" s="299" t="s">
        <v>996</v>
      </c>
      <c r="K1164" s="259" t="str">
        <f>HYPERLINK("https://okcountyrecords.com/detail/roger+mills/1987-005038","OKCountyRecords: 1987-005038")</f>
        <v>OKCountyRecords: 1987-005038</v>
      </c>
    </row>
    <row r="1165" spans="1:11" ht="32.1" customHeight="1" x14ac:dyDescent="0.25">
      <c r="A1165" s="278" t="s">
        <v>2106</v>
      </c>
      <c r="B1165" s="266"/>
      <c r="C1165" s="266" t="s">
        <v>969</v>
      </c>
      <c r="D1165" s="283" t="s">
        <v>6829</v>
      </c>
      <c r="E1165" s="291"/>
      <c r="F1165" s="295">
        <v>32031</v>
      </c>
      <c r="G1165" s="287" t="s">
        <v>2108</v>
      </c>
      <c r="H1165" s="266" t="s">
        <v>2109</v>
      </c>
      <c r="I1165" s="268" t="s">
        <v>5812</v>
      </c>
      <c r="J1165" s="299" t="s">
        <v>985</v>
      </c>
      <c r="K1165" s="259" t="str">
        <f>HYPERLINK("https://okcountyrecords.com/detail/roger+mills/1987-005625","OKCountyRecords: 1987-005625")</f>
        <v>OKCountyRecords: 1987-005625</v>
      </c>
    </row>
    <row r="1166" spans="1:11" ht="32.1" customHeight="1" x14ac:dyDescent="0.25">
      <c r="A1166" s="278" t="s">
        <v>2110</v>
      </c>
      <c r="B1166" s="266"/>
      <c r="C1166" s="266" t="s">
        <v>1107</v>
      </c>
      <c r="D1166" s="283" t="s">
        <v>6832</v>
      </c>
      <c r="E1166" s="291"/>
      <c r="F1166" s="295">
        <v>32072</v>
      </c>
      <c r="G1166" s="287" t="s">
        <v>2112</v>
      </c>
      <c r="H1166" s="266" t="s">
        <v>1110</v>
      </c>
      <c r="I1166" s="268" t="s">
        <v>5812</v>
      </c>
      <c r="J1166" s="299" t="s">
        <v>1095</v>
      </c>
      <c r="K1166" s="259" t="str">
        <f>HYPERLINK("https://okcountyrecords.com/detail/roger+mills/1987-006730","OKCountyRecords: 1987-006730")</f>
        <v>OKCountyRecords: 1987-006730</v>
      </c>
    </row>
    <row r="1167" spans="1:11" ht="32.1" customHeight="1" x14ac:dyDescent="0.25">
      <c r="A1167" s="278" t="s">
        <v>2113</v>
      </c>
      <c r="B1167" s="266"/>
      <c r="C1167" s="266" t="s">
        <v>969</v>
      </c>
      <c r="D1167" s="283" t="s">
        <v>6835</v>
      </c>
      <c r="E1167" s="291"/>
      <c r="F1167" s="295">
        <v>32072</v>
      </c>
      <c r="G1167" s="287" t="s">
        <v>240</v>
      </c>
      <c r="H1167" s="266" t="s">
        <v>2115</v>
      </c>
      <c r="I1167" s="268" t="s">
        <v>5812</v>
      </c>
      <c r="J1167" s="299" t="s">
        <v>985</v>
      </c>
      <c r="K1167" s="259" t="str">
        <f>HYPERLINK("https://okcountyrecords.com/detail/roger+mills/1987-006731","OKCountyRecords: 1987-006731")</f>
        <v>OKCountyRecords: 1987-006731</v>
      </c>
    </row>
    <row r="1168" spans="1:11" ht="32.1" customHeight="1" x14ac:dyDescent="0.25">
      <c r="A1168" s="278" t="s">
        <v>2116</v>
      </c>
      <c r="B1168" s="266"/>
      <c r="C1168" s="266" t="s">
        <v>969</v>
      </c>
      <c r="D1168" s="283" t="s">
        <v>6837</v>
      </c>
      <c r="E1168" s="291"/>
      <c r="F1168" s="295">
        <v>32072</v>
      </c>
      <c r="G1168" s="287" t="s">
        <v>240</v>
      </c>
      <c r="H1168" s="266" t="s">
        <v>2115</v>
      </c>
      <c r="I1168" s="268" t="s">
        <v>5812</v>
      </c>
      <c r="J1168" s="299" t="s">
        <v>985</v>
      </c>
      <c r="K1168" s="259" t="str">
        <f>HYPERLINK("https://okcountyrecords.com/detail/roger+mills/1987-006732","OKCountyRecords: 1987-006732")</f>
        <v>OKCountyRecords: 1987-006732</v>
      </c>
    </row>
    <row r="1169" spans="1:11" ht="32.1" customHeight="1" x14ac:dyDescent="0.25">
      <c r="A1169" s="278" t="s">
        <v>2118</v>
      </c>
      <c r="B1169" s="266"/>
      <c r="C1169" s="266" t="s">
        <v>114</v>
      </c>
      <c r="D1169" s="283" t="s">
        <v>6839</v>
      </c>
      <c r="E1169" s="291"/>
      <c r="F1169" s="295">
        <v>32106</v>
      </c>
      <c r="G1169" s="287" t="s">
        <v>2101</v>
      </c>
      <c r="H1169" s="266" t="s">
        <v>2120</v>
      </c>
      <c r="I1169" s="268" t="s">
        <v>242</v>
      </c>
      <c r="J1169" s="299" t="s">
        <v>996</v>
      </c>
      <c r="K1169" s="259" t="str">
        <f>HYPERLINK("https://okcountyrecords.com/detail/roger+mills/1987-007491","OKCountyRecords: 1987-007491")</f>
        <v>OKCountyRecords: 1987-007491</v>
      </c>
    </row>
    <row r="1170" spans="1:11" ht="32.1" customHeight="1" x14ac:dyDescent="0.25">
      <c r="A1170" s="278" t="s">
        <v>2121</v>
      </c>
      <c r="B1170" s="266"/>
      <c r="C1170" s="266" t="s">
        <v>114</v>
      </c>
      <c r="D1170" s="283" t="s">
        <v>6842</v>
      </c>
      <c r="E1170" s="291"/>
      <c r="F1170" s="295">
        <v>32106</v>
      </c>
      <c r="G1170" s="287" t="s">
        <v>2101</v>
      </c>
      <c r="H1170" s="266" t="s">
        <v>2120</v>
      </c>
      <c r="I1170" s="268" t="s">
        <v>242</v>
      </c>
      <c r="J1170" s="299" t="s">
        <v>996</v>
      </c>
      <c r="K1170" s="259" t="str">
        <f>HYPERLINK("https://okcountyrecords.com/detail/roger+mills/1987-007492","OKCountyRecords: 1987-007492")</f>
        <v>OKCountyRecords: 1987-007492</v>
      </c>
    </row>
    <row r="1171" spans="1:11" ht="32.1" customHeight="1" x14ac:dyDescent="0.25">
      <c r="A1171" s="278" t="s">
        <v>2123</v>
      </c>
      <c r="B1171" s="266"/>
      <c r="C1171" s="266" t="s">
        <v>114</v>
      </c>
      <c r="D1171" s="283" t="s">
        <v>6844</v>
      </c>
      <c r="E1171" s="291"/>
      <c r="F1171" s="295">
        <v>32106</v>
      </c>
      <c r="G1171" s="287" t="s">
        <v>2120</v>
      </c>
      <c r="H1171" s="266" t="s">
        <v>2125</v>
      </c>
      <c r="I1171" s="268" t="s">
        <v>242</v>
      </c>
      <c r="J1171" s="299" t="s">
        <v>996</v>
      </c>
      <c r="K1171" s="259" t="str">
        <f>HYPERLINK("https://okcountyrecords.com/detail/roger+mills/1987-007493","OKCountyRecords: 1987-007493")</f>
        <v>OKCountyRecords: 1987-007493</v>
      </c>
    </row>
    <row r="1172" spans="1:11" ht="32.1" customHeight="1" x14ac:dyDescent="0.25">
      <c r="A1172" s="278" t="s">
        <v>2126</v>
      </c>
      <c r="B1172" s="266"/>
      <c r="C1172" s="266" t="s">
        <v>969</v>
      </c>
      <c r="D1172" s="283" t="s">
        <v>6846</v>
      </c>
      <c r="E1172" s="291"/>
      <c r="F1172" s="295">
        <v>32118</v>
      </c>
      <c r="G1172" s="287" t="s">
        <v>394</v>
      </c>
      <c r="H1172" s="266" t="s">
        <v>433</v>
      </c>
      <c r="I1172" s="268" t="s">
        <v>5812</v>
      </c>
      <c r="J1172" s="299" t="s">
        <v>985</v>
      </c>
      <c r="K1172" s="259" t="str">
        <f>HYPERLINK("https://okcountyrecords.com/detail/roger+mills/1987-007680","OKCountyRecords: 1987-007680")</f>
        <v>OKCountyRecords: 1987-007680</v>
      </c>
    </row>
    <row r="1173" spans="1:11" ht="32.1" customHeight="1" x14ac:dyDescent="0.25">
      <c r="A1173" s="278" t="s">
        <v>2128</v>
      </c>
      <c r="B1173" s="266"/>
      <c r="C1173" s="266" t="s">
        <v>309</v>
      </c>
      <c r="D1173" s="283" t="s">
        <v>920</v>
      </c>
      <c r="E1173" s="291"/>
      <c r="F1173" s="295">
        <v>32129</v>
      </c>
      <c r="G1173" s="287" t="s">
        <v>446</v>
      </c>
      <c r="H1173" s="266" t="s">
        <v>445</v>
      </c>
      <c r="I1173" s="268" t="s">
        <v>242</v>
      </c>
      <c r="J1173" s="299" t="s">
        <v>996</v>
      </c>
      <c r="K1173" s="259" t="str">
        <f>HYPERLINK("https://okcountyrecords.com/detail/roger+mills/1987-007920","OKCountyRecords: 1987-007920")</f>
        <v>OKCountyRecords: 1987-007920</v>
      </c>
    </row>
    <row r="1174" spans="1:11" ht="32.1" customHeight="1" x14ac:dyDescent="0.25">
      <c r="A1174" s="278" t="s">
        <v>2130</v>
      </c>
      <c r="B1174" s="266"/>
      <c r="C1174" s="266" t="s">
        <v>309</v>
      </c>
      <c r="D1174" s="283" t="s">
        <v>921</v>
      </c>
      <c r="E1174" s="291"/>
      <c r="F1174" s="295">
        <v>32155</v>
      </c>
      <c r="G1174" s="287" t="s">
        <v>413</v>
      </c>
      <c r="H1174" s="266" t="s">
        <v>448</v>
      </c>
      <c r="I1174" s="268" t="s">
        <v>242</v>
      </c>
      <c r="J1174" s="299" t="s">
        <v>996</v>
      </c>
      <c r="K1174" s="259" t="str">
        <f>HYPERLINK("https://okcountyrecords.com/detail/roger+mills/1988-000257","OKCountyRecords: 1988-000257")</f>
        <v>OKCountyRecords: 1988-000257</v>
      </c>
    </row>
    <row r="1175" spans="1:11" ht="32.1" customHeight="1" x14ac:dyDescent="0.25">
      <c r="A1175" s="278" t="s">
        <v>2132</v>
      </c>
      <c r="B1175" s="266"/>
      <c r="C1175" s="266" t="s">
        <v>969</v>
      </c>
      <c r="D1175" s="283" t="s">
        <v>6853</v>
      </c>
      <c r="E1175" s="291"/>
      <c r="F1175" s="295">
        <v>32177</v>
      </c>
      <c r="G1175" s="287" t="s">
        <v>1775</v>
      </c>
      <c r="H1175" s="266" t="s">
        <v>2134</v>
      </c>
      <c r="I1175" s="268" t="s">
        <v>5812</v>
      </c>
      <c r="J1175" s="299" t="s">
        <v>985</v>
      </c>
      <c r="K1175" s="259" t="str">
        <f>HYPERLINK("https://okcountyrecords.com/detail/roger+mills/1988-000762","OKCountyRecords: 1988-000762")</f>
        <v>OKCountyRecords: 1988-000762</v>
      </c>
    </row>
    <row r="1176" spans="1:11" ht="32.1" customHeight="1" x14ac:dyDescent="0.25">
      <c r="A1176" s="278" t="s">
        <v>2135</v>
      </c>
      <c r="B1176" s="266"/>
      <c r="C1176" s="266" t="s">
        <v>969</v>
      </c>
      <c r="D1176" s="283" t="s">
        <v>6856</v>
      </c>
      <c r="E1176" s="291"/>
      <c r="F1176" s="295">
        <v>32255</v>
      </c>
      <c r="G1176" s="287" t="s">
        <v>1391</v>
      </c>
      <c r="H1176" s="266" t="s">
        <v>436</v>
      </c>
      <c r="I1176" s="268" t="s">
        <v>5812</v>
      </c>
      <c r="J1176" s="299" t="s">
        <v>985</v>
      </c>
      <c r="K1176" s="259" t="str">
        <f>HYPERLINK("https://okcountyrecords.com/detail/roger+mills/1988-002747","OKCountyRecords: 1988-002747")</f>
        <v>OKCountyRecords: 1988-002747</v>
      </c>
    </row>
    <row r="1177" spans="1:11" ht="32.1" customHeight="1" x14ac:dyDescent="0.25">
      <c r="A1177" s="278" t="s">
        <v>2137</v>
      </c>
      <c r="B1177" s="266"/>
      <c r="C1177" s="266" t="s">
        <v>969</v>
      </c>
      <c r="D1177" s="283" t="s">
        <v>4150</v>
      </c>
      <c r="E1177" s="291">
        <v>32329</v>
      </c>
      <c r="F1177" s="295">
        <v>32216</v>
      </c>
      <c r="G1177" s="287" t="s">
        <v>1747</v>
      </c>
      <c r="H1177" s="266" t="s">
        <v>2139</v>
      </c>
      <c r="I1177" s="268" t="s">
        <v>6860</v>
      </c>
      <c r="J1177" s="299" t="s">
        <v>985</v>
      </c>
      <c r="K1177" s="259" t="str">
        <f>HYPERLINK("https://okcountyrecords.com/detail/roger+mills/1988-004185","OKCountyRecords: 1988-004185")</f>
        <v>OKCountyRecords: 1988-004185</v>
      </c>
    </row>
    <row r="1178" spans="1:11" ht="32.1" customHeight="1" x14ac:dyDescent="0.25">
      <c r="A1178" s="278" t="s">
        <v>2141</v>
      </c>
      <c r="B1178" s="266"/>
      <c r="C1178" s="266" t="s">
        <v>309</v>
      </c>
      <c r="D1178" s="283" t="s">
        <v>924</v>
      </c>
      <c r="E1178" s="291"/>
      <c r="F1178" s="295">
        <v>32335</v>
      </c>
      <c r="G1178" s="287" t="s">
        <v>420</v>
      </c>
      <c r="H1178" s="266" t="s">
        <v>925</v>
      </c>
      <c r="I1178" s="268" t="s">
        <v>242</v>
      </c>
      <c r="J1178" s="299" t="s">
        <v>996</v>
      </c>
      <c r="K1178" s="259" t="str">
        <f>HYPERLINK("https://okcountyrecords.com/detail/roger+mills/1988-004266","OKCountyRecords: 1988-004266")</f>
        <v>OKCountyRecords: 1988-004266</v>
      </c>
    </row>
    <row r="1179" spans="1:11" ht="32.1" customHeight="1" x14ac:dyDescent="0.25">
      <c r="A1179" s="278" t="s">
        <v>2143</v>
      </c>
      <c r="B1179" s="266"/>
      <c r="C1179" s="266" t="s">
        <v>309</v>
      </c>
      <c r="D1179" s="283" t="s">
        <v>922</v>
      </c>
      <c r="E1179" s="291"/>
      <c r="F1179" s="295">
        <v>32335</v>
      </c>
      <c r="G1179" s="287" t="s">
        <v>449</v>
      </c>
      <c r="H1179" s="266" t="s">
        <v>923</v>
      </c>
      <c r="I1179" s="268" t="s">
        <v>242</v>
      </c>
      <c r="J1179" s="299" t="s">
        <v>996</v>
      </c>
      <c r="K1179" s="259" t="str">
        <f>HYPERLINK("https://okcountyrecords.com/detail/roger+mills/1988-004268","OKCountyRecords: 1988-004268")</f>
        <v>OKCountyRecords: 1988-004268</v>
      </c>
    </row>
    <row r="1180" spans="1:11" ht="32.1" customHeight="1" x14ac:dyDescent="0.25">
      <c r="A1180" s="278" t="s">
        <v>2145</v>
      </c>
      <c r="B1180" s="266"/>
      <c r="C1180" s="266" t="s">
        <v>309</v>
      </c>
      <c r="D1180" s="283" t="s">
        <v>926</v>
      </c>
      <c r="E1180" s="291"/>
      <c r="F1180" s="295">
        <v>32342</v>
      </c>
      <c r="G1180" s="287" t="s">
        <v>2147</v>
      </c>
      <c r="H1180" s="266" t="s">
        <v>923</v>
      </c>
      <c r="I1180" s="268" t="s">
        <v>242</v>
      </c>
      <c r="J1180" s="299" t="s">
        <v>996</v>
      </c>
      <c r="K1180" s="259" t="str">
        <f>HYPERLINK("https://okcountyrecords.com/detail/roger+mills/1988-004401","OKCountyRecords: 1988-004401")</f>
        <v>OKCountyRecords: 1988-004401</v>
      </c>
    </row>
    <row r="1181" spans="1:11" ht="32.1" customHeight="1" x14ac:dyDescent="0.25">
      <c r="A1181" s="278" t="s">
        <v>2148</v>
      </c>
      <c r="B1181" s="266"/>
      <c r="C1181" s="266" t="s">
        <v>969</v>
      </c>
      <c r="D1181" s="283" t="s">
        <v>6867</v>
      </c>
      <c r="E1181" s="291"/>
      <c r="F1181" s="295">
        <v>32344</v>
      </c>
      <c r="G1181" s="287" t="s">
        <v>394</v>
      </c>
      <c r="H1181" s="266" t="s">
        <v>589</v>
      </c>
      <c r="I1181" s="268" t="s">
        <v>5812</v>
      </c>
      <c r="J1181" s="299" t="s">
        <v>985</v>
      </c>
      <c r="K1181" s="259" t="str">
        <f>HYPERLINK("https://okcountyrecords.com/detail/roger+mills/1988-004480","OKCountyRecords: 1988-004480")</f>
        <v>OKCountyRecords: 1988-004480</v>
      </c>
    </row>
    <row r="1182" spans="1:11" ht="32.1" customHeight="1" x14ac:dyDescent="0.25">
      <c r="A1182" s="278" t="s">
        <v>2150</v>
      </c>
      <c r="B1182" s="266"/>
      <c r="C1182" s="266" t="s">
        <v>969</v>
      </c>
      <c r="D1182" s="283" t="s">
        <v>6870</v>
      </c>
      <c r="E1182" s="291"/>
      <c r="F1182" s="295">
        <v>32344</v>
      </c>
      <c r="G1182" s="287" t="s">
        <v>394</v>
      </c>
      <c r="H1182" s="266" t="s">
        <v>2152</v>
      </c>
      <c r="I1182" s="268" t="s">
        <v>5812</v>
      </c>
      <c r="J1182" s="299" t="s">
        <v>985</v>
      </c>
      <c r="K1182" s="259" t="str">
        <f>HYPERLINK("https://okcountyrecords.com/detail/roger+mills/1988-004481","OKCountyRecords: 1988-004481")</f>
        <v>OKCountyRecords: 1988-004481</v>
      </c>
    </row>
    <row r="1183" spans="1:11" ht="32.1" customHeight="1" x14ac:dyDescent="0.25">
      <c r="A1183" s="278" t="s">
        <v>2153</v>
      </c>
      <c r="B1183" s="266"/>
      <c r="C1183" s="266" t="s">
        <v>969</v>
      </c>
      <c r="D1183" s="283" t="s">
        <v>6872</v>
      </c>
      <c r="E1183" s="291"/>
      <c r="F1183" s="295">
        <v>32344</v>
      </c>
      <c r="G1183" s="287" t="s">
        <v>394</v>
      </c>
      <c r="H1183" s="266" t="s">
        <v>591</v>
      </c>
      <c r="I1183" s="268" t="s">
        <v>5812</v>
      </c>
      <c r="J1183" s="299" t="s">
        <v>985</v>
      </c>
      <c r="K1183" s="259" t="str">
        <f>HYPERLINK("https://okcountyrecords.com/detail/roger+mills/1988-004482","OKCountyRecords: 1988-004482")</f>
        <v>OKCountyRecords: 1988-004482</v>
      </c>
    </row>
    <row r="1184" spans="1:11" ht="32.1" customHeight="1" x14ac:dyDescent="0.25">
      <c r="A1184" s="278" t="s">
        <v>2155</v>
      </c>
      <c r="B1184" s="266"/>
      <c r="C1184" s="266" t="s">
        <v>969</v>
      </c>
      <c r="D1184" s="283" t="s">
        <v>6874</v>
      </c>
      <c r="E1184" s="291"/>
      <c r="F1184" s="295">
        <v>32344</v>
      </c>
      <c r="G1184" s="287" t="s">
        <v>394</v>
      </c>
      <c r="H1184" s="266" t="s">
        <v>2157</v>
      </c>
      <c r="I1184" s="268" t="s">
        <v>5812</v>
      </c>
      <c r="J1184" s="299" t="s">
        <v>985</v>
      </c>
      <c r="K1184" s="259" t="str">
        <f>HYPERLINK("https://okcountyrecords.com/detail/roger+mills/1988-004483","OKCountyRecords: 1988-004483")</f>
        <v>OKCountyRecords: 1988-004483</v>
      </c>
    </row>
    <row r="1185" spans="1:11" ht="32.1" customHeight="1" x14ac:dyDescent="0.25">
      <c r="A1185" s="278" t="s">
        <v>2158</v>
      </c>
      <c r="B1185" s="266"/>
      <c r="C1185" s="266" t="s">
        <v>1274</v>
      </c>
      <c r="D1185" s="283" t="s">
        <v>6876</v>
      </c>
      <c r="E1185" s="291"/>
      <c r="F1185" s="295">
        <v>32350</v>
      </c>
      <c r="G1185" s="287" t="s">
        <v>2160</v>
      </c>
      <c r="H1185" s="266" t="s">
        <v>2161</v>
      </c>
      <c r="I1185" s="268" t="s">
        <v>5812</v>
      </c>
      <c r="J1185" s="299" t="s">
        <v>985</v>
      </c>
      <c r="K1185" s="259" t="str">
        <f>HYPERLINK("https://okcountyrecords.com/detail/roger+mills/1988-004635","OKCountyRecords: 1988-004635")</f>
        <v>OKCountyRecords: 1988-004635</v>
      </c>
    </row>
    <row r="1186" spans="1:11" ht="32.1" customHeight="1" x14ac:dyDescent="0.25">
      <c r="A1186" s="278" t="s">
        <v>2162</v>
      </c>
      <c r="B1186" s="266"/>
      <c r="C1186" s="266" t="s">
        <v>993</v>
      </c>
      <c r="D1186" s="283" t="s">
        <v>6879</v>
      </c>
      <c r="E1186" s="291"/>
      <c r="F1186" s="295">
        <v>32350</v>
      </c>
      <c r="G1186" s="287" t="s">
        <v>2164</v>
      </c>
      <c r="H1186" s="266" t="s">
        <v>2165</v>
      </c>
      <c r="I1186" s="268" t="s">
        <v>5812</v>
      </c>
      <c r="J1186" s="299" t="s">
        <v>996</v>
      </c>
      <c r="K1186" s="259" t="str">
        <f>HYPERLINK("https://okcountyrecords.com/detail/roger+mills/1988-004637","OKCountyRecords: 1988-004637")</f>
        <v>OKCountyRecords: 1988-004637</v>
      </c>
    </row>
    <row r="1187" spans="1:11" ht="32.1" customHeight="1" x14ac:dyDescent="0.25">
      <c r="A1187" s="278" t="s">
        <v>2166</v>
      </c>
      <c r="B1187" s="266"/>
      <c r="C1187" s="266" t="s">
        <v>993</v>
      </c>
      <c r="D1187" s="283" t="s">
        <v>6881</v>
      </c>
      <c r="E1187" s="291"/>
      <c r="F1187" s="295">
        <v>32398</v>
      </c>
      <c r="G1187" s="287" t="s">
        <v>383</v>
      </c>
      <c r="H1187" s="266" t="s">
        <v>407</v>
      </c>
      <c r="I1187" s="268" t="s">
        <v>5812</v>
      </c>
      <c r="J1187" s="299" t="s">
        <v>996</v>
      </c>
      <c r="K1187" s="259" t="str">
        <f>HYPERLINK("https://okcountyrecords.com/detail/roger+mills/1988-005491","OKCountyRecords: 1988-005491")</f>
        <v>OKCountyRecords: 1988-005491</v>
      </c>
    </row>
    <row r="1188" spans="1:11" ht="32.1" customHeight="1" x14ac:dyDescent="0.25">
      <c r="A1188" s="278" t="s">
        <v>2168</v>
      </c>
      <c r="B1188" s="266"/>
      <c r="C1188" s="266" t="s">
        <v>969</v>
      </c>
      <c r="D1188" s="283" t="s">
        <v>6884</v>
      </c>
      <c r="E1188" s="291"/>
      <c r="F1188" s="295">
        <v>32405</v>
      </c>
      <c r="G1188" s="287" t="s">
        <v>2170</v>
      </c>
      <c r="H1188" s="266" t="s">
        <v>2171</v>
      </c>
      <c r="I1188" s="268" t="s">
        <v>5812</v>
      </c>
      <c r="J1188" s="299" t="s">
        <v>985</v>
      </c>
      <c r="K1188" s="259" t="str">
        <f>HYPERLINK("https://okcountyrecords.com/detail/roger+mills/1988-005620","OKCountyRecords: 1988-005620")</f>
        <v>OKCountyRecords: 1988-005620</v>
      </c>
    </row>
    <row r="1189" spans="1:11" ht="32.1" customHeight="1" x14ac:dyDescent="0.25">
      <c r="A1189" s="278" t="s">
        <v>2172</v>
      </c>
      <c r="B1189" s="266"/>
      <c r="C1189" s="266" t="s">
        <v>969</v>
      </c>
      <c r="D1189" s="283" t="s">
        <v>6887</v>
      </c>
      <c r="E1189" s="291"/>
      <c r="F1189" s="295">
        <v>32449</v>
      </c>
      <c r="G1189" s="287" t="s">
        <v>397</v>
      </c>
      <c r="H1189" s="266" t="s">
        <v>463</v>
      </c>
      <c r="I1189" s="268" t="s">
        <v>5812</v>
      </c>
      <c r="J1189" s="299" t="s">
        <v>985</v>
      </c>
      <c r="K1189" s="259" t="str">
        <f>HYPERLINK("https://okcountyrecords.com/detail/roger+mills/1988-006565","OKCountyRecords: 1988-006565")</f>
        <v>OKCountyRecords: 1988-006565</v>
      </c>
    </row>
    <row r="1190" spans="1:11" ht="32.1" customHeight="1" x14ac:dyDescent="0.25">
      <c r="A1190" s="278" t="s">
        <v>2174</v>
      </c>
      <c r="B1190" s="266"/>
      <c r="C1190" s="266" t="s">
        <v>309</v>
      </c>
      <c r="D1190" s="283" t="s">
        <v>453</v>
      </c>
      <c r="E1190" s="291"/>
      <c r="F1190" s="295">
        <v>32525</v>
      </c>
      <c r="G1190" s="287" t="s">
        <v>454</v>
      </c>
      <c r="H1190" s="266" t="s">
        <v>928</v>
      </c>
      <c r="I1190" s="268" t="s">
        <v>242</v>
      </c>
      <c r="J1190" s="299" t="s">
        <v>996</v>
      </c>
      <c r="K1190" s="259" t="str">
        <f>HYPERLINK("https://okcountyrecords.com/detail/roger+mills/1989-000319","OKCountyRecords: 1989-000319")</f>
        <v>OKCountyRecords: 1989-000319</v>
      </c>
    </row>
    <row r="1191" spans="1:11" ht="32.1" customHeight="1" x14ac:dyDescent="0.25">
      <c r="A1191" s="278" t="s">
        <v>2176</v>
      </c>
      <c r="B1191" s="266"/>
      <c r="C1191" s="266" t="s">
        <v>309</v>
      </c>
      <c r="D1191" s="283" t="s">
        <v>456</v>
      </c>
      <c r="E1191" s="291"/>
      <c r="F1191" s="295">
        <v>32525</v>
      </c>
      <c r="G1191" s="287" t="s">
        <v>1941</v>
      </c>
      <c r="H1191" s="266" t="s">
        <v>928</v>
      </c>
      <c r="I1191" s="268" t="s">
        <v>242</v>
      </c>
      <c r="J1191" s="299" t="s">
        <v>996</v>
      </c>
      <c r="K1191" s="259" t="str">
        <f>HYPERLINK("https://okcountyrecords.com/detail/roger+mills/1989-000320","OKCountyRecords: 1989-000320")</f>
        <v>OKCountyRecords: 1989-000320</v>
      </c>
    </row>
    <row r="1192" spans="1:11" ht="32.1" customHeight="1" x14ac:dyDescent="0.25">
      <c r="A1192" s="278" t="s">
        <v>2178</v>
      </c>
      <c r="B1192" s="266"/>
      <c r="C1192" s="266" t="s">
        <v>309</v>
      </c>
      <c r="D1192" s="283" t="s">
        <v>457</v>
      </c>
      <c r="E1192" s="291"/>
      <c r="F1192" s="295">
        <v>32525</v>
      </c>
      <c r="G1192" s="287" t="s">
        <v>1941</v>
      </c>
      <c r="H1192" s="266" t="s">
        <v>928</v>
      </c>
      <c r="I1192" s="268" t="s">
        <v>242</v>
      </c>
      <c r="J1192" s="299" t="s">
        <v>996</v>
      </c>
      <c r="K1192" s="259" t="str">
        <f>HYPERLINK("https://okcountyrecords.com/detail/roger+mills/1989-000321","OKCountyRecords: 1989-000321")</f>
        <v>OKCountyRecords: 1989-000321</v>
      </c>
    </row>
    <row r="1193" spans="1:11" ht="32.1" customHeight="1" x14ac:dyDescent="0.25">
      <c r="A1193" s="278" t="s">
        <v>2180</v>
      </c>
      <c r="B1193" s="266"/>
      <c r="C1193" s="266" t="s">
        <v>309</v>
      </c>
      <c r="D1193" s="283" t="s">
        <v>458</v>
      </c>
      <c r="E1193" s="291"/>
      <c r="F1193" s="295">
        <v>32525</v>
      </c>
      <c r="G1193" s="287" t="s">
        <v>395</v>
      </c>
      <c r="H1193" s="266" t="s">
        <v>928</v>
      </c>
      <c r="I1193" s="268" t="s">
        <v>242</v>
      </c>
      <c r="J1193" s="299" t="s">
        <v>996</v>
      </c>
      <c r="K1193" s="259" t="str">
        <f>HYPERLINK("https://okcountyrecords.com/detail/roger+mills/1989-000322","OKCountyRecords: 1989-000322")</f>
        <v>OKCountyRecords: 1989-000322</v>
      </c>
    </row>
    <row r="1194" spans="1:11" ht="32.1" customHeight="1" x14ac:dyDescent="0.25">
      <c r="A1194" s="278" t="s">
        <v>2182</v>
      </c>
      <c r="B1194" s="266"/>
      <c r="C1194" s="266" t="s">
        <v>309</v>
      </c>
      <c r="D1194" s="283" t="s">
        <v>459</v>
      </c>
      <c r="E1194" s="291"/>
      <c r="F1194" s="295">
        <v>32525</v>
      </c>
      <c r="G1194" s="287" t="s">
        <v>460</v>
      </c>
      <c r="H1194" s="266" t="s">
        <v>928</v>
      </c>
      <c r="I1194" s="268" t="s">
        <v>242</v>
      </c>
      <c r="J1194" s="299" t="s">
        <v>996</v>
      </c>
      <c r="K1194" s="259" t="str">
        <f>HYPERLINK("https://okcountyrecords.com/detail/roger+mills/1989-000323","OKCountyRecords: 1989-000323")</f>
        <v>OKCountyRecords: 1989-000323</v>
      </c>
    </row>
    <row r="1195" spans="1:11" ht="32.1" customHeight="1" x14ac:dyDescent="0.25">
      <c r="A1195" s="278" t="s">
        <v>2184</v>
      </c>
      <c r="B1195" s="266"/>
      <c r="C1195" s="266" t="s">
        <v>1091</v>
      </c>
      <c r="D1195" s="283" t="s">
        <v>6896</v>
      </c>
      <c r="E1195" s="291"/>
      <c r="F1195" s="295">
        <v>32531</v>
      </c>
      <c r="G1195" s="287" t="s">
        <v>2186</v>
      </c>
      <c r="H1195" s="266" t="s">
        <v>1110</v>
      </c>
      <c r="I1195" s="268" t="s">
        <v>5812</v>
      </c>
      <c r="J1195" s="299" t="s">
        <v>1095</v>
      </c>
      <c r="K1195" s="259" t="str">
        <f>HYPERLINK("https://okcountyrecords.com/detail/roger+mills/1989-000424","OKCountyRecords: 1989-000424")</f>
        <v>OKCountyRecords: 1989-000424</v>
      </c>
    </row>
    <row r="1196" spans="1:11" ht="32.1" customHeight="1" x14ac:dyDescent="0.25">
      <c r="A1196" s="278" t="s">
        <v>2187</v>
      </c>
      <c r="B1196" s="266"/>
      <c r="C1196" s="266" t="s">
        <v>309</v>
      </c>
      <c r="D1196" s="283" t="s">
        <v>461</v>
      </c>
      <c r="E1196" s="291"/>
      <c r="F1196" s="295">
        <v>32560</v>
      </c>
      <c r="G1196" s="287" t="s">
        <v>392</v>
      </c>
      <c r="H1196" s="266" t="s">
        <v>928</v>
      </c>
      <c r="I1196" s="268" t="s">
        <v>242</v>
      </c>
      <c r="J1196" s="299" t="s">
        <v>996</v>
      </c>
      <c r="K1196" s="259" t="str">
        <f>HYPERLINK("https://okcountyrecords.com/detail/roger+mills/1989-001061","OKCountyRecords: 1989-001061")</f>
        <v>OKCountyRecords: 1989-001061</v>
      </c>
    </row>
    <row r="1197" spans="1:11" ht="32.1" customHeight="1" x14ac:dyDescent="0.25">
      <c r="A1197" s="278" t="s">
        <v>2189</v>
      </c>
      <c r="B1197" s="266"/>
      <c r="C1197" s="266" t="s">
        <v>969</v>
      </c>
      <c r="D1197" s="283" t="s">
        <v>6901</v>
      </c>
      <c r="E1197" s="291"/>
      <c r="F1197" s="295">
        <v>32566</v>
      </c>
      <c r="G1197" s="287" t="s">
        <v>465</v>
      </c>
      <c r="H1197" s="266" t="s">
        <v>2191</v>
      </c>
      <c r="I1197" s="268" t="s">
        <v>5812</v>
      </c>
      <c r="J1197" s="299" t="s">
        <v>985</v>
      </c>
      <c r="K1197" s="259" t="str">
        <f>HYPERLINK("https://okcountyrecords.com/detail/roger+mills/1989-001220","OKCountyRecords: 1989-001220")</f>
        <v>OKCountyRecords: 1989-001220</v>
      </c>
    </row>
    <row r="1198" spans="1:11" ht="32.1" customHeight="1" x14ac:dyDescent="0.25">
      <c r="A1198" s="278" t="s">
        <v>2192</v>
      </c>
      <c r="B1198" s="266"/>
      <c r="C1198" s="266" t="s">
        <v>1274</v>
      </c>
      <c r="D1198" s="283" t="s">
        <v>6904</v>
      </c>
      <c r="E1198" s="291"/>
      <c r="F1198" s="295">
        <v>32579</v>
      </c>
      <c r="G1198" s="287" t="s">
        <v>2194</v>
      </c>
      <c r="H1198" s="266" t="s">
        <v>2195</v>
      </c>
      <c r="I1198" s="268" t="s">
        <v>5812</v>
      </c>
      <c r="J1198" s="299" t="s">
        <v>985</v>
      </c>
      <c r="K1198" s="259" t="str">
        <f>HYPERLINK("https://okcountyrecords.com/detail/roger+mills/1989-001559","OKCountyRecords: 1989-001559")</f>
        <v>OKCountyRecords: 1989-001559</v>
      </c>
    </row>
    <row r="1199" spans="1:11" ht="32.1" customHeight="1" x14ac:dyDescent="0.25">
      <c r="A1199" s="278" t="s">
        <v>2196</v>
      </c>
      <c r="B1199" s="266"/>
      <c r="C1199" s="266" t="s">
        <v>993</v>
      </c>
      <c r="D1199" s="283" t="s">
        <v>6907</v>
      </c>
      <c r="E1199" s="291"/>
      <c r="F1199" s="295">
        <v>32590</v>
      </c>
      <c r="G1199" s="287" t="s">
        <v>2198</v>
      </c>
      <c r="H1199" s="266" t="s">
        <v>2199</v>
      </c>
      <c r="I1199" s="268" t="s">
        <v>5812</v>
      </c>
      <c r="J1199" s="299" t="s">
        <v>996</v>
      </c>
      <c r="K1199" s="259" t="str">
        <f>HYPERLINK("https://okcountyrecords.com/detail/roger+mills/1989-001842","OKCountyRecords: 1989-001842")</f>
        <v>OKCountyRecords: 1989-001842</v>
      </c>
    </row>
    <row r="1200" spans="1:11" ht="32.1" customHeight="1" x14ac:dyDescent="0.25">
      <c r="A1200" s="278" t="s">
        <v>2200</v>
      </c>
      <c r="B1200" s="266"/>
      <c r="C1200" s="266" t="s">
        <v>1107</v>
      </c>
      <c r="D1200" s="283" t="s">
        <v>6910</v>
      </c>
      <c r="E1200" s="291">
        <v>32601</v>
      </c>
      <c r="F1200" s="295">
        <v>32531</v>
      </c>
      <c r="G1200" s="287" t="s">
        <v>2202</v>
      </c>
      <c r="H1200" s="266" t="s">
        <v>1110</v>
      </c>
      <c r="I1200" s="268" t="s">
        <v>6193</v>
      </c>
      <c r="J1200" s="299" t="s">
        <v>1095</v>
      </c>
      <c r="K1200" s="259" t="str">
        <f>HYPERLINK("https://okcountyrecords.com/detail/roger+mills/1989-002065","OKCountyRecords: 1989-002065")</f>
        <v>OKCountyRecords: 1989-002065</v>
      </c>
    </row>
    <row r="1201" spans="1:11" ht="32.1" customHeight="1" x14ac:dyDescent="0.25">
      <c r="A1201" s="278" t="s">
        <v>2203</v>
      </c>
      <c r="B1201" s="266"/>
      <c r="C1201" s="266" t="s">
        <v>969</v>
      </c>
      <c r="D1201" s="283" t="s">
        <v>6913</v>
      </c>
      <c r="E1201" s="291"/>
      <c r="F1201" s="295">
        <v>32612</v>
      </c>
      <c r="G1201" s="287" t="s">
        <v>394</v>
      </c>
      <c r="H1201" s="266" t="s">
        <v>589</v>
      </c>
      <c r="I1201" s="268" t="s">
        <v>5812</v>
      </c>
      <c r="J1201" s="299" t="s">
        <v>985</v>
      </c>
      <c r="K1201" s="259" t="str">
        <f>HYPERLINK("https://okcountyrecords.com/detail/roger+mills/1989-002320","OKCountyRecords: 1989-002320")</f>
        <v>OKCountyRecords: 1989-002320</v>
      </c>
    </row>
    <row r="1202" spans="1:11" ht="32.1" customHeight="1" x14ac:dyDescent="0.25">
      <c r="A1202" s="278" t="s">
        <v>2205</v>
      </c>
      <c r="B1202" s="266"/>
      <c r="C1202" s="266" t="s">
        <v>969</v>
      </c>
      <c r="D1202" s="283" t="s">
        <v>6916</v>
      </c>
      <c r="E1202" s="291"/>
      <c r="F1202" s="295">
        <v>32612</v>
      </c>
      <c r="G1202" s="287" t="s">
        <v>394</v>
      </c>
      <c r="H1202" s="266" t="s">
        <v>591</v>
      </c>
      <c r="I1202" s="268" t="s">
        <v>5812</v>
      </c>
      <c r="J1202" s="299" t="s">
        <v>985</v>
      </c>
      <c r="K1202" s="259" t="str">
        <f>HYPERLINK("https://okcountyrecords.com/detail/roger+mills/1989-002321","OKCountyRecords: 1989-002321")</f>
        <v>OKCountyRecords: 1989-002321</v>
      </c>
    </row>
    <row r="1203" spans="1:11" ht="32.1" customHeight="1" x14ac:dyDescent="0.25">
      <c r="A1203" s="278" t="s">
        <v>2207</v>
      </c>
      <c r="B1203" s="266"/>
      <c r="C1203" s="266" t="s">
        <v>969</v>
      </c>
      <c r="D1203" s="283" t="s">
        <v>6918</v>
      </c>
      <c r="E1203" s="291"/>
      <c r="F1203" s="295">
        <v>32612</v>
      </c>
      <c r="G1203" s="287" t="s">
        <v>394</v>
      </c>
      <c r="H1203" s="266" t="s">
        <v>2152</v>
      </c>
      <c r="I1203" s="268" t="s">
        <v>5812</v>
      </c>
      <c r="J1203" s="299" t="s">
        <v>985</v>
      </c>
      <c r="K1203" s="259" t="str">
        <f>HYPERLINK("https://okcountyrecords.com/detail/roger+mills/1989-002322","OKCountyRecords: 1989-002322")</f>
        <v>OKCountyRecords: 1989-002322</v>
      </c>
    </row>
    <row r="1204" spans="1:11" ht="32.1" customHeight="1" x14ac:dyDescent="0.25">
      <c r="A1204" s="278" t="s">
        <v>2209</v>
      </c>
      <c r="B1204" s="266"/>
      <c r="C1204" s="266" t="s">
        <v>969</v>
      </c>
      <c r="D1204" s="283" t="s">
        <v>6920</v>
      </c>
      <c r="E1204" s="291"/>
      <c r="F1204" s="295">
        <v>32612</v>
      </c>
      <c r="G1204" s="287" t="s">
        <v>394</v>
      </c>
      <c r="H1204" s="266" t="s">
        <v>2157</v>
      </c>
      <c r="I1204" s="268" t="s">
        <v>5812</v>
      </c>
      <c r="J1204" s="299" t="s">
        <v>985</v>
      </c>
      <c r="K1204" s="259" t="str">
        <f>HYPERLINK("https://okcountyrecords.com/detail/roger+mills/1989-002323","OKCountyRecords: 1989-002323")</f>
        <v>OKCountyRecords: 1989-002323</v>
      </c>
    </row>
    <row r="1205" spans="1:11" ht="32.1" customHeight="1" x14ac:dyDescent="0.25">
      <c r="A1205" s="278" t="s">
        <v>2211</v>
      </c>
      <c r="B1205" s="266"/>
      <c r="C1205" s="266" t="s">
        <v>993</v>
      </c>
      <c r="D1205" s="283" t="s">
        <v>6922</v>
      </c>
      <c r="E1205" s="291"/>
      <c r="F1205" s="295">
        <v>32622</v>
      </c>
      <c r="G1205" s="287" t="s">
        <v>383</v>
      </c>
      <c r="H1205" s="266" t="s">
        <v>407</v>
      </c>
      <c r="I1205" s="268" t="s">
        <v>242</v>
      </c>
      <c r="J1205" s="299" t="s">
        <v>996</v>
      </c>
      <c r="K1205" s="259" t="str">
        <f>HYPERLINK("https://okcountyrecords.com/detail/roger+mills/1989-002559","OKCountyRecords: 1989-002559")</f>
        <v>OKCountyRecords: 1989-002559</v>
      </c>
    </row>
    <row r="1206" spans="1:11" ht="32.1" customHeight="1" x14ac:dyDescent="0.25">
      <c r="A1206" s="278" t="s">
        <v>2213</v>
      </c>
      <c r="B1206" s="266"/>
      <c r="C1206" s="266" t="s">
        <v>309</v>
      </c>
      <c r="D1206" s="283" t="s">
        <v>462</v>
      </c>
      <c r="E1206" s="291"/>
      <c r="F1206" s="295">
        <v>32653</v>
      </c>
      <c r="G1206" s="287" t="s">
        <v>463</v>
      </c>
      <c r="H1206" s="266" t="s">
        <v>928</v>
      </c>
      <c r="I1206" s="268" t="s">
        <v>242</v>
      </c>
      <c r="J1206" s="299" t="s">
        <v>996</v>
      </c>
      <c r="K1206" s="259" t="str">
        <f>HYPERLINK("https://okcountyrecords.com/detail/roger+mills/1989-003258","OKCountyRecords: 1989-003258")</f>
        <v>OKCountyRecords: 1989-003258</v>
      </c>
    </row>
    <row r="1207" spans="1:11" ht="32.1" customHeight="1" x14ac:dyDescent="0.25">
      <c r="A1207" s="278" t="s">
        <v>2215</v>
      </c>
      <c r="B1207" s="266"/>
      <c r="C1207" s="266" t="s">
        <v>114</v>
      </c>
      <c r="D1207" s="283" t="s">
        <v>6927</v>
      </c>
      <c r="E1207" s="291"/>
      <c r="F1207" s="295">
        <v>32674</v>
      </c>
      <c r="G1207" s="287" t="s">
        <v>1766</v>
      </c>
      <c r="H1207" s="266" t="s">
        <v>2217</v>
      </c>
      <c r="I1207" s="268" t="s">
        <v>5812</v>
      </c>
      <c r="J1207" s="299" t="s">
        <v>996</v>
      </c>
      <c r="K1207" s="259" t="str">
        <f>HYPERLINK("https://okcountyrecords.com/detail/roger+mills/1989-003645","OKCountyRecords: 1989-003645")</f>
        <v>OKCountyRecords: 1989-003645</v>
      </c>
    </row>
    <row r="1208" spans="1:11" ht="32.1" customHeight="1" x14ac:dyDescent="0.25">
      <c r="A1208" s="278" t="s">
        <v>2218</v>
      </c>
      <c r="B1208" s="266"/>
      <c r="C1208" s="266" t="s">
        <v>309</v>
      </c>
      <c r="D1208" s="283" t="s">
        <v>464</v>
      </c>
      <c r="E1208" s="291"/>
      <c r="F1208" s="295">
        <v>32678</v>
      </c>
      <c r="G1208" s="287" t="s">
        <v>465</v>
      </c>
      <c r="H1208" s="266" t="s">
        <v>466</v>
      </c>
      <c r="I1208" s="268" t="s">
        <v>5812</v>
      </c>
      <c r="J1208" s="299" t="s">
        <v>996</v>
      </c>
      <c r="K1208" s="259" t="str">
        <f>HYPERLINK("https://okcountyrecords.com/detail/roger+mills/1989-003715","OKCountyRecords: 1989-003715")</f>
        <v>OKCountyRecords: 1989-003715</v>
      </c>
    </row>
    <row r="1209" spans="1:11" ht="32.1" customHeight="1" x14ac:dyDescent="0.25">
      <c r="A1209" s="278" t="s">
        <v>2220</v>
      </c>
      <c r="B1209" s="266"/>
      <c r="C1209" s="266" t="s">
        <v>1623</v>
      </c>
      <c r="D1209" s="283" t="s">
        <v>6932</v>
      </c>
      <c r="E1209" s="291"/>
      <c r="F1209" s="295">
        <v>32706</v>
      </c>
      <c r="G1209" s="287" t="s">
        <v>6934</v>
      </c>
      <c r="H1209" s="266" t="s">
        <v>2222</v>
      </c>
      <c r="I1209" s="268" t="s">
        <v>5812</v>
      </c>
      <c r="J1209" s="299" t="s">
        <v>1625</v>
      </c>
      <c r="K1209" s="259" t="str">
        <f>HYPERLINK("https://okcountyrecords.com/detail/roger+mills/1989-004252","OKCountyRecords: 1989-004252")</f>
        <v>OKCountyRecords: 1989-004252</v>
      </c>
    </row>
    <row r="1210" spans="1:11" ht="32.1" customHeight="1" x14ac:dyDescent="0.25">
      <c r="A1210" s="278" t="s">
        <v>2223</v>
      </c>
      <c r="B1210" s="266"/>
      <c r="C1210" s="266" t="s">
        <v>969</v>
      </c>
      <c r="D1210" s="283" t="s">
        <v>6936</v>
      </c>
      <c r="E1210" s="291"/>
      <c r="F1210" s="295">
        <v>32706</v>
      </c>
      <c r="G1210" s="287" t="s">
        <v>6937</v>
      </c>
      <c r="H1210" s="266" t="s">
        <v>433</v>
      </c>
      <c r="I1210" s="268" t="s">
        <v>5812</v>
      </c>
      <c r="J1210" s="299" t="s">
        <v>985</v>
      </c>
      <c r="K1210" s="259" t="str">
        <f>HYPERLINK("https://okcountyrecords.com/detail/roger+mills/1989-004248","OKCountyRecords: 1989-004248")</f>
        <v>OKCountyRecords: 1989-004248</v>
      </c>
    </row>
    <row r="1211" spans="1:11" ht="32.1" customHeight="1" x14ac:dyDescent="0.25">
      <c r="A1211" s="278" t="s">
        <v>2225</v>
      </c>
      <c r="B1211" s="266"/>
      <c r="C1211" s="266" t="s">
        <v>969</v>
      </c>
      <c r="D1211" s="283" t="s">
        <v>6939</v>
      </c>
      <c r="E1211" s="291"/>
      <c r="F1211" s="295">
        <v>32706</v>
      </c>
      <c r="G1211" s="287" t="s">
        <v>6934</v>
      </c>
      <c r="H1211" s="266" t="s">
        <v>2227</v>
      </c>
      <c r="I1211" s="268" t="s">
        <v>5812</v>
      </c>
      <c r="J1211" s="299" t="s">
        <v>985</v>
      </c>
      <c r="K1211" s="259" t="str">
        <f>HYPERLINK("https://okcountyrecords.com/detail/roger+mills/1989-004249","OKCountyRecords: 1989-004249")</f>
        <v>OKCountyRecords: 1989-004249</v>
      </c>
    </row>
    <row r="1212" spans="1:11" ht="32.1" customHeight="1" x14ac:dyDescent="0.25">
      <c r="A1212" s="278" t="s">
        <v>2228</v>
      </c>
      <c r="B1212" s="266"/>
      <c r="C1212" s="266" t="s">
        <v>969</v>
      </c>
      <c r="D1212" s="283" t="s">
        <v>6941</v>
      </c>
      <c r="E1212" s="291"/>
      <c r="F1212" s="295">
        <v>32706</v>
      </c>
      <c r="G1212" s="287" t="s">
        <v>6934</v>
      </c>
      <c r="H1212" s="266" t="s">
        <v>2230</v>
      </c>
      <c r="I1212" s="268" t="s">
        <v>5812</v>
      </c>
      <c r="J1212" s="299" t="s">
        <v>985</v>
      </c>
      <c r="K1212" s="259" t="str">
        <f>HYPERLINK("https://okcountyrecords.com/detail/roger+mills/1989-004250","OKCountyRecords: 1989-004250")</f>
        <v>OKCountyRecords: 1989-004250</v>
      </c>
    </row>
    <row r="1213" spans="1:11" ht="32.1" customHeight="1" x14ac:dyDescent="0.25">
      <c r="A1213" s="278" t="s">
        <v>2231</v>
      </c>
      <c r="B1213" s="266"/>
      <c r="C1213" s="266" t="s">
        <v>969</v>
      </c>
      <c r="D1213" s="283" t="s">
        <v>6943</v>
      </c>
      <c r="E1213" s="291"/>
      <c r="F1213" s="295">
        <v>32706</v>
      </c>
      <c r="G1213" s="287" t="s">
        <v>6934</v>
      </c>
      <c r="H1213" s="266" t="s">
        <v>1941</v>
      </c>
      <c r="I1213" s="268" t="s">
        <v>5812</v>
      </c>
      <c r="J1213" s="299" t="s">
        <v>985</v>
      </c>
      <c r="K1213" s="259" t="str">
        <f>HYPERLINK("https://okcountyrecords.com/detail/roger+mills/1989-004251","OKCountyRecords: 1989-004251")</f>
        <v>OKCountyRecords: 1989-004251</v>
      </c>
    </row>
    <row r="1214" spans="1:11" ht="32.1" customHeight="1" x14ac:dyDescent="0.25">
      <c r="A1214" s="278" t="s">
        <v>2233</v>
      </c>
      <c r="B1214" s="266"/>
      <c r="C1214" s="266" t="s">
        <v>969</v>
      </c>
      <c r="D1214" s="283" t="s">
        <v>6945</v>
      </c>
      <c r="E1214" s="291"/>
      <c r="F1214" s="295">
        <v>32706</v>
      </c>
      <c r="G1214" s="287" t="s">
        <v>6934</v>
      </c>
      <c r="H1214" s="266" t="s">
        <v>2235</v>
      </c>
      <c r="I1214" s="268" t="s">
        <v>5812</v>
      </c>
      <c r="J1214" s="299" t="s">
        <v>985</v>
      </c>
      <c r="K1214" s="259" t="str">
        <f>HYPERLINK("https://okcountyrecords.com/detail/roger+mills/1989-004253","OKCountyRecords: 1989-004253")</f>
        <v>OKCountyRecords: 1989-004253</v>
      </c>
    </row>
    <row r="1215" spans="1:11" ht="32.1" customHeight="1" x14ac:dyDescent="0.25">
      <c r="A1215" s="278" t="s">
        <v>2236</v>
      </c>
      <c r="B1215" s="266"/>
      <c r="C1215" s="266" t="s">
        <v>969</v>
      </c>
      <c r="D1215" s="283" t="s">
        <v>6947</v>
      </c>
      <c r="E1215" s="291"/>
      <c r="F1215" s="295">
        <v>32706</v>
      </c>
      <c r="G1215" s="287" t="s">
        <v>6934</v>
      </c>
      <c r="H1215" s="266" t="s">
        <v>2238</v>
      </c>
      <c r="I1215" s="268" t="s">
        <v>5812</v>
      </c>
      <c r="J1215" s="299" t="s">
        <v>985</v>
      </c>
      <c r="K1215" s="259" t="str">
        <f>HYPERLINK("https://okcountyrecords.com/detail/roger+mills/1989-004254","OKCountyRecords: 1989-004254")</f>
        <v>OKCountyRecords: 1989-004254</v>
      </c>
    </row>
    <row r="1216" spans="1:11" ht="32.1" customHeight="1" x14ac:dyDescent="0.25">
      <c r="A1216" s="278" t="s">
        <v>2239</v>
      </c>
      <c r="B1216" s="266"/>
      <c r="C1216" s="266" t="s">
        <v>969</v>
      </c>
      <c r="D1216" s="283" t="s">
        <v>6949</v>
      </c>
      <c r="E1216" s="291"/>
      <c r="F1216" s="295">
        <v>32706</v>
      </c>
      <c r="G1216" s="287" t="s">
        <v>6934</v>
      </c>
      <c r="H1216" s="266" t="s">
        <v>2241</v>
      </c>
      <c r="I1216" s="268" t="s">
        <v>5812</v>
      </c>
      <c r="J1216" s="299" t="s">
        <v>985</v>
      </c>
      <c r="K1216" s="259" t="str">
        <f>HYPERLINK("https://okcountyrecords.com/detail/roger+mills/1989-004255","OKCountyRecords: 1989-004255")</f>
        <v>OKCountyRecords: 1989-004255</v>
      </c>
    </row>
    <row r="1217" spans="1:11" ht="32.1" customHeight="1" x14ac:dyDescent="0.25">
      <c r="A1217" s="278" t="s">
        <v>2242</v>
      </c>
      <c r="B1217" s="266"/>
      <c r="C1217" s="266" t="s">
        <v>969</v>
      </c>
      <c r="D1217" s="283" t="s">
        <v>6951</v>
      </c>
      <c r="E1217" s="291"/>
      <c r="F1217" s="295">
        <v>32706</v>
      </c>
      <c r="G1217" s="287" t="s">
        <v>6934</v>
      </c>
      <c r="H1217" s="266" t="s">
        <v>2244</v>
      </c>
      <c r="I1217" s="268" t="s">
        <v>5812</v>
      </c>
      <c r="J1217" s="299" t="s">
        <v>985</v>
      </c>
      <c r="K1217" s="259" t="str">
        <f>HYPERLINK("https://okcountyrecords.com/detail/roger+mills/1989-004256","OKCountyRecords: 1989-004256")</f>
        <v>OKCountyRecords: 1989-004256</v>
      </c>
    </row>
    <row r="1218" spans="1:11" ht="32.1" customHeight="1" x14ac:dyDescent="0.25">
      <c r="A1218" s="278" t="s">
        <v>2245</v>
      </c>
      <c r="B1218" s="266"/>
      <c r="C1218" s="266" t="s">
        <v>993</v>
      </c>
      <c r="D1218" s="283" t="s">
        <v>6953</v>
      </c>
      <c r="E1218" s="291"/>
      <c r="F1218" s="295">
        <v>32709</v>
      </c>
      <c r="G1218" s="287" t="s">
        <v>2247</v>
      </c>
      <c r="H1218" s="266" t="s">
        <v>2248</v>
      </c>
      <c r="I1218" s="268" t="s">
        <v>5812</v>
      </c>
      <c r="J1218" s="299" t="s">
        <v>996</v>
      </c>
      <c r="K1218" s="259" t="str">
        <f>HYPERLINK("https://okcountyrecords.com/detail/roger+mills/1989-004295","OKCountyRecords: 1989-004295")</f>
        <v>OKCountyRecords: 1989-004295</v>
      </c>
    </row>
    <row r="1219" spans="1:11" ht="32.1" customHeight="1" x14ac:dyDescent="0.25">
      <c r="A1219" s="278" t="s">
        <v>2249</v>
      </c>
      <c r="B1219" s="266"/>
      <c r="C1219" s="266" t="s">
        <v>114</v>
      </c>
      <c r="D1219" s="283" t="s">
        <v>6956</v>
      </c>
      <c r="E1219" s="291"/>
      <c r="F1219" s="295">
        <v>32713</v>
      </c>
      <c r="G1219" s="287" t="s">
        <v>2251</v>
      </c>
      <c r="H1219" s="266" t="s">
        <v>2252</v>
      </c>
      <c r="I1219" s="268" t="s">
        <v>5812</v>
      </c>
      <c r="J1219" s="299" t="s">
        <v>996</v>
      </c>
      <c r="K1219" s="259" t="str">
        <f>HYPERLINK("https://okcountyrecords.com/detail/roger+mills/1989-004361","OKCountyRecords: 1989-004361")</f>
        <v>OKCountyRecords: 1989-004361</v>
      </c>
    </row>
    <row r="1220" spans="1:11" ht="32.1" customHeight="1" x14ac:dyDescent="0.25">
      <c r="A1220" s="278" t="s">
        <v>2253</v>
      </c>
      <c r="B1220" s="266"/>
      <c r="C1220" s="266" t="s">
        <v>993</v>
      </c>
      <c r="D1220" s="283" t="s">
        <v>6959</v>
      </c>
      <c r="E1220" s="291"/>
      <c r="F1220" s="295">
        <v>32787</v>
      </c>
      <c r="G1220" s="287" t="s">
        <v>2031</v>
      </c>
      <c r="H1220" s="266" t="s">
        <v>2255</v>
      </c>
      <c r="I1220" s="268" t="s">
        <v>5812</v>
      </c>
      <c r="J1220" s="299" t="s">
        <v>996</v>
      </c>
      <c r="K1220" s="259" t="str">
        <f>HYPERLINK("https://okcountyrecords.com/detail/roger+mills/1989-005584","OKCountyRecords: 1989-005584")</f>
        <v>OKCountyRecords: 1989-005584</v>
      </c>
    </row>
    <row r="1221" spans="1:11" ht="32.1" customHeight="1" x14ac:dyDescent="0.25">
      <c r="A1221" s="278" t="s">
        <v>2256</v>
      </c>
      <c r="B1221" s="266"/>
      <c r="C1221" s="266" t="s">
        <v>114</v>
      </c>
      <c r="D1221" s="283" t="s">
        <v>6962</v>
      </c>
      <c r="E1221" s="291"/>
      <c r="F1221" s="295">
        <v>32787</v>
      </c>
      <c r="G1221" s="287" t="s">
        <v>2031</v>
      </c>
      <c r="H1221" s="266" t="s">
        <v>2258</v>
      </c>
      <c r="I1221" s="268" t="s">
        <v>5812</v>
      </c>
      <c r="J1221" s="299" t="s">
        <v>996</v>
      </c>
      <c r="K1221" s="259" t="str">
        <f>HYPERLINK("https://okcountyrecords.com/detail/roger+mills/1989-005585","OKCountyRecords: 1989-005585")</f>
        <v>OKCountyRecords: 1989-005585</v>
      </c>
    </row>
    <row r="1222" spans="1:11" ht="32.1" customHeight="1" x14ac:dyDescent="0.25">
      <c r="A1222" s="278" t="s">
        <v>2259</v>
      </c>
      <c r="B1222" s="266"/>
      <c r="C1222" s="266" t="s">
        <v>1274</v>
      </c>
      <c r="D1222" s="283" t="s">
        <v>6964</v>
      </c>
      <c r="E1222" s="291"/>
      <c r="F1222" s="295">
        <v>32794</v>
      </c>
      <c r="G1222" s="287" t="s">
        <v>2261</v>
      </c>
      <c r="H1222" s="266" t="s">
        <v>2262</v>
      </c>
      <c r="I1222" s="268" t="s">
        <v>5812</v>
      </c>
      <c r="J1222" s="299" t="s">
        <v>985</v>
      </c>
      <c r="K1222" s="259" t="str">
        <f>HYPERLINK("https://okcountyrecords.com/detail/roger+mills/1989-005656","OKCountyRecords: 1989-005656")</f>
        <v>OKCountyRecords: 1989-005656</v>
      </c>
    </row>
    <row r="1223" spans="1:11" ht="32.1" customHeight="1" x14ac:dyDescent="0.25">
      <c r="A1223" s="278" t="s">
        <v>2263</v>
      </c>
      <c r="B1223" s="266"/>
      <c r="C1223" s="266" t="s">
        <v>309</v>
      </c>
      <c r="D1223" s="283" t="s">
        <v>467</v>
      </c>
      <c r="E1223" s="291"/>
      <c r="F1223" s="295">
        <v>32800</v>
      </c>
      <c r="G1223" s="287" t="s">
        <v>411</v>
      </c>
      <c r="H1223" s="266" t="s">
        <v>266</v>
      </c>
      <c r="I1223" s="268" t="s">
        <v>242</v>
      </c>
      <c r="J1223" s="299" t="s">
        <v>996</v>
      </c>
      <c r="K1223" s="259" t="str">
        <f>HYPERLINK("https://okcountyrecords.com/detail/roger+mills/1989-005730","OKCountyRecords: 1989-005730")</f>
        <v>OKCountyRecords: 1989-005730</v>
      </c>
    </row>
    <row r="1224" spans="1:11" ht="32.1" customHeight="1" x14ac:dyDescent="0.25">
      <c r="A1224" s="278" t="s">
        <v>2265</v>
      </c>
      <c r="B1224" s="266"/>
      <c r="C1224" s="266" t="s">
        <v>114</v>
      </c>
      <c r="D1224" s="283" t="s">
        <v>6969</v>
      </c>
      <c r="E1224" s="291"/>
      <c r="F1224" s="295">
        <v>32800</v>
      </c>
      <c r="G1224" s="287" t="s">
        <v>266</v>
      </c>
      <c r="H1224" s="266" t="s">
        <v>2267</v>
      </c>
      <c r="I1224" s="268" t="s">
        <v>242</v>
      </c>
      <c r="J1224" s="299" t="s">
        <v>996</v>
      </c>
      <c r="K1224" s="259" t="str">
        <f>HYPERLINK("https://okcountyrecords.com/detail/roger+mills/1989-005731","OKCountyRecords: 1989-005731")</f>
        <v>OKCountyRecords: 1989-005731</v>
      </c>
    </row>
    <row r="1225" spans="1:11" ht="32.1" customHeight="1" x14ac:dyDescent="0.25">
      <c r="A1225" s="278" t="s">
        <v>2268</v>
      </c>
      <c r="B1225" s="266"/>
      <c r="C1225" s="266" t="s">
        <v>1091</v>
      </c>
      <c r="D1225" s="283" t="s">
        <v>6971</v>
      </c>
      <c r="E1225" s="291"/>
      <c r="F1225" s="295">
        <v>32806</v>
      </c>
      <c r="G1225" s="287" t="s">
        <v>712</v>
      </c>
      <c r="H1225" s="266" t="s">
        <v>602</v>
      </c>
      <c r="I1225" s="268" t="s">
        <v>5812</v>
      </c>
      <c r="J1225" s="299" t="s">
        <v>1095</v>
      </c>
      <c r="K1225" s="259" t="str">
        <f>HYPERLINK("https://okcountyrecords.com/detail/roger+mills/1989-005860","OKCountyRecords: 1989-005860")</f>
        <v>OKCountyRecords: 1989-005860</v>
      </c>
    </row>
    <row r="1226" spans="1:11" ht="32.1" customHeight="1" x14ac:dyDescent="0.25">
      <c r="A1226" s="278" t="s">
        <v>2270</v>
      </c>
      <c r="B1226" s="266"/>
      <c r="C1226" s="266" t="s">
        <v>969</v>
      </c>
      <c r="D1226" s="283" t="s">
        <v>6974</v>
      </c>
      <c r="E1226" s="291"/>
      <c r="F1226" s="295">
        <v>32847</v>
      </c>
      <c r="G1226" s="287" t="s">
        <v>2065</v>
      </c>
      <c r="H1226" s="266" t="s">
        <v>2272</v>
      </c>
      <c r="I1226" s="268" t="s">
        <v>5812</v>
      </c>
      <c r="J1226" s="299" t="s">
        <v>985</v>
      </c>
      <c r="K1226" s="259" t="str">
        <f>HYPERLINK("https://okcountyrecords.com/detail/roger+mills/1989-006590","OKCountyRecords: 1989-006590")</f>
        <v>OKCountyRecords: 1989-006590</v>
      </c>
    </row>
    <row r="1227" spans="1:11" ht="32.1" customHeight="1" x14ac:dyDescent="0.25">
      <c r="A1227" s="278" t="s">
        <v>2273</v>
      </c>
      <c r="B1227" s="266"/>
      <c r="C1227" s="266" t="s">
        <v>309</v>
      </c>
      <c r="D1227" s="283" t="s">
        <v>468</v>
      </c>
      <c r="E1227" s="291"/>
      <c r="F1227" s="295">
        <v>32864</v>
      </c>
      <c r="G1227" s="287" t="s">
        <v>286</v>
      </c>
      <c r="H1227" s="266" t="s">
        <v>928</v>
      </c>
      <c r="I1227" s="268" t="s">
        <v>242</v>
      </c>
      <c r="J1227" s="299" t="s">
        <v>996</v>
      </c>
      <c r="K1227" s="259" t="str">
        <f>HYPERLINK("https://okcountyrecords.com/detail/roger+mills/1989-006908","OKCountyRecords: 1989-006908")</f>
        <v>OKCountyRecords: 1989-006908</v>
      </c>
    </row>
    <row r="1228" spans="1:11" ht="32.1" customHeight="1" x14ac:dyDescent="0.25">
      <c r="A1228" s="278" t="s">
        <v>2275</v>
      </c>
      <c r="B1228" s="266"/>
      <c r="C1228" s="266" t="s">
        <v>309</v>
      </c>
      <c r="D1228" s="283" t="s">
        <v>469</v>
      </c>
      <c r="E1228" s="291"/>
      <c r="F1228" s="295">
        <v>32864</v>
      </c>
      <c r="G1228" s="287" t="s">
        <v>470</v>
      </c>
      <c r="H1228" s="266" t="s">
        <v>928</v>
      </c>
      <c r="I1228" s="268" t="s">
        <v>242</v>
      </c>
      <c r="J1228" s="299" t="s">
        <v>996</v>
      </c>
      <c r="K1228" s="259" t="str">
        <f>HYPERLINK("https://okcountyrecords.com/detail/roger+mills/1989-006910","OKCountyRecords: 1989-006910")</f>
        <v>OKCountyRecords: 1989-006910</v>
      </c>
    </row>
    <row r="1229" spans="1:11" ht="32.1" customHeight="1" x14ac:dyDescent="0.25">
      <c r="A1229" s="278" t="s">
        <v>2277</v>
      </c>
      <c r="B1229" s="266"/>
      <c r="C1229" s="266" t="s">
        <v>969</v>
      </c>
      <c r="D1229" s="283" t="s">
        <v>6980</v>
      </c>
      <c r="E1229" s="291"/>
      <c r="F1229" s="295">
        <v>32869</v>
      </c>
      <c r="G1229" s="287" t="s">
        <v>2279</v>
      </c>
      <c r="H1229" s="266" t="s">
        <v>577</v>
      </c>
      <c r="I1229" s="268" t="s">
        <v>5812</v>
      </c>
      <c r="J1229" s="299" t="s">
        <v>985</v>
      </c>
      <c r="K1229" s="259" t="str">
        <f>HYPERLINK("https://okcountyrecords.com/detail/roger+mills/1989-007000","OKCountyRecords: 1989-007000")</f>
        <v>OKCountyRecords: 1989-007000</v>
      </c>
    </row>
    <row r="1230" spans="1:11" ht="32.1" customHeight="1" x14ac:dyDescent="0.25">
      <c r="A1230" s="278" t="s">
        <v>2280</v>
      </c>
      <c r="B1230" s="266"/>
      <c r="C1230" s="266" t="s">
        <v>969</v>
      </c>
      <c r="D1230" s="283" t="s">
        <v>6983</v>
      </c>
      <c r="E1230" s="291"/>
      <c r="F1230" s="295">
        <v>32869</v>
      </c>
      <c r="G1230" s="287" t="s">
        <v>2279</v>
      </c>
      <c r="H1230" s="266" t="s">
        <v>571</v>
      </c>
      <c r="I1230" s="268" t="s">
        <v>5812</v>
      </c>
      <c r="J1230" s="299" t="s">
        <v>985</v>
      </c>
      <c r="K1230" s="259" t="str">
        <f>HYPERLINK("https://okcountyrecords.com/detail/roger+mills/1989-007001","OKCountyRecords: 1989-007001")</f>
        <v>OKCountyRecords: 1989-007001</v>
      </c>
    </row>
    <row r="1231" spans="1:11" ht="32.1" customHeight="1" x14ac:dyDescent="0.25">
      <c r="A1231" s="278" t="s">
        <v>2282</v>
      </c>
      <c r="B1231" s="266"/>
      <c r="C1231" s="266" t="s">
        <v>993</v>
      </c>
      <c r="D1231" s="283" t="s">
        <v>6985</v>
      </c>
      <c r="E1231" s="291"/>
      <c r="F1231" s="295">
        <v>32897</v>
      </c>
      <c r="G1231" s="287" t="s">
        <v>2284</v>
      </c>
      <c r="H1231" s="266" t="s">
        <v>2285</v>
      </c>
      <c r="I1231" s="268" t="s">
        <v>5812</v>
      </c>
      <c r="J1231" s="299" t="s">
        <v>996</v>
      </c>
      <c r="K1231" s="259" t="str">
        <f>HYPERLINK("https://okcountyrecords.com/detail/roger+mills/1990-000386","OKCountyRecords: 1990-000386")</f>
        <v>OKCountyRecords: 1990-000386</v>
      </c>
    </row>
    <row r="1232" spans="1:11" ht="32.1" customHeight="1" x14ac:dyDescent="0.25">
      <c r="A1232" s="278" t="s">
        <v>2286</v>
      </c>
      <c r="B1232" s="266"/>
      <c r="C1232" s="266" t="s">
        <v>114</v>
      </c>
      <c r="D1232" s="283" t="s">
        <v>6988</v>
      </c>
      <c r="E1232" s="291"/>
      <c r="F1232" s="295">
        <v>32903</v>
      </c>
      <c r="G1232" s="287" t="s">
        <v>928</v>
      </c>
      <c r="H1232" s="266" t="s">
        <v>2288</v>
      </c>
      <c r="I1232" s="268" t="s">
        <v>5812</v>
      </c>
      <c r="J1232" s="299" t="s">
        <v>996</v>
      </c>
      <c r="K1232" s="259" t="str">
        <f>HYPERLINK("https://okcountyrecords.com/detail/roger+mills/1990-000534","OKCountyRecords: 1990-000534")</f>
        <v>OKCountyRecords: 1990-000534</v>
      </c>
    </row>
    <row r="1233" spans="1:11" ht="32.1" customHeight="1" x14ac:dyDescent="0.25">
      <c r="A1233" s="278" t="s">
        <v>2289</v>
      </c>
      <c r="B1233" s="266"/>
      <c r="C1233" s="266" t="s">
        <v>309</v>
      </c>
      <c r="D1233" s="283" t="s">
        <v>476</v>
      </c>
      <c r="E1233" s="291"/>
      <c r="F1233" s="295">
        <v>32903</v>
      </c>
      <c r="G1233" s="287" t="s">
        <v>1941</v>
      </c>
      <c r="H1233" s="266" t="s">
        <v>928</v>
      </c>
      <c r="I1233" s="268" t="s">
        <v>5812</v>
      </c>
      <c r="J1233" s="299" t="s">
        <v>996</v>
      </c>
      <c r="K1233" s="259" t="str">
        <f>HYPERLINK("https://okcountyrecords.com/detail/roger+mills/1990-000535","OKCountyRecords: 1990-000535")</f>
        <v>OKCountyRecords: 1990-000535</v>
      </c>
    </row>
    <row r="1234" spans="1:11" ht="32.1" customHeight="1" x14ac:dyDescent="0.25">
      <c r="A1234" s="278" t="s">
        <v>2291</v>
      </c>
      <c r="B1234" s="266"/>
      <c r="C1234" s="266" t="s">
        <v>309</v>
      </c>
      <c r="D1234" s="283" t="s">
        <v>477</v>
      </c>
      <c r="E1234" s="291"/>
      <c r="F1234" s="295">
        <v>32903</v>
      </c>
      <c r="G1234" s="287" t="s">
        <v>478</v>
      </c>
      <c r="H1234" s="266" t="s">
        <v>2293</v>
      </c>
      <c r="I1234" s="268" t="s">
        <v>242</v>
      </c>
      <c r="J1234" s="299" t="s">
        <v>996</v>
      </c>
      <c r="K1234" s="259" t="str">
        <f>HYPERLINK("https://okcountyrecords.com/detail/roger+mills/1990-000536","OKCountyRecords: 1990-000536")</f>
        <v>OKCountyRecords: 1990-000536</v>
      </c>
    </row>
    <row r="1235" spans="1:11" ht="32.1" customHeight="1" x14ac:dyDescent="0.25">
      <c r="A1235" s="278" t="s">
        <v>2294</v>
      </c>
      <c r="B1235" s="266"/>
      <c r="C1235" s="266" t="s">
        <v>309</v>
      </c>
      <c r="D1235" s="283" t="s">
        <v>479</v>
      </c>
      <c r="E1235" s="291"/>
      <c r="F1235" s="295">
        <v>32903</v>
      </c>
      <c r="G1235" s="287" t="s">
        <v>480</v>
      </c>
      <c r="H1235" s="266" t="s">
        <v>2293</v>
      </c>
      <c r="I1235" s="268" t="s">
        <v>242</v>
      </c>
      <c r="J1235" s="299" t="s">
        <v>996</v>
      </c>
      <c r="K1235" s="259" t="str">
        <f>HYPERLINK("https://okcountyrecords.com/detail/roger+mills/1990-000537","OKCountyRecords: 1990-000537")</f>
        <v>OKCountyRecords: 1990-000537</v>
      </c>
    </row>
    <row r="1236" spans="1:11" ht="32.1" customHeight="1" x14ac:dyDescent="0.25">
      <c r="A1236" s="278" t="s">
        <v>2296</v>
      </c>
      <c r="B1236" s="266"/>
      <c r="C1236" s="266" t="s">
        <v>309</v>
      </c>
      <c r="D1236" s="283" t="s">
        <v>481</v>
      </c>
      <c r="E1236" s="291"/>
      <c r="F1236" s="295">
        <v>32903</v>
      </c>
      <c r="G1236" s="287" t="s">
        <v>482</v>
      </c>
      <c r="H1236" s="266" t="s">
        <v>2293</v>
      </c>
      <c r="I1236" s="268" t="s">
        <v>242</v>
      </c>
      <c r="J1236" s="299" t="s">
        <v>996</v>
      </c>
      <c r="K1236" s="259" t="str">
        <f>HYPERLINK("https://okcountyrecords.com/detail/roger+mills/1990-000538","OKCountyRecords: 1990-000538")</f>
        <v>OKCountyRecords: 1990-000538</v>
      </c>
    </row>
    <row r="1237" spans="1:11" ht="32.1" customHeight="1" x14ac:dyDescent="0.25">
      <c r="A1237" s="278" t="s">
        <v>2298</v>
      </c>
      <c r="B1237" s="266"/>
      <c r="C1237" s="266" t="s">
        <v>309</v>
      </c>
      <c r="D1237" s="283" t="s">
        <v>471</v>
      </c>
      <c r="E1237" s="291"/>
      <c r="F1237" s="295">
        <v>32903</v>
      </c>
      <c r="G1237" s="287" t="s">
        <v>472</v>
      </c>
      <c r="H1237" s="266" t="s">
        <v>2293</v>
      </c>
      <c r="I1237" s="268" t="s">
        <v>242</v>
      </c>
      <c r="J1237" s="299" t="s">
        <v>996</v>
      </c>
      <c r="K1237" s="259" t="str">
        <f>HYPERLINK("https://okcountyrecords.com/detail/roger+mills/1990-000539","OKCountyRecords: 1990-000539")</f>
        <v>OKCountyRecords: 1990-000539</v>
      </c>
    </row>
    <row r="1238" spans="1:11" ht="32.1" customHeight="1" x14ac:dyDescent="0.25">
      <c r="A1238" s="278" t="s">
        <v>2300</v>
      </c>
      <c r="B1238" s="266"/>
      <c r="C1238" s="266" t="s">
        <v>309</v>
      </c>
      <c r="D1238" s="283" t="s">
        <v>474</v>
      </c>
      <c r="E1238" s="291"/>
      <c r="F1238" s="295">
        <v>32903</v>
      </c>
      <c r="G1238" s="287" t="s">
        <v>475</v>
      </c>
      <c r="H1238" s="266" t="s">
        <v>928</v>
      </c>
      <c r="I1238" s="268" t="s">
        <v>5812</v>
      </c>
      <c r="J1238" s="299" t="s">
        <v>996</v>
      </c>
      <c r="K1238" s="259" t="str">
        <f>HYPERLINK("https://okcountyrecords.com/detail/roger+mills/1990-000540","OKCountyRecords: 1990-000540")</f>
        <v>OKCountyRecords: 1990-000540</v>
      </c>
    </row>
    <row r="1239" spans="1:11" ht="32.1" customHeight="1" x14ac:dyDescent="0.25">
      <c r="A1239" s="278" t="s">
        <v>2302</v>
      </c>
      <c r="B1239" s="266"/>
      <c r="C1239" s="266" t="s">
        <v>114</v>
      </c>
      <c r="D1239" s="283" t="s">
        <v>6997</v>
      </c>
      <c r="E1239" s="291"/>
      <c r="F1239" s="295">
        <v>32904</v>
      </c>
      <c r="G1239" s="287" t="s">
        <v>923</v>
      </c>
      <c r="H1239" s="266" t="s">
        <v>928</v>
      </c>
      <c r="I1239" s="268" t="s">
        <v>5812</v>
      </c>
      <c r="J1239" s="299" t="s">
        <v>996</v>
      </c>
      <c r="K1239" s="259" t="str">
        <f>HYPERLINK("https://okcountyrecords.com/detail/roger+mills/1990-000549","OKCountyRecords: 1990-000549")</f>
        <v>OKCountyRecords: 1990-000549</v>
      </c>
    </row>
    <row r="1240" spans="1:11" ht="32.1" customHeight="1" x14ac:dyDescent="0.25">
      <c r="A1240" s="278" t="s">
        <v>2304</v>
      </c>
      <c r="B1240" s="266"/>
      <c r="C1240" s="266" t="s">
        <v>114</v>
      </c>
      <c r="D1240" s="283" t="s">
        <v>7000</v>
      </c>
      <c r="E1240" s="291"/>
      <c r="F1240" s="295">
        <v>32904</v>
      </c>
      <c r="G1240" s="287" t="s">
        <v>925</v>
      </c>
      <c r="H1240" s="266" t="s">
        <v>928</v>
      </c>
      <c r="I1240" s="268" t="s">
        <v>242</v>
      </c>
      <c r="J1240" s="299" t="s">
        <v>996</v>
      </c>
      <c r="K1240" s="259" t="str">
        <f>HYPERLINK("https://okcountyrecords.com/detail/roger+mills/1990-000550","OKCountyRecords: 1990-000550")</f>
        <v>OKCountyRecords: 1990-000550</v>
      </c>
    </row>
    <row r="1241" spans="1:11" ht="32.1" customHeight="1" x14ac:dyDescent="0.25">
      <c r="A1241" s="278" t="s">
        <v>2306</v>
      </c>
      <c r="B1241" s="266"/>
      <c r="C1241" s="266" t="s">
        <v>309</v>
      </c>
      <c r="D1241" s="283" t="s">
        <v>483</v>
      </c>
      <c r="E1241" s="291"/>
      <c r="F1241" s="295">
        <v>32904</v>
      </c>
      <c r="G1241" s="287" t="s">
        <v>392</v>
      </c>
      <c r="H1241" s="266" t="s">
        <v>928</v>
      </c>
      <c r="I1241" s="268" t="s">
        <v>242</v>
      </c>
      <c r="J1241" s="299" t="s">
        <v>996</v>
      </c>
      <c r="K1241" s="259" t="str">
        <f>HYPERLINK("https://okcountyrecords.com/detail/roger+mills/1990-000551","OKCountyRecords: 1990-000551")</f>
        <v>OKCountyRecords: 1990-000551</v>
      </c>
    </row>
    <row r="1242" spans="1:11" ht="32.1" customHeight="1" x14ac:dyDescent="0.25">
      <c r="A1242" s="278" t="s">
        <v>2308</v>
      </c>
      <c r="B1242" s="266"/>
      <c r="C1242" s="266" t="s">
        <v>309</v>
      </c>
      <c r="D1242" s="283" t="s">
        <v>484</v>
      </c>
      <c r="E1242" s="291"/>
      <c r="F1242" s="295">
        <v>32904</v>
      </c>
      <c r="G1242" s="287" t="s">
        <v>7003</v>
      </c>
      <c r="H1242" s="266" t="s">
        <v>928</v>
      </c>
      <c r="I1242" s="268" t="s">
        <v>242</v>
      </c>
      <c r="J1242" s="299" t="s">
        <v>996</v>
      </c>
      <c r="K1242" s="259" t="str">
        <f>HYPERLINK("https://okcountyrecords.com/detail/roger+mills/1990-000553","OKCountyRecords: 1990-000553")</f>
        <v>OKCountyRecords: 1990-000553</v>
      </c>
    </row>
    <row r="1243" spans="1:11" ht="32.1" customHeight="1" x14ac:dyDescent="0.25">
      <c r="A1243" s="278" t="s">
        <v>2311</v>
      </c>
      <c r="B1243" s="266"/>
      <c r="C1243" s="266" t="s">
        <v>114</v>
      </c>
      <c r="D1243" s="283" t="s">
        <v>7005</v>
      </c>
      <c r="E1243" s="291"/>
      <c r="F1243" s="295">
        <v>32911</v>
      </c>
      <c r="G1243" s="287" t="s">
        <v>2313</v>
      </c>
      <c r="H1243" s="266" t="s">
        <v>2217</v>
      </c>
      <c r="I1243" s="268" t="s">
        <v>242</v>
      </c>
      <c r="J1243" s="299" t="s">
        <v>996</v>
      </c>
      <c r="K1243" s="259" t="str">
        <f>HYPERLINK("https://okcountyrecords.com/detail/roger+mills/1990-000712","OKCountyRecords: 1990-000712")</f>
        <v>OKCountyRecords: 1990-000712</v>
      </c>
    </row>
    <row r="1244" spans="1:11" ht="32.1" customHeight="1" x14ac:dyDescent="0.25">
      <c r="A1244" s="278" t="s">
        <v>2314</v>
      </c>
      <c r="B1244" s="266"/>
      <c r="C1244" s="266" t="s">
        <v>969</v>
      </c>
      <c r="D1244" s="283" t="s">
        <v>7008</v>
      </c>
      <c r="E1244" s="291"/>
      <c r="F1244" s="295">
        <v>32920</v>
      </c>
      <c r="G1244" s="287" t="s">
        <v>7010</v>
      </c>
      <c r="H1244" s="266" t="s">
        <v>400</v>
      </c>
      <c r="I1244" s="268" t="s">
        <v>5812</v>
      </c>
      <c r="J1244" s="299" t="s">
        <v>985</v>
      </c>
      <c r="K1244" s="259" t="str">
        <f>HYPERLINK("https://okcountyrecords.com/detail/roger+mills/1990-000905","OKCountyRecords: 1990-000905")</f>
        <v>OKCountyRecords: 1990-000905</v>
      </c>
    </row>
    <row r="1245" spans="1:11" ht="32.1" customHeight="1" x14ac:dyDescent="0.25">
      <c r="A1245" s="278" t="s">
        <v>2316</v>
      </c>
      <c r="B1245" s="266"/>
      <c r="C1245" s="266" t="s">
        <v>969</v>
      </c>
      <c r="D1245" s="283" t="s">
        <v>7012</v>
      </c>
      <c r="E1245" s="291"/>
      <c r="F1245" s="295">
        <v>32920</v>
      </c>
      <c r="G1245" s="287" t="s">
        <v>7010</v>
      </c>
      <c r="H1245" s="266" t="s">
        <v>1737</v>
      </c>
      <c r="I1245" s="268" t="s">
        <v>5812</v>
      </c>
      <c r="J1245" s="299" t="s">
        <v>985</v>
      </c>
      <c r="K1245" s="259" t="str">
        <f>HYPERLINK("https://okcountyrecords.com/detail/roger+mills/1990-000906","OKCountyRecords: 1990-000906")</f>
        <v>OKCountyRecords: 1990-000906</v>
      </c>
    </row>
    <row r="1246" spans="1:11" ht="32.1" customHeight="1" x14ac:dyDescent="0.25">
      <c r="A1246" s="278" t="s">
        <v>2318</v>
      </c>
      <c r="B1246" s="266"/>
      <c r="C1246" s="266" t="s">
        <v>969</v>
      </c>
      <c r="D1246" s="283" t="s">
        <v>7014</v>
      </c>
      <c r="E1246" s="291"/>
      <c r="F1246" s="295">
        <v>32920</v>
      </c>
      <c r="G1246" s="287" t="s">
        <v>7015</v>
      </c>
      <c r="H1246" s="266" t="s">
        <v>395</v>
      </c>
      <c r="I1246" s="268" t="s">
        <v>5812</v>
      </c>
      <c r="J1246" s="299" t="s">
        <v>985</v>
      </c>
      <c r="K1246" s="259" t="str">
        <f>HYPERLINK("https://okcountyrecords.com/detail/roger+mills/1990-000907","OKCountyRecords: 1990-000907")</f>
        <v>OKCountyRecords: 1990-000907</v>
      </c>
    </row>
    <row r="1247" spans="1:11" ht="32.1" customHeight="1" x14ac:dyDescent="0.25">
      <c r="A1247" s="278" t="s">
        <v>2320</v>
      </c>
      <c r="B1247" s="266"/>
      <c r="C1247" s="266" t="s">
        <v>969</v>
      </c>
      <c r="D1247" s="283" t="s">
        <v>7017</v>
      </c>
      <c r="E1247" s="291"/>
      <c r="F1247" s="295">
        <v>32920</v>
      </c>
      <c r="G1247" s="287" t="s">
        <v>7010</v>
      </c>
      <c r="H1247" s="266" t="s">
        <v>392</v>
      </c>
      <c r="I1247" s="268" t="s">
        <v>5812</v>
      </c>
      <c r="J1247" s="299" t="s">
        <v>985</v>
      </c>
      <c r="K1247" s="259" t="str">
        <f>HYPERLINK("https://okcountyrecords.com/detail/roger+mills/1990-000908","OKCountyRecords: 1990-000908")</f>
        <v>OKCountyRecords: 1990-000908</v>
      </c>
    </row>
    <row r="1248" spans="1:11" ht="32.1" customHeight="1" x14ac:dyDescent="0.25">
      <c r="A1248" s="278" t="s">
        <v>2322</v>
      </c>
      <c r="B1248" s="266"/>
      <c r="C1248" s="266" t="s">
        <v>969</v>
      </c>
      <c r="D1248" s="283" t="s">
        <v>7019</v>
      </c>
      <c r="E1248" s="291"/>
      <c r="F1248" s="295">
        <v>32920</v>
      </c>
      <c r="G1248" s="287" t="s">
        <v>7010</v>
      </c>
      <c r="H1248" s="266" t="s">
        <v>1604</v>
      </c>
      <c r="I1248" s="268" t="s">
        <v>5812</v>
      </c>
      <c r="J1248" s="299" t="s">
        <v>985</v>
      </c>
      <c r="K1248" s="259" t="str">
        <f>HYPERLINK("https://okcountyrecords.com/detail/roger+mills/1990-000909","OKCountyRecords: 1990-000909")</f>
        <v>OKCountyRecords: 1990-000909</v>
      </c>
    </row>
    <row r="1249" spans="1:11" ht="32.1" customHeight="1" x14ac:dyDescent="0.25">
      <c r="A1249" s="278" t="s">
        <v>2324</v>
      </c>
      <c r="B1249" s="266"/>
      <c r="C1249" s="266" t="s">
        <v>969</v>
      </c>
      <c r="D1249" s="283" t="s">
        <v>7021</v>
      </c>
      <c r="E1249" s="291"/>
      <c r="F1249" s="295">
        <v>32920</v>
      </c>
      <c r="G1249" s="287" t="s">
        <v>7010</v>
      </c>
      <c r="H1249" s="266" t="s">
        <v>397</v>
      </c>
      <c r="I1249" s="268" t="s">
        <v>5812</v>
      </c>
      <c r="J1249" s="299" t="s">
        <v>985</v>
      </c>
      <c r="K1249" s="259" t="str">
        <f>HYPERLINK("https://okcountyrecords.com/detail/roger+mills/1990-000910","OKCountyRecords: 1990-000910")</f>
        <v>OKCountyRecords: 1990-000910</v>
      </c>
    </row>
    <row r="1250" spans="1:11" ht="32.1" customHeight="1" x14ac:dyDescent="0.25">
      <c r="A1250" s="278" t="s">
        <v>2326</v>
      </c>
      <c r="B1250" s="266"/>
      <c r="C1250" s="266" t="s">
        <v>969</v>
      </c>
      <c r="D1250" s="283" t="s">
        <v>7023</v>
      </c>
      <c r="E1250" s="291"/>
      <c r="F1250" s="295">
        <v>32920</v>
      </c>
      <c r="G1250" s="287" t="s">
        <v>7010</v>
      </c>
      <c r="H1250" s="266" t="s">
        <v>573</v>
      </c>
      <c r="I1250" s="268" t="s">
        <v>5812</v>
      </c>
      <c r="J1250" s="299" t="s">
        <v>985</v>
      </c>
      <c r="K1250" s="259" t="str">
        <f>HYPERLINK("https://okcountyrecords.com/detail/roger+mills/1990-000911","OKCountyRecords: 1990-000911")</f>
        <v>OKCountyRecords: 1990-000911</v>
      </c>
    </row>
    <row r="1251" spans="1:11" ht="32.1" customHeight="1" x14ac:dyDescent="0.25">
      <c r="A1251" s="278" t="s">
        <v>2328</v>
      </c>
      <c r="B1251" s="266"/>
      <c r="C1251" s="266" t="s">
        <v>969</v>
      </c>
      <c r="D1251" s="283" t="s">
        <v>7025</v>
      </c>
      <c r="E1251" s="291"/>
      <c r="F1251" s="295">
        <v>32920</v>
      </c>
      <c r="G1251" s="287" t="s">
        <v>7010</v>
      </c>
      <c r="H1251" s="266" t="s">
        <v>394</v>
      </c>
      <c r="I1251" s="268" t="s">
        <v>5812</v>
      </c>
      <c r="J1251" s="299" t="s">
        <v>985</v>
      </c>
      <c r="K1251" s="259" t="str">
        <f>HYPERLINK("https://okcountyrecords.com/detail/roger+mills/1990-000912","OKCountyRecords: 1990-000912")</f>
        <v>OKCountyRecords: 1990-000912</v>
      </c>
    </row>
    <row r="1252" spans="1:11" ht="32.1" customHeight="1" x14ac:dyDescent="0.25">
      <c r="A1252" s="278" t="s">
        <v>2330</v>
      </c>
      <c r="B1252" s="266"/>
      <c r="C1252" s="266" t="s">
        <v>969</v>
      </c>
      <c r="D1252" s="283" t="s">
        <v>7027</v>
      </c>
      <c r="E1252" s="291"/>
      <c r="F1252" s="295">
        <v>32920</v>
      </c>
      <c r="G1252" s="287" t="s">
        <v>7010</v>
      </c>
      <c r="H1252" s="266" t="s">
        <v>396</v>
      </c>
      <c r="I1252" s="268" t="s">
        <v>242</v>
      </c>
      <c r="J1252" s="299" t="s">
        <v>985</v>
      </c>
      <c r="K1252" s="259" t="str">
        <f>HYPERLINK("https://okcountyrecords.com/detail/roger+mills/1990-000913","OKCountyRecords: 1990-000913")</f>
        <v>OKCountyRecords: 1990-000913</v>
      </c>
    </row>
    <row r="1253" spans="1:11" ht="32.1" customHeight="1" x14ac:dyDescent="0.25">
      <c r="A1253" s="278" t="s">
        <v>2332</v>
      </c>
      <c r="B1253" s="266"/>
      <c r="C1253" s="266" t="s">
        <v>114</v>
      </c>
      <c r="D1253" s="283" t="s">
        <v>7029</v>
      </c>
      <c r="E1253" s="291"/>
      <c r="F1253" s="295">
        <v>32930</v>
      </c>
      <c r="G1253" s="287" t="s">
        <v>2334</v>
      </c>
      <c r="H1253" s="266" t="s">
        <v>2335</v>
      </c>
      <c r="I1253" s="268" t="s">
        <v>6193</v>
      </c>
      <c r="J1253" s="299" t="s">
        <v>996</v>
      </c>
      <c r="K1253" s="259" t="str">
        <f>HYPERLINK("https://okcountyrecords.com/detail/roger+mills/1990-001103","OKCountyRecords: 1990-001103")</f>
        <v>OKCountyRecords: 1990-001103</v>
      </c>
    </row>
    <row r="1254" spans="1:11" ht="32.1" customHeight="1" x14ac:dyDescent="0.25">
      <c r="A1254" s="278" t="s">
        <v>2336</v>
      </c>
      <c r="B1254" s="266"/>
      <c r="C1254" s="266" t="s">
        <v>1274</v>
      </c>
      <c r="D1254" s="283" t="s">
        <v>7032</v>
      </c>
      <c r="E1254" s="291"/>
      <c r="F1254" s="295">
        <v>32952</v>
      </c>
      <c r="G1254" s="287" t="s">
        <v>2338</v>
      </c>
      <c r="H1254" s="266" t="s">
        <v>1110</v>
      </c>
      <c r="I1254" s="268" t="s">
        <v>5812</v>
      </c>
      <c r="J1254" s="299" t="s">
        <v>985</v>
      </c>
      <c r="K1254" s="259" t="str">
        <f>HYPERLINK("https://okcountyrecords.com/detail/roger+mills/1990-001592","OKCountyRecords: 1990-001592")</f>
        <v>OKCountyRecords: 1990-001592</v>
      </c>
    </row>
    <row r="1255" spans="1:11" ht="32.1" customHeight="1" x14ac:dyDescent="0.25">
      <c r="A1255" s="278" t="s">
        <v>2339</v>
      </c>
      <c r="B1255" s="266"/>
      <c r="C1255" s="266" t="s">
        <v>993</v>
      </c>
      <c r="D1255" s="283" t="s">
        <v>7035</v>
      </c>
      <c r="E1255" s="291"/>
      <c r="F1255" s="295">
        <v>32957</v>
      </c>
      <c r="G1255" s="287" t="s">
        <v>2341</v>
      </c>
      <c r="H1255" s="266" t="s">
        <v>377</v>
      </c>
      <c r="I1255" s="268" t="s">
        <v>242</v>
      </c>
      <c r="J1255" s="299" t="s">
        <v>996</v>
      </c>
      <c r="K1255" s="259" t="str">
        <f>HYPERLINK("https://okcountyrecords.com/detail/roger+mills/1990-001651","OKCountyRecords: 1990-001651")</f>
        <v>OKCountyRecords: 1990-001651</v>
      </c>
    </row>
    <row r="1256" spans="1:11" ht="32.1" customHeight="1" x14ac:dyDescent="0.25">
      <c r="A1256" s="278" t="s">
        <v>2342</v>
      </c>
      <c r="B1256" s="266"/>
      <c r="C1256" s="266" t="s">
        <v>993</v>
      </c>
      <c r="D1256" s="283" t="s">
        <v>7038</v>
      </c>
      <c r="E1256" s="291"/>
      <c r="F1256" s="295">
        <v>32957</v>
      </c>
      <c r="G1256" s="287" t="s">
        <v>2341</v>
      </c>
      <c r="H1256" s="266" t="s">
        <v>377</v>
      </c>
      <c r="I1256" s="268" t="s">
        <v>242</v>
      </c>
      <c r="J1256" s="299" t="s">
        <v>996</v>
      </c>
      <c r="K1256" s="259" t="str">
        <f>HYPERLINK("https://okcountyrecords.com/detail/roger+mills/1990-001652","OKCountyRecords: 1990-001652")</f>
        <v>OKCountyRecords: 1990-001652</v>
      </c>
    </row>
    <row r="1257" spans="1:11" ht="32.1" customHeight="1" x14ac:dyDescent="0.25">
      <c r="A1257" s="278" t="s">
        <v>2344</v>
      </c>
      <c r="B1257" s="266"/>
      <c r="C1257" s="266" t="s">
        <v>993</v>
      </c>
      <c r="D1257" s="283" t="s">
        <v>7040</v>
      </c>
      <c r="E1257" s="291"/>
      <c r="F1257" s="295">
        <v>32957</v>
      </c>
      <c r="G1257" s="287" t="s">
        <v>2341</v>
      </c>
      <c r="H1257" s="266" t="s">
        <v>2346</v>
      </c>
      <c r="I1257" s="268" t="s">
        <v>242</v>
      </c>
      <c r="J1257" s="299" t="s">
        <v>996</v>
      </c>
      <c r="K1257" s="259" t="str">
        <f>HYPERLINK("https://okcountyrecords.com/detail/roger+mills/1990-001653","OKCountyRecords: 1990-001653")</f>
        <v>OKCountyRecords: 1990-001653</v>
      </c>
    </row>
    <row r="1258" spans="1:11" ht="32.1" customHeight="1" x14ac:dyDescent="0.25">
      <c r="A1258" s="278" t="s">
        <v>2347</v>
      </c>
      <c r="B1258" s="266"/>
      <c r="C1258" s="266" t="s">
        <v>993</v>
      </c>
      <c r="D1258" s="283" t="s">
        <v>7042</v>
      </c>
      <c r="E1258" s="291"/>
      <c r="F1258" s="295">
        <v>32957</v>
      </c>
      <c r="G1258" s="287" t="s">
        <v>2341</v>
      </c>
      <c r="H1258" s="266" t="s">
        <v>2346</v>
      </c>
      <c r="I1258" s="268" t="s">
        <v>242</v>
      </c>
      <c r="J1258" s="299" t="s">
        <v>996</v>
      </c>
      <c r="K1258" s="259" t="str">
        <f>HYPERLINK("https://okcountyrecords.com/detail/roger+mills/1990-001654","OKCountyRecords: 1990-001654")</f>
        <v>OKCountyRecords: 1990-001654</v>
      </c>
    </row>
    <row r="1259" spans="1:11" ht="32.1" customHeight="1" x14ac:dyDescent="0.25">
      <c r="A1259" s="278" t="s">
        <v>2349</v>
      </c>
      <c r="B1259" s="266"/>
      <c r="C1259" s="266" t="s">
        <v>969</v>
      </c>
      <c r="D1259" s="283" t="s">
        <v>7044</v>
      </c>
      <c r="E1259" s="291"/>
      <c r="F1259" s="295">
        <v>32957</v>
      </c>
      <c r="G1259" s="287" t="s">
        <v>2279</v>
      </c>
      <c r="H1259" s="266" t="s">
        <v>571</v>
      </c>
      <c r="I1259" s="268" t="s">
        <v>5812</v>
      </c>
      <c r="J1259" s="299" t="s">
        <v>985</v>
      </c>
      <c r="K1259" s="259" t="str">
        <f>HYPERLINK("https://okcountyrecords.com/detail/roger+mills/1990-001689","OKCountyRecords: 1990-001689")</f>
        <v>OKCountyRecords: 1990-001689</v>
      </c>
    </row>
    <row r="1260" spans="1:11" ht="32.1" customHeight="1" x14ac:dyDescent="0.25">
      <c r="A1260" s="278" t="s">
        <v>2351</v>
      </c>
      <c r="B1260" s="266"/>
      <c r="C1260" s="266" t="s">
        <v>969</v>
      </c>
      <c r="D1260" s="283" t="s">
        <v>7046</v>
      </c>
      <c r="E1260" s="291"/>
      <c r="F1260" s="295">
        <v>32957</v>
      </c>
      <c r="G1260" s="287" t="s">
        <v>2279</v>
      </c>
      <c r="H1260" s="266" t="s">
        <v>577</v>
      </c>
      <c r="I1260" s="268" t="s">
        <v>5812</v>
      </c>
      <c r="J1260" s="299" t="s">
        <v>985</v>
      </c>
      <c r="K1260" s="259" t="str">
        <f>HYPERLINK("https://okcountyrecords.com/detail/roger+mills/1990-001690","OKCountyRecords: 1990-001690")</f>
        <v>OKCountyRecords: 1990-001690</v>
      </c>
    </row>
    <row r="1261" spans="1:11" ht="32.1" customHeight="1" x14ac:dyDescent="0.25">
      <c r="A1261" s="278" t="s">
        <v>2353</v>
      </c>
      <c r="B1261" s="266"/>
      <c r="C1261" s="266" t="s">
        <v>969</v>
      </c>
      <c r="D1261" s="283" t="s">
        <v>7048</v>
      </c>
      <c r="E1261" s="291"/>
      <c r="F1261" s="295">
        <v>32960</v>
      </c>
      <c r="G1261" s="287" t="s">
        <v>2235</v>
      </c>
      <c r="H1261" s="266" t="s">
        <v>7050</v>
      </c>
      <c r="I1261" s="268" t="s">
        <v>5812</v>
      </c>
      <c r="J1261" s="299" t="s">
        <v>985</v>
      </c>
      <c r="K1261" s="259" t="str">
        <f>HYPERLINK("https://okcountyrecords.com/detail/roger+mills/1990-001750","OKCountyRecords: 1990-001750")</f>
        <v>OKCountyRecords: 1990-001750</v>
      </c>
    </row>
    <row r="1262" spans="1:11" ht="32.1" customHeight="1" x14ac:dyDescent="0.25">
      <c r="A1262" s="278" t="s">
        <v>2356</v>
      </c>
      <c r="B1262" s="266"/>
      <c r="C1262" s="266" t="s">
        <v>969</v>
      </c>
      <c r="D1262" s="283" t="s">
        <v>7052</v>
      </c>
      <c r="E1262" s="291"/>
      <c r="F1262" s="295">
        <v>32969</v>
      </c>
      <c r="G1262" s="287" t="s">
        <v>2313</v>
      </c>
      <c r="H1262" s="266" t="s">
        <v>2358</v>
      </c>
      <c r="I1262" s="268" t="s">
        <v>5812</v>
      </c>
      <c r="J1262" s="299" t="s">
        <v>985</v>
      </c>
      <c r="K1262" s="259" t="str">
        <f>HYPERLINK("https://okcountyrecords.com/detail/roger+mills/1990-001925","OKCountyRecords: 1990-001925")</f>
        <v>OKCountyRecords: 1990-001925</v>
      </c>
    </row>
    <row r="1263" spans="1:11" ht="32.1" customHeight="1" x14ac:dyDescent="0.25">
      <c r="A1263" s="278" t="s">
        <v>2359</v>
      </c>
      <c r="B1263" s="266"/>
      <c r="C1263" s="266" t="s">
        <v>1274</v>
      </c>
      <c r="D1263" s="283" t="s">
        <v>7055</v>
      </c>
      <c r="E1263" s="291"/>
      <c r="F1263" s="295">
        <v>32969</v>
      </c>
      <c r="G1263" s="287" t="s">
        <v>2160</v>
      </c>
      <c r="H1263" s="266" t="s">
        <v>2161</v>
      </c>
      <c r="I1263" s="268" t="s">
        <v>5812</v>
      </c>
      <c r="J1263" s="299" t="s">
        <v>985</v>
      </c>
      <c r="K1263" s="259" t="str">
        <f>HYPERLINK("https://okcountyrecords.com/detail/roger+mills/1990-001986","OKCountyRecords: 1990-001986")</f>
        <v>OKCountyRecords: 1990-001986</v>
      </c>
    </row>
    <row r="1264" spans="1:11" ht="32.1" customHeight="1" x14ac:dyDescent="0.25">
      <c r="A1264" s="278" t="s">
        <v>2361</v>
      </c>
      <c r="B1264" s="266"/>
      <c r="C1264" s="266" t="s">
        <v>1274</v>
      </c>
      <c r="D1264" s="283" t="s">
        <v>7057</v>
      </c>
      <c r="E1264" s="291"/>
      <c r="F1264" s="295">
        <v>32969</v>
      </c>
      <c r="G1264" s="287" t="s">
        <v>2160</v>
      </c>
      <c r="H1264" s="266" t="s">
        <v>2161</v>
      </c>
      <c r="I1264" s="268" t="s">
        <v>5812</v>
      </c>
      <c r="J1264" s="299" t="s">
        <v>985</v>
      </c>
      <c r="K1264" s="259" t="str">
        <f>HYPERLINK("https://okcountyrecords.com/detail/roger+mills/1990-001987","OKCountyRecords: 1990-001987")</f>
        <v>OKCountyRecords: 1990-001987</v>
      </c>
    </row>
    <row r="1265" spans="1:11" ht="32.1" customHeight="1" x14ac:dyDescent="0.25">
      <c r="A1265" s="278" t="s">
        <v>2363</v>
      </c>
      <c r="B1265" s="266"/>
      <c r="C1265" s="266" t="s">
        <v>1274</v>
      </c>
      <c r="D1265" s="283" t="s">
        <v>7059</v>
      </c>
      <c r="E1265" s="291"/>
      <c r="F1265" s="295">
        <v>32969</v>
      </c>
      <c r="G1265" s="287" t="s">
        <v>2160</v>
      </c>
      <c r="H1265" s="266" t="s">
        <v>2161</v>
      </c>
      <c r="I1265" s="268" t="s">
        <v>242</v>
      </c>
      <c r="J1265" s="299" t="s">
        <v>985</v>
      </c>
      <c r="K1265" s="259" t="str">
        <f>HYPERLINK("https://okcountyrecords.com/detail/roger+mills/1990-001991","OKCountyRecords: 1990-001991")</f>
        <v>OKCountyRecords: 1990-001991</v>
      </c>
    </row>
    <row r="1266" spans="1:11" ht="32.1" customHeight="1" x14ac:dyDescent="0.25">
      <c r="A1266" s="278" t="s">
        <v>2365</v>
      </c>
      <c r="B1266" s="266"/>
      <c r="C1266" s="266" t="s">
        <v>1274</v>
      </c>
      <c r="D1266" s="283" t="s">
        <v>7061</v>
      </c>
      <c r="E1266" s="291"/>
      <c r="F1266" s="295">
        <v>32969</v>
      </c>
      <c r="G1266" s="287" t="s">
        <v>2160</v>
      </c>
      <c r="H1266" s="266" t="s">
        <v>2161</v>
      </c>
      <c r="I1266" s="268" t="s">
        <v>242</v>
      </c>
      <c r="J1266" s="299" t="s">
        <v>985</v>
      </c>
      <c r="K1266" s="259" t="str">
        <f>HYPERLINK("https://okcountyrecords.com/detail/roger+mills/1990-001992","OKCountyRecords: 1990-001992")</f>
        <v>OKCountyRecords: 1990-001992</v>
      </c>
    </row>
    <row r="1267" spans="1:11" ht="32.1" customHeight="1" x14ac:dyDescent="0.25">
      <c r="A1267" s="278" t="s">
        <v>2367</v>
      </c>
      <c r="B1267" s="266"/>
      <c r="C1267" s="266" t="s">
        <v>1274</v>
      </c>
      <c r="D1267" s="283" t="s">
        <v>7063</v>
      </c>
      <c r="E1267" s="291"/>
      <c r="F1267" s="295">
        <v>32969</v>
      </c>
      <c r="G1267" s="287" t="s">
        <v>2160</v>
      </c>
      <c r="H1267" s="266" t="s">
        <v>2161</v>
      </c>
      <c r="I1267" s="268" t="s">
        <v>242</v>
      </c>
      <c r="J1267" s="299" t="s">
        <v>985</v>
      </c>
      <c r="K1267" s="259" t="str">
        <f>HYPERLINK("https://okcountyrecords.com/detail/roger+mills/1990-001993","OKCountyRecords: 1990-001993")</f>
        <v>OKCountyRecords: 1990-001993</v>
      </c>
    </row>
    <row r="1268" spans="1:11" ht="32.1" customHeight="1" x14ac:dyDescent="0.25">
      <c r="A1268" s="278" t="s">
        <v>2369</v>
      </c>
      <c r="B1268" s="266"/>
      <c r="C1268" s="266" t="s">
        <v>1274</v>
      </c>
      <c r="D1268" s="283" t="s">
        <v>7065</v>
      </c>
      <c r="E1268" s="291"/>
      <c r="F1268" s="295">
        <v>32969</v>
      </c>
      <c r="G1268" s="287" t="s">
        <v>2160</v>
      </c>
      <c r="H1268" s="266" t="s">
        <v>2161</v>
      </c>
      <c r="I1268" s="268" t="s">
        <v>5812</v>
      </c>
      <c r="J1268" s="299" t="s">
        <v>985</v>
      </c>
      <c r="K1268" s="259" t="str">
        <f>HYPERLINK("https://okcountyrecords.com/detail/roger+mills/1990-001996","OKCountyRecords: 1990-001996")</f>
        <v>OKCountyRecords: 1990-001996</v>
      </c>
    </row>
    <row r="1269" spans="1:11" ht="32.1" customHeight="1" x14ac:dyDescent="0.25">
      <c r="A1269" s="278" t="s">
        <v>2371</v>
      </c>
      <c r="B1269" s="266"/>
      <c r="C1269" s="266" t="s">
        <v>969</v>
      </c>
      <c r="D1269" s="283" t="s">
        <v>7067</v>
      </c>
      <c r="E1269" s="291"/>
      <c r="F1269" s="295">
        <v>32975</v>
      </c>
      <c r="G1269" s="287" t="s">
        <v>2373</v>
      </c>
      <c r="H1269" s="266" t="s">
        <v>944</v>
      </c>
      <c r="I1269" s="268" t="s">
        <v>5812</v>
      </c>
      <c r="J1269" s="299" t="s">
        <v>985</v>
      </c>
      <c r="K1269" s="259" t="str">
        <f>HYPERLINK("https://okcountyrecords.com/detail/roger+mills/1990-002146","OKCountyRecords: 1990-002146")</f>
        <v>OKCountyRecords: 1990-002146</v>
      </c>
    </row>
    <row r="1270" spans="1:11" ht="32.1" customHeight="1" x14ac:dyDescent="0.25">
      <c r="A1270" s="278" t="s">
        <v>2374</v>
      </c>
      <c r="B1270" s="266"/>
      <c r="C1270" s="266" t="s">
        <v>969</v>
      </c>
      <c r="D1270" s="283" t="s">
        <v>7070</v>
      </c>
      <c r="E1270" s="291"/>
      <c r="F1270" s="295">
        <v>32993</v>
      </c>
      <c r="G1270" s="287" t="s">
        <v>944</v>
      </c>
      <c r="H1270" s="266" t="s">
        <v>2376</v>
      </c>
      <c r="I1270" s="268" t="s">
        <v>5812</v>
      </c>
      <c r="J1270" s="299" t="s">
        <v>985</v>
      </c>
      <c r="K1270" s="259" t="str">
        <f>HYPERLINK("https://okcountyrecords.com/detail/roger+mills/1990-002451","OKCountyRecords: 1990-002451")</f>
        <v>OKCountyRecords: 1990-002451</v>
      </c>
    </row>
    <row r="1271" spans="1:11" ht="32.1" customHeight="1" x14ac:dyDescent="0.25">
      <c r="A1271" s="278" t="s">
        <v>2377</v>
      </c>
      <c r="B1271" s="266"/>
      <c r="C1271" s="266" t="s">
        <v>114</v>
      </c>
      <c r="D1271" s="283" t="s">
        <v>7073</v>
      </c>
      <c r="E1271" s="291"/>
      <c r="F1271" s="295">
        <v>32997</v>
      </c>
      <c r="G1271" s="287" t="s">
        <v>2379</v>
      </c>
      <c r="H1271" s="266" t="s">
        <v>2380</v>
      </c>
      <c r="I1271" s="268" t="s">
        <v>5812</v>
      </c>
      <c r="J1271" s="299" t="s">
        <v>996</v>
      </c>
      <c r="K1271" s="259" t="str">
        <f>HYPERLINK("https://okcountyrecords.com/detail/roger+mills/1990-002553","OKCountyRecords: 1990-002553")</f>
        <v>OKCountyRecords: 1990-002553</v>
      </c>
    </row>
    <row r="1272" spans="1:11" ht="32.1" customHeight="1" x14ac:dyDescent="0.25">
      <c r="A1272" s="278" t="s">
        <v>2381</v>
      </c>
      <c r="B1272" s="266"/>
      <c r="C1272" s="266" t="s">
        <v>969</v>
      </c>
      <c r="D1272" s="283" t="s">
        <v>7076</v>
      </c>
      <c r="E1272" s="291"/>
      <c r="F1272" s="295">
        <v>33000</v>
      </c>
      <c r="G1272" s="287" t="s">
        <v>2383</v>
      </c>
      <c r="H1272" s="266" t="s">
        <v>2384</v>
      </c>
      <c r="I1272" s="268" t="s">
        <v>5812</v>
      </c>
      <c r="J1272" s="299" t="s">
        <v>985</v>
      </c>
      <c r="K1272" s="259" t="str">
        <f>HYPERLINK("https://okcountyrecords.com/detail/roger+mills/1990-002606","OKCountyRecords: 1990-002606")</f>
        <v>OKCountyRecords: 1990-002606</v>
      </c>
    </row>
    <row r="1273" spans="1:11" ht="32.1" customHeight="1" x14ac:dyDescent="0.25">
      <c r="A1273" s="278" t="s">
        <v>2385</v>
      </c>
      <c r="B1273" s="266"/>
      <c r="C1273" s="266" t="s">
        <v>969</v>
      </c>
      <c r="D1273" s="283" t="s">
        <v>7079</v>
      </c>
      <c r="E1273" s="291"/>
      <c r="F1273" s="295">
        <v>33025</v>
      </c>
      <c r="G1273" s="287" t="s">
        <v>2358</v>
      </c>
      <c r="H1273" s="266" t="s">
        <v>944</v>
      </c>
      <c r="I1273" s="268" t="s">
        <v>5812</v>
      </c>
      <c r="J1273" s="299" t="s">
        <v>985</v>
      </c>
      <c r="K1273" s="259" t="str">
        <f>HYPERLINK("https://okcountyrecords.com/detail/roger+mills/1990-003160","OKCountyRecords: 1990-003160")</f>
        <v>OKCountyRecords: 1990-003160</v>
      </c>
    </row>
    <row r="1274" spans="1:11" ht="32.1" customHeight="1" x14ac:dyDescent="0.25">
      <c r="A1274" s="278" t="s">
        <v>2387</v>
      </c>
      <c r="B1274" s="266"/>
      <c r="C1274" s="266" t="s">
        <v>114</v>
      </c>
      <c r="D1274" s="283" t="s">
        <v>7082</v>
      </c>
      <c r="E1274" s="291"/>
      <c r="F1274" s="295">
        <v>33033</v>
      </c>
      <c r="G1274" s="287" t="s">
        <v>928</v>
      </c>
      <c r="H1274" s="266" t="s">
        <v>2288</v>
      </c>
      <c r="I1274" s="268" t="s">
        <v>5812</v>
      </c>
      <c r="J1274" s="299" t="s">
        <v>996</v>
      </c>
      <c r="K1274" s="259" t="str">
        <f>HYPERLINK("https://okcountyrecords.com/detail/roger+mills/1990-003980","OKCountyRecords: 1990-003980")</f>
        <v>OKCountyRecords: 1990-003980</v>
      </c>
    </row>
    <row r="1275" spans="1:11" ht="32.1" customHeight="1" x14ac:dyDescent="0.25">
      <c r="A1275" s="278" t="s">
        <v>2389</v>
      </c>
      <c r="B1275" s="266"/>
      <c r="C1275" s="266" t="s">
        <v>969</v>
      </c>
      <c r="D1275" s="283" t="s">
        <v>7085</v>
      </c>
      <c r="E1275" s="291"/>
      <c r="F1275" s="295">
        <v>33059</v>
      </c>
      <c r="G1275" s="287" t="s">
        <v>944</v>
      </c>
      <c r="H1275" s="266" t="s">
        <v>2391</v>
      </c>
      <c r="I1275" s="268" t="s">
        <v>5812</v>
      </c>
      <c r="J1275" s="299" t="s">
        <v>985</v>
      </c>
      <c r="K1275" s="259" t="str">
        <f>HYPERLINK("https://okcountyrecords.com/detail/roger+mills/1990-003924","OKCountyRecords: 1990-003924")</f>
        <v>OKCountyRecords: 1990-003924</v>
      </c>
    </row>
    <row r="1276" spans="1:11" ht="32.1" customHeight="1" x14ac:dyDescent="0.25">
      <c r="A1276" s="278" t="s">
        <v>2392</v>
      </c>
      <c r="B1276" s="266"/>
      <c r="C1276" s="266" t="s">
        <v>969</v>
      </c>
      <c r="D1276" s="283" t="s">
        <v>7088</v>
      </c>
      <c r="E1276" s="291"/>
      <c r="F1276" s="295">
        <v>33073</v>
      </c>
      <c r="G1276" s="287" t="s">
        <v>2394</v>
      </c>
      <c r="H1276" s="266" t="s">
        <v>2395</v>
      </c>
      <c r="I1276" s="268" t="s">
        <v>6193</v>
      </c>
      <c r="J1276" s="299" t="s">
        <v>985</v>
      </c>
      <c r="K1276" s="259" t="str">
        <f>HYPERLINK("https://okcountyrecords.com/detail/roger+mills/1990-004213","OKCountyRecords: 1990-004213")</f>
        <v>OKCountyRecords: 1990-004213</v>
      </c>
    </row>
    <row r="1277" spans="1:11" ht="32.1" customHeight="1" x14ac:dyDescent="0.25">
      <c r="A1277" s="278" t="s">
        <v>2396</v>
      </c>
      <c r="B1277" s="266"/>
      <c r="C1277" s="266" t="s">
        <v>969</v>
      </c>
      <c r="D1277" s="283" t="s">
        <v>7091</v>
      </c>
      <c r="E1277" s="291"/>
      <c r="F1277" s="295">
        <v>33114</v>
      </c>
      <c r="G1277" s="287" t="s">
        <v>2171</v>
      </c>
      <c r="H1277" s="266" t="s">
        <v>610</v>
      </c>
      <c r="I1277" s="268" t="s">
        <v>5812</v>
      </c>
      <c r="J1277" s="299" t="s">
        <v>985</v>
      </c>
      <c r="K1277" s="259" t="str">
        <f>HYPERLINK("https://okcountyrecords.com/detail/roger+mills/1990-005042","OKCountyRecords: 1990-005042")</f>
        <v>OKCountyRecords: 1990-005042</v>
      </c>
    </row>
    <row r="1278" spans="1:11" ht="32.1" customHeight="1" x14ac:dyDescent="0.25">
      <c r="A1278" s="278" t="s">
        <v>2398</v>
      </c>
      <c r="B1278" s="266"/>
      <c r="C1278" s="266" t="s">
        <v>969</v>
      </c>
      <c r="D1278" s="283" t="s">
        <v>7094</v>
      </c>
      <c r="E1278" s="291"/>
      <c r="F1278" s="295">
        <v>33114</v>
      </c>
      <c r="G1278" s="287" t="s">
        <v>304</v>
      </c>
      <c r="H1278" s="266" t="s">
        <v>610</v>
      </c>
      <c r="I1278" s="268" t="s">
        <v>5812</v>
      </c>
      <c r="J1278" s="299" t="s">
        <v>985</v>
      </c>
      <c r="K1278" s="259" t="str">
        <f>HYPERLINK("https://okcountyrecords.com/detail/roger+mills/1990-005043","OKCountyRecords: 1990-005043")</f>
        <v>OKCountyRecords: 1990-005043</v>
      </c>
    </row>
    <row r="1279" spans="1:11" ht="32.1" customHeight="1" x14ac:dyDescent="0.25">
      <c r="A1279" s="278" t="s">
        <v>2400</v>
      </c>
      <c r="B1279" s="266"/>
      <c r="C1279" s="266" t="s">
        <v>993</v>
      </c>
      <c r="D1279" s="283" t="s">
        <v>7096</v>
      </c>
      <c r="E1279" s="291"/>
      <c r="F1279" s="295">
        <v>33140</v>
      </c>
      <c r="G1279" s="287" t="s">
        <v>447</v>
      </c>
      <c r="H1279" s="266" t="s">
        <v>407</v>
      </c>
      <c r="I1279" s="268" t="s">
        <v>242</v>
      </c>
      <c r="J1279" s="299" t="s">
        <v>996</v>
      </c>
      <c r="K1279" s="259" t="str">
        <f>HYPERLINK("https://okcountyrecords.com/detail/roger+mills/1990-005498","OKCountyRecords: 1990-005498")</f>
        <v>OKCountyRecords: 1990-005498</v>
      </c>
    </row>
    <row r="1280" spans="1:11" ht="32.1" customHeight="1" x14ac:dyDescent="0.25">
      <c r="A1280" s="278" t="s">
        <v>2402</v>
      </c>
      <c r="B1280" s="266"/>
      <c r="C1280" s="266" t="s">
        <v>969</v>
      </c>
      <c r="D1280" s="283" t="s">
        <v>7099</v>
      </c>
      <c r="E1280" s="291"/>
      <c r="F1280" s="295">
        <v>33158</v>
      </c>
      <c r="G1280" s="287" t="s">
        <v>2404</v>
      </c>
      <c r="H1280" s="266" t="s">
        <v>2405</v>
      </c>
      <c r="I1280" s="268" t="s">
        <v>5812</v>
      </c>
      <c r="J1280" s="299" t="s">
        <v>985</v>
      </c>
      <c r="K1280" s="259" t="str">
        <f>HYPERLINK("https://okcountyrecords.com/detail/roger+mills/1990-005848","OKCountyRecords: 1990-005848")</f>
        <v>OKCountyRecords: 1990-005848</v>
      </c>
    </row>
    <row r="1281" spans="1:11" ht="32.1" customHeight="1" x14ac:dyDescent="0.25">
      <c r="A1281" s="278" t="s">
        <v>2406</v>
      </c>
      <c r="B1281" s="266"/>
      <c r="C1281" s="266" t="s">
        <v>1274</v>
      </c>
      <c r="D1281" s="283" t="s">
        <v>7102</v>
      </c>
      <c r="E1281" s="291"/>
      <c r="F1281" s="295">
        <v>33205</v>
      </c>
      <c r="G1281" s="287" t="s">
        <v>381</v>
      </c>
      <c r="H1281" s="266" t="s">
        <v>2408</v>
      </c>
      <c r="I1281" s="268" t="s">
        <v>5812</v>
      </c>
      <c r="J1281" s="299" t="s">
        <v>985</v>
      </c>
      <c r="K1281" s="259" t="str">
        <f>HYPERLINK("https://okcountyrecords.com/detail/roger+mills/1990-006747","OKCountyRecords: 1990-006747")</f>
        <v>OKCountyRecords: 1990-006747</v>
      </c>
    </row>
    <row r="1282" spans="1:11" ht="32.1" customHeight="1" x14ac:dyDescent="0.25">
      <c r="A1282" s="278" t="s">
        <v>2409</v>
      </c>
      <c r="B1282" s="266"/>
      <c r="C1282" s="266" t="s">
        <v>969</v>
      </c>
      <c r="D1282" s="283" t="s">
        <v>7105</v>
      </c>
      <c r="E1282" s="291"/>
      <c r="F1282" s="295">
        <v>33277</v>
      </c>
      <c r="G1282" s="287" t="s">
        <v>2411</v>
      </c>
      <c r="H1282" s="266" t="s">
        <v>2412</v>
      </c>
      <c r="I1282" s="268" t="s">
        <v>5812</v>
      </c>
      <c r="J1282" s="299" t="s">
        <v>985</v>
      </c>
      <c r="K1282" s="259" t="str">
        <f>HYPERLINK("https://okcountyrecords.com/detail/roger+mills/1991-000858","OKCountyRecords: 1991-000858")</f>
        <v>OKCountyRecords: 1991-000858</v>
      </c>
    </row>
    <row r="1283" spans="1:11" ht="32.1" customHeight="1" x14ac:dyDescent="0.25">
      <c r="A1283" s="278" t="s">
        <v>2413</v>
      </c>
      <c r="B1283" s="266"/>
      <c r="C1283" s="266" t="s">
        <v>114</v>
      </c>
      <c r="D1283" s="283" t="s">
        <v>7108</v>
      </c>
      <c r="E1283" s="291"/>
      <c r="F1283" s="295">
        <v>33315</v>
      </c>
      <c r="G1283" s="287" t="s">
        <v>466</v>
      </c>
      <c r="H1283" s="266" t="s">
        <v>2415</v>
      </c>
      <c r="I1283" s="268" t="s">
        <v>5812</v>
      </c>
      <c r="J1283" s="299" t="s">
        <v>996</v>
      </c>
      <c r="K1283" s="259" t="str">
        <f>HYPERLINK("https://okcountyrecords.com/detail/roger+mills/1991-001479","OKCountyRecords: 1991-001479")</f>
        <v>OKCountyRecords: 1991-001479</v>
      </c>
    </row>
    <row r="1284" spans="1:11" ht="32.1" customHeight="1" x14ac:dyDescent="0.25">
      <c r="A1284" s="278" t="s">
        <v>2416</v>
      </c>
      <c r="B1284" s="266"/>
      <c r="C1284" s="266" t="s">
        <v>114</v>
      </c>
      <c r="D1284" s="283" t="s">
        <v>7111</v>
      </c>
      <c r="E1284" s="291"/>
      <c r="F1284" s="295">
        <v>33378</v>
      </c>
      <c r="G1284" s="287" t="s">
        <v>928</v>
      </c>
      <c r="H1284" s="266" t="s">
        <v>2288</v>
      </c>
      <c r="I1284" s="268" t="s">
        <v>5812</v>
      </c>
      <c r="J1284" s="299" t="s">
        <v>996</v>
      </c>
      <c r="K1284" s="259" t="str">
        <f>HYPERLINK("https://okcountyrecords.com/detail/roger+mills/1991-002362","OKCountyRecords: 1991-002362")</f>
        <v>OKCountyRecords: 1991-002362</v>
      </c>
    </row>
    <row r="1285" spans="1:11" ht="32.1" customHeight="1" x14ac:dyDescent="0.25">
      <c r="A1285" s="278" t="s">
        <v>2418</v>
      </c>
      <c r="B1285" s="266"/>
      <c r="C1285" s="266" t="s">
        <v>1107</v>
      </c>
      <c r="D1285" s="283" t="s">
        <v>7114</v>
      </c>
      <c r="E1285" s="291">
        <v>33399</v>
      </c>
      <c r="F1285" s="295">
        <v>33399</v>
      </c>
      <c r="G1285" s="287" t="s">
        <v>2420</v>
      </c>
      <c r="H1285" s="266" t="s">
        <v>2420</v>
      </c>
      <c r="I1285" s="268" t="s">
        <v>5812</v>
      </c>
      <c r="J1285" s="299" t="s">
        <v>1095</v>
      </c>
      <c r="K1285" s="259" t="str">
        <f>HYPERLINK("https://okcountyrecords.com/detail/roger+mills/1991-002734","OKCountyRecords: 1991-002734")</f>
        <v>OKCountyRecords: 1991-002734</v>
      </c>
    </row>
    <row r="1286" spans="1:11" ht="32.1" customHeight="1" x14ac:dyDescent="0.25">
      <c r="A1286" s="278" t="s">
        <v>2421</v>
      </c>
      <c r="B1286" s="266"/>
      <c r="C1286" s="266" t="s">
        <v>114</v>
      </c>
      <c r="D1286" s="283" t="s">
        <v>7117</v>
      </c>
      <c r="E1286" s="291"/>
      <c r="F1286" s="295">
        <v>33444</v>
      </c>
      <c r="G1286" s="287" t="s">
        <v>2423</v>
      </c>
      <c r="H1286" s="266" t="s">
        <v>2415</v>
      </c>
      <c r="I1286" s="268" t="s">
        <v>5812</v>
      </c>
      <c r="J1286" s="299" t="s">
        <v>996</v>
      </c>
      <c r="K1286" s="259" t="str">
        <f>HYPERLINK("https://okcountyrecords.com/detail/roger+mills/1991-003350","OKCountyRecords: 1991-003350")</f>
        <v>OKCountyRecords: 1991-003350</v>
      </c>
    </row>
    <row r="1287" spans="1:11" ht="32.1" customHeight="1" x14ac:dyDescent="0.25">
      <c r="A1287" s="278" t="s">
        <v>2425</v>
      </c>
      <c r="B1287" s="266"/>
      <c r="C1287" s="266" t="s">
        <v>114</v>
      </c>
      <c r="D1287" s="283" t="s">
        <v>7120</v>
      </c>
      <c r="E1287" s="291"/>
      <c r="F1287" s="295">
        <v>33451</v>
      </c>
      <c r="G1287" s="287" t="s">
        <v>2427</v>
      </c>
      <c r="H1287" s="266" t="s">
        <v>2428</v>
      </c>
      <c r="I1287" s="268" t="s">
        <v>5812</v>
      </c>
      <c r="J1287" s="299" t="s">
        <v>996</v>
      </c>
      <c r="K1287" s="259" t="str">
        <f>HYPERLINK("https://okcountyrecords.com/detail/roger+mills/1991-003462","OKCountyRecords: 1991-003462")</f>
        <v>OKCountyRecords: 1991-003462</v>
      </c>
    </row>
    <row r="1288" spans="1:11" ht="32.1" customHeight="1" x14ac:dyDescent="0.25">
      <c r="A1288" s="278" t="s">
        <v>2429</v>
      </c>
      <c r="B1288" s="266"/>
      <c r="C1288" s="266" t="s">
        <v>2430</v>
      </c>
      <c r="D1288" s="283" t="s">
        <v>7123</v>
      </c>
      <c r="E1288" s="291"/>
      <c r="F1288" s="295">
        <v>33456</v>
      </c>
      <c r="G1288" s="287" t="s">
        <v>2432</v>
      </c>
      <c r="H1288" s="266" t="s">
        <v>345</v>
      </c>
      <c r="I1288" s="268" t="s">
        <v>5812</v>
      </c>
      <c r="J1288" s="299" t="s">
        <v>985</v>
      </c>
      <c r="K1288" s="259" t="str">
        <f>HYPERLINK("https://okcountyrecords.com/detail/roger+mills/1991-003518","OKCountyRecords: 1991-003518")</f>
        <v>OKCountyRecords: 1991-003518</v>
      </c>
    </row>
    <row r="1289" spans="1:11" ht="32.1" customHeight="1" x14ac:dyDescent="0.25">
      <c r="A1289" s="278" t="s">
        <v>2433</v>
      </c>
      <c r="B1289" s="266"/>
      <c r="C1289" s="266" t="s">
        <v>114</v>
      </c>
      <c r="D1289" s="283" t="s">
        <v>7126</v>
      </c>
      <c r="E1289" s="291">
        <v>33518</v>
      </c>
      <c r="F1289" s="295">
        <v>33456</v>
      </c>
      <c r="G1289" s="287" t="s">
        <v>2082</v>
      </c>
      <c r="H1289" s="266" t="s">
        <v>2435</v>
      </c>
      <c r="I1289" s="268" t="s">
        <v>6193</v>
      </c>
      <c r="J1289" s="299" t="s">
        <v>996</v>
      </c>
      <c r="K1289" s="259" t="str">
        <f>HYPERLINK("https://okcountyrecords.com/detail/roger+mills/1991-004416","OKCountyRecords: 1991-004416")</f>
        <v>OKCountyRecords: 1991-004416</v>
      </c>
    </row>
    <row r="1290" spans="1:11" ht="32.1" customHeight="1" x14ac:dyDescent="0.25">
      <c r="A1290" s="278" t="s">
        <v>2436</v>
      </c>
      <c r="B1290" s="266"/>
      <c r="C1290" s="266" t="s">
        <v>2437</v>
      </c>
      <c r="D1290" s="283" t="s">
        <v>7129</v>
      </c>
      <c r="E1290" s="291"/>
      <c r="F1290" s="295">
        <v>33522</v>
      </c>
      <c r="G1290" s="287" t="s">
        <v>806</v>
      </c>
      <c r="H1290" s="266" t="s">
        <v>2439</v>
      </c>
      <c r="I1290" s="268" t="s">
        <v>6193</v>
      </c>
      <c r="J1290" s="299" t="s">
        <v>985</v>
      </c>
      <c r="K1290" s="259" t="str">
        <f>HYPERLINK("https://okcountyrecords.com/detail/roger+mills/1991-004456","OKCountyRecords: 1991-004456")</f>
        <v>OKCountyRecords: 1991-004456</v>
      </c>
    </row>
    <row r="1291" spans="1:11" ht="32.1" customHeight="1" x14ac:dyDescent="0.25">
      <c r="A1291" s="278" t="s">
        <v>2440</v>
      </c>
      <c r="B1291" s="266"/>
      <c r="C1291" s="266" t="s">
        <v>2441</v>
      </c>
      <c r="D1291" s="283" t="s">
        <v>7132</v>
      </c>
      <c r="E1291" s="291"/>
      <c r="F1291" s="295">
        <v>33528</v>
      </c>
      <c r="G1291" s="287" t="s">
        <v>2443</v>
      </c>
      <c r="H1291" s="266" t="s">
        <v>2444</v>
      </c>
      <c r="I1291" s="268" t="s">
        <v>5812</v>
      </c>
      <c r="J1291" s="299" t="s">
        <v>1095</v>
      </c>
      <c r="K1291" s="259" t="str">
        <f>HYPERLINK("https://okcountyrecords.com/detail/roger+mills/1991-004543","OKCountyRecords: 1991-004543")</f>
        <v>OKCountyRecords: 1991-004543</v>
      </c>
    </row>
    <row r="1292" spans="1:11" ht="32.1" customHeight="1" x14ac:dyDescent="0.25">
      <c r="A1292" s="278" t="s">
        <v>2445</v>
      </c>
      <c r="B1292" s="266"/>
      <c r="C1292" s="266" t="s">
        <v>2441</v>
      </c>
      <c r="D1292" s="283" t="s">
        <v>7135</v>
      </c>
      <c r="E1292" s="291"/>
      <c r="F1292" s="295">
        <v>33574</v>
      </c>
      <c r="G1292" s="287" t="s">
        <v>2411</v>
      </c>
      <c r="H1292" s="266" t="s">
        <v>2447</v>
      </c>
      <c r="I1292" s="268" t="s">
        <v>5812</v>
      </c>
      <c r="J1292" s="299" t="s">
        <v>1095</v>
      </c>
      <c r="K1292" s="259" t="str">
        <f>HYPERLINK("https://okcountyrecords.com/detail/roger+mills/1991-005340","OKCountyRecords: 1991-005340")</f>
        <v>OKCountyRecords: 1991-005340</v>
      </c>
    </row>
    <row r="1293" spans="1:11" ht="32.1" customHeight="1" x14ac:dyDescent="0.25">
      <c r="A1293" s="278" t="s">
        <v>2448</v>
      </c>
      <c r="B1293" s="266"/>
      <c r="C1293" s="266" t="s">
        <v>1107</v>
      </c>
      <c r="D1293" s="283" t="s">
        <v>7138</v>
      </c>
      <c r="E1293" s="291"/>
      <c r="F1293" s="295">
        <v>33682</v>
      </c>
      <c r="G1293" s="287" t="s">
        <v>2376</v>
      </c>
      <c r="H1293" s="266" t="s">
        <v>1110</v>
      </c>
      <c r="I1293" s="268" t="s">
        <v>5812</v>
      </c>
      <c r="J1293" s="299" t="s">
        <v>1095</v>
      </c>
      <c r="K1293" s="259" t="str">
        <f>HYPERLINK("https://okcountyrecords.com/detail/roger+mills/1992-000943","OKCountyRecords: 1992-000943")</f>
        <v>OKCountyRecords: 1992-000943</v>
      </c>
    </row>
    <row r="1294" spans="1:11" ht="32.1" customHeight="1" x14ac:dyDescent="0.25">
      <c r="A1294" s="278" t="s">
        <v>2450</v>
      </c>
      <c r="B1294" s="266"/>
      <c r="C1294" s="266" t="s">
        <v>1623</v>
      </c>
      <c r="D1294" s="283" t="s">
        <v>7141</v>
      </c>
      <c r="E1294" s="291"/>
      <c r="F1294" s="295">
        <v>33693</v>
      </c>
      <c r="G1294" s="287" t="s">
        <v>2452</v>
      </c>
      <c r="H1294" s="266" t="s">
        <v>492</v>
      </c>
      <c r="I1294" s="268" t="s">
        <v>5812</v>
      </c>
      <c r="J1294" s="299" t="s">
        <v>1625</v>
      </c>
      <c r="K1294" s="259" t="str">
        <f>HYPERLINK("https://okcountyrecords.com/detail/roger+mills/1992-001067","OKCountyRecords: 1992-001067")</f>
        <v>OKCountyRecords: 1992-001067</v>
      </c>
    </row>
    <row r="1295" spans="1:11" ht="32.1" customHeight="1" x14ac:dyDescent="0.25">
      <c r="A1295" s="278" t="s">
        <v>2453</v>
      </c>
      <c r="B1295" s="266"/>
      <c r="C1295" s="266" t="s">
        <v>969</v>
      </c>
      <c r="D1295" s="283" t="s">
        <v>7144</v>
      </c>
      <c r="E1295" s="291"/>
      <c r="F1295" s="295">
        <v>33737</v>
      </c>
      <c r="G1295" s="287" t="s">
        <v>610</v>
      </c>
      <c r="H1295" s="266" t="s">
        <v>507</v>
      </c>
      <c r="I1295" s="268" t="s">
        <v>5812</v>
      </c>
      <c r="J1295" s="299" t="s">
        <v>985</v>
      </c>
      <c r="K1295" s="259" t="str">
        <f>HYPERLINK("https://okcountyrecords.com/detail/roger+mills/1992-001682","OKCountyRecords: 1992-001682")</f>
        <v>OKCountyRecords: 1992-001682</v>
      </c>
    </row>
    <row r="1296" spans="1:11" ht="32.1" customHeight="1" x14ac:dyDescent="0.25">
      <c r="A1296" s="278" t="s">
        <v>2455</v>
      </c>
      <c r="B1296" s="266"/>
      <c r="C1296" s="266" t="s">
        <v>969</v>
      </c>
      <c r="D1296" s="283" t="s">
        <v>7147</v>
      </c>
      <c r="E1296" s="291"/>
      <c r="F1296" s="295">
        <v>33750</v>
      </c>
      <c r="G1296" s="287" t="s">
        <v>2457</v>
      </c>
      <c r="H1296" s="266" t="s">
        <v>463</v>
      </c>
      <c r="I1296" s="268" t="s">
        <v>5812</v>
      </c>
      <c r="J1296" s="299" t="s">
        <v>985</v>
      </c>
      <c r="K1296" s="259" t="str">
        <f>HYPERLINK("https://okcountyrecords.com/detail/roger+mills/1992-001861","OKCountyRecords: 1992-001861")</f>
        <v>OKCountyRecords: 1992-001861</v>
      </c>
    </row>
    <row r="1297" spans="1:11" ht="32.1" customHeight="1" x14ac:dyDescent="0.25">
      <c r="A1297" s="278" t="s">
        <v>2458</v>
      </c>
      <c r="B1297" s="266"/>
      <c r="C1297" s="266" t="s">
        <v>969</v>
      </c>
      <c r="D1297" s="283" t="s">
        <v>7150</v>
      </c>
      <c r="E1297" s="291"/>
      <c r="F1297" s="295">
        <v>33750</v>
      </c>
      <c r="G1297" s="287" t="s">
        <v>2457</v>
      </c>
      <c r="H1297" s="266" t="s">
        <v>2241</v>
      </c>
      <c r="I1297" s="268" t="s">
        <v>5812</v>
      </c>
      <c r="J1297" s="299" t="s">
        <v>985</v>
      </c>
      <c r="K1297" s="259" t="str">
        <f>HYPERLINK("https://okcountyrecords.com/detail/roger+mills/1992-001862","OKCountyRecords: 1992-001862")</f>
        <v>OKCountyRecords: 1992-001862</v>
      </c>
    </row>
    <row r="1298" spans="1:11" ht="32.1" customHeight="1" x14ac:dyDescent="0.25">
      <c r="A1298" s="278" t="s">
        <v>2460</v>
      </c>
      <c r="B1298" s="266"/>
      <c r="C1298" s="266" t="s">
        <v>969</v>
      </c>
      <c r="D1298" s="283" t="s">
        <v>7152</v>
      </c>
      <c r="E1298" s="291"/>
      <c r="F1298" s="295">
        <v>33750</v>
      </c>
      <c r="G1298" s="287" t="s">
        <v>2457</v>
      </c>
      <c r="H1298" s="266" t="s">
        <v>2227</v>
      </c>
      <c r="I1298" s="268" t="s">
        <v>5812</v>
      </c>
      <c r="J1298" s="299" t="s">
        <v>985</v>
      </c>
      <c r="K1298" s="259" t="str">
        <f>HYPERLINK("https://okcountyrecords.com/detail/roger+mills/1992-001863","OKCountyRecords: 1992-001863")</f>
        <v>OKCountyRecords: 1992-001863</v>
      </c>
    </row>
    <row r="1299" spans="1:11" ht="32.1" customHeight="1" x14ac:dyDescent="0.25">
      <c r="A1299" s="278" t="s">
        <v>2462</v>
      </c>
      <c r="B1299" s="266"/>
      <c r="C1299" s="266" t="s">
        <v>969</v>
      </c>
      <c r="D1299" s="283" t="s">
        <v>7154</v>
      </c>
      <c r="E1299" s="291"/>
      <c r="F1299" s="295">
        <v>33750</v>
      </c>
      <c r="G1299" s="287" t="s">
        <v>2457</v>
      </c>
      <c r="H1299" s="266" t="s">
        <v>2230</v>
      </c>
      <c r="I1299" s="268" t="s">
        <v>5812</v>
      </c>
      <c r="J1299" s="299" t="s">
        <v>985</v>
      </c>
      <c r="K1299" s="259" t="str">
        <f>HYPERLINK("https://okcountyrecords.com/detail/roger+mills/1992-001865","OKCountyRecords: 1992-001865")</f>
        <v>OKCountyRecords: 1992-001865</v>
      </c>
    </row>
    <row r="1300" spans="1:11" ht="32.1" customHeight="1" x14ac:dyDescent="0.25">
      <c r="A1300" s="278" t="s">
        <v>2464</v>
      </c>
      <c r="B1300" s="266"/>
      <c r="C1300" s="266" t="s">
        <v>969</v>
      </c>
      <c r="D1300" s="283" t="s">
        <v>7156</v>
      </c>
      <c r="E1300" s="291"/>
      <c r="F1300" s="295">
        <v>33750</v>
      </c>
      <c r="G1300" s="287" t="s">
        <v>2457</v>
      </c>
      <c r="H1300" s="266" t="s">
        <v>2466</v>
      </c>
      <c r="I1300" s="268" t="s">
        <v>5812</v>
      </c>
      <c r="J1300" s="299" t="s">
        <v>985</v>
      </c>
      <c r="K1300" s="259" t="str">
        <f>HYPERLINK("https://okcountyrecords.com/detail/roger+mills/1992-001866","OKCountyRecords: 1992-001866")</f>
        <v>OKCountyRecords: 1992-001866</v>
      </c>
    </row>
    <row r="1301" spans="1:11" ht="32.1" customHeight="1" x14ac:dyDescent="0.25">
      <c r="A1301" s="278" t="s">
        <v>2467</v>
      </c>
      <c r="B1301" s="266"/>
      <c r="C1301" s="266" t="s">
        <v>969</v>
      </c>
      <c r="D1301" s="283" t="s">
        <v>7158</v>
      </c>
      <c r="E1301" s="291"/>
      <c r="F1301" s="295">
        <v>33750</v>
      </c>
      <c r="G1301" s="287" t="s">
        <v>2457</v>
      </c>
      <c r="H1301" s="266" t="s">
        <v>2222</v>
      </c>
      <c r="I1301" s="268" t="s">
        <v>5812</v>
      </c>
      <c r="J1301" s="299" t="s">
        <v>985</v>
      </c>
      <c r="K1301" s="259" t="str">
        <f>HYPERLINK("https://okcountyrecords.com/detail/roger+mills/1992-001867","OKCountyRecords: 1992-001867")</f>
        <v>OKCountyRecords: 1992-001867</v>
      </c>
    </row>
    <row r="1302" spans="1:11" ht="32.1" customHeight="1" x14ac:dyDescent="0.25">
      <c r="A1302" s="278" t="s">
        <v>2469</v>
      </c>
      <c r="B1302" s="266"/>
      <c r="C1302" s="266" t="s">
        <v>969</v>
      </c>
      <c r="D1302" s="283" t="s">
        <v>7160</v>
      </c>
      <c r="E1302" s="291"/>
      <c r="F1302" s="295">
        <v>33857</v>
      </c>
      <c r="G1302" s="287" t="s">
        <v>472</v>
      </c>
      <c r="H1302" s="266" t="s">
        <v>265</v>
      </c>
      <c r="I1302" s="268" t="s">
        <v>5812</v>
      </c>
      <c r="J1302" s="299" t="s">
        <v>985</v>
      </c>
      <c r="K1302" s="259" t="str">
        <f>HYPERLINK("https://okcountyrecords.com/detail/roger+mills/1992-003373","OKCountyRecords: 1992-003373")</f>
        <v>OKCountyRecords: 1992-003373</v>
      </c>
    </row>
    <row r="1303" spans="1:11" ht="32.1" customHeight="1" x14ac:dyDescent="0.25">
      <c r="A1303" s="278" t="s">
        <v>2471</v>
      </c>
      <c r="B1303" s="266"/>
      <c r="C1303" s="266" t="s">
        <v>969</v>
      </c>
      <c r="D1303" s="283" t="s">
        <v>7163</v>
      </c>
      <c r="E1303" s="291"/>
      <c r="F1303" s="295">
        <v>33868</v>
      </c>
      <c r="G1303" s="287" t="s">
        <v>2157</v>
      </c>
      <c r="H1303" s="266" t="s">
        <v>394</v>
      </c>
      <c r="I1303" s="268" t="s">
        <v>5812</v>
      </c>
      <c r="J1303" s="299" t="s">
        <v>985</v>
      </c>
      <c r="K1303" s="259" t="str">
        <f>HYPERLINK("https://okcountyrecords.com/detail/roger+mills/1992-003494","OKCountyRecords: 1992-003494")</f>
        <v>OKCountyRecords: 1992-003494</v>
      </c>
    </row>
    <row r="1304" spans="1:11" ht="32.1" customHeight="1" x14ac:dyDescent="0.25">
      <c r="A1304" s="278" t="s">
        <v>2473</v>
      </c>
      <c r="B1304" s="266"/>
      <c r="C1304" s="266" t="s">
        <v>114</v>
      </c>
      <c r="D1304" s="283" t="s">
        <v>7166</v>
      </c>
      <c r="E1304" s="291"/>
      <c r="F1304" s="295">
        <v>33898</v>
      </c>
      <c r="G1304" s="287" t="s">
        <v>2475</v>
      </c>
      <c r="H1304" s="266" t="s">
        <v>2476</v>
      </c>
      <c r="I1304" s="268" t="s">
        <v>6193</v>
      </c>
      <c r="J1304" s="299" t="s">
        <v>996</v>
      </c>
      <c r="K1304" s="259" t="str">
        <f>HYPERLINK("https://okcountyrecords.com/detail/roger+mills/1992-003918","OKCountyRecords: 1992-003918")</f>
        <v>OKCountyRecords: 1992-003918</v>
      </c>
    </row>
    <row r="1305" spans="1:11" ht="32.1" customHeight="1" x14ac:dyDescent="0.25">
      <c r="A1305" s="278" t="s">
        <v>2477</v>
      </c>
      <c r="B1305" s="266"/>
      <c r="C1305" s="266" t="s">
        <v>114</v>
      </c>
      <c r="D1305" s="283" t="s">
        <v>7169</v>
      </c>
      <c r="E1305" s="291"/>
      <c r="F1305" s="295">
        <v>33966</v>
      </c>
      <c r="G1305" s="287" t="s">
        <v>2479</v>
      </c>
      <c r="H1305" s="266" t="s">
        <v>2480</v>
      </c>
      <c r="I1305" s="268" t="s">
        <v>5812</v>
      </c>
      <c r="J1305" s="299" t="s">
        <v>996</v>
      </c>
      <c r="K1305" s="259" t="str">
        <f>HYPERLINK("https://okcountyrecords.com/detail/roger+mills/1992-004778","OKCountyRecords: 1992-004778")</f>
        <v>OKCountyRecords: 1992-004778</v>
      </c>
    </row>
    <row r="1306" spans="1:11" ht="32.1" customHeight="1" x14ac:dyDescent="0.25">
      <c r="A1306" s="278" t="s">
        <v>2481</v>
      </c>
      <c r="B1306" s="266"/>
      <c r="C1306" s="266" t="s">
        <v>114</v>
      </c>
      <c r="D1306" s="283" t="s">
        <v>7172</v>
      </c>
      <c r="E1306" s="291"/>
      <c r="F1306" s="295">
        <v>33977</v>
      </c>
      <c r="G1306" s="287" t="s">
        <v>2475</v>
      </c>
      <c r="H1306" s="266" t="s">
        <v>2476</v>
      </c>
      <c r="I1306" s="268" t="s">
        <v>6193</v>
      </c>
      <c r="J1306" s="299" t="s">
        <v>996</v>
      </c>
      <c r="K1306" s="259" t="str">
        <f>HYPERLINK("https://okcountyrecords.com/detail/roger+mills/1993-000098","OKCountyRecords: 1993-000098")</f>
        <v>OKCountyRecords: 1993-000098</v>
      </c>
    </row>
    <row r="1307" spans="1:11" ht="32.1" customHeight="1" x14ac:dyDescent="0.25">
      <c r="A1307" s="278" t="s">
        <v>2483</v>
      </c>
      <c r="B1307" s="266"/>
      <c r="C1307" s="266" t="s">
        <v>1091</v>
      </c>
      <c r="D1307" s="283" t="s">
        <v>7175</v>
      </c>
      <c r="E1307" s="291"/>
      <c r="F1307" s="295">
        <v>34018</v>
      </c>
      <c r="G1307" s="287" t="s">
        <v>2485</v>
      </c>
      <c r="H1307" s="266" t="s">
        <v>2486</v>
      </c>
      <c r="I1307" s="268" t="s">
        <v>5812</v>
      </c>
      <c r="J1307" s="299" t="s">
        <v>1095</v>
      </c>
      <c r="K1307" s="259" t="str">
        <f>HYPERLINK("https://okcountyrecords.com/detail/roger+mills/1993-000717","OKCountyRecords: 1993-000717")</f>
        <v>OKCountyRecords: 1993-000717</v>
      </c>
    </row>
    <row r="1308" spans="1:11" ht="32.1" customHeight="1" x14ac:dyDescent="0.25">
      <c r="A1308" s="278" t="s">
        <v>2487</v>
      </c>
      <c r="B1308" s="266"/>
      <c r="C1308" s="266" t="s">
        <v>1274</v>
      </c>
      <c r="D1308" s="283" t="s">
        <v>4349</v>
      </c>
      <c r="E1308" s="291"/>
      <c r="F1308" s="295">
        <v>34032</v>
      </c>
      <c r="G1308" s="287" t="s">
        <v>2489</v>
      </c>
      <c r="H1308" s="266" t="s">
        <v>2490</v>
      </c>
      <c r="I1308" s="268" t="s">
        <v>7179</v>
      </c>
      <c r="J1308" s="299" t="s">
        <v>985</v>
      </c>
      <c r="K1308" s="259" t="str">
        <f>HYPERLINK("https://okcountyrecords.com/detail/roger+mills/1993-000918","OKCountyRecords: 1993-000918")</f>
        <v>OKCountyRecords: 1993-000918</v>
      </c>
    </row>
    <row r="1309" spans="1:11" ht="32.1" customHeight="1" x14ac:dyDescent="0.25">
      <c r="A1309" s="278" t="s">
        <v>2492</v>
      </c>
      <c r="B1309" s="266"/>
      <c r="C1309" s="266" t="s">
        <v>1107</v>
      </c>
      <c r="D1309" s="283" t="s">
        <v>7181</v>
      </c>
      <c r="E1309" s="291"/>
      <c r="F1309" s="295">
        <v>34036</v>
      </c>
      <c r="G1309" s="287" t="s">
        <v>566</v>
      </c>
      <c r="H1309" s="266" t="s">
        <v>1110</v>
      </c>
      <c r="I1309" s="268" t="s">
        <v>5812</v>
      </c>
      <c r="J1309" s="299" t="s">
        <v>1095</v>
      </c>
      <c r="K1309" s="259" t="str">
        <f>HYPERLINK("https://okcountyrecords.com/detail/roger+mills/1993-000978","OKCountyRecords: 1993-000978")</f>
        <v>OKCountyRecords: 1993-000978</v>
      </c>
    </row>
    <row r="1310" spans="1:11" ht="32.1" customHeight="1" x14ac:dyDescent="0.25">
      <c r="A1310" s="278" t="s">
        <v>2494</v>
      </c>
      <c r="B1310" s="266"/>
      <c r="C1310" s="266" t="s">
        <v>114</v>
      </c>
      <c r="D1310" s="283" t="s">
        <v>7184</v>
      </c>
      <c r="E1310" s="291"/>
      <c r="F1310" s="295">
        <v>34088</v>
      </c>
      <c r="G1310" s="287" t="s">
        <v>2496</v>
      </c>
      <c r="H1310" s="266" t="s">
        <v>2497</v>
      </c>
      <c r="I1310" s="268" t="s">
        <v>5812</v>
      </c>
      <c r="J1310" s="299" t="s">
        <v>996</v>
      </c>
      <c r="K1310" s="259" t="str">
        <f>HYPERLINK("https://okcountyrecords.com/detail/roger+mills/1993-001727","OKCountyRecords: 1993-001727")</f>
        <v>OKCountyRecords: 1993-001727</v>
      </c>
    </row>
    <row r="1311" spans="1:11" ht="32.1" customHeight="1" x14ac:dyDescent="0.25">
      <c r="A1311" s="278" t="s">
        <v>2498</v>
      </c>
      <c r="B1311" s="266"/>
      <c r="C1311" s="266" t="s">
        <v>114</v>
      </c>
      <c r="D1311" s="283" t="s">
        <v>7187</v>
      </c>
      <c r="E1311" s="291"/>
      <c r="F1311" s="295">
        <v>34116</v>
      </c>
      <c r="G1311" s="287" t="s">
        <v>2500</v>
      </c>
      <c r="H1311" s="266" t="s">
        <v>2501</v>
      </c>
      <c r="I1311" s="268" t="s">
        <v>6193</v>
      </c>
      <c r="J1311" s="299" t="s">
        <v>996</v>
      </c>
      <c r="K1311" s="259" t="str">
        <f>HYPERLINK("https://okcountyrecords.com/detail/roger+mills/1993-002107","OKCountyRecords: 1993-002107")</f>
        <v>OKCountyRecords: 1993-002107</v>
      </c>
    </row>
    <row r="1312" spans="1:11" ht="32.1" customHeight="1" x14ac:dyDescent="0.25">
      <c r="A1312" s="278" t="s">
        <v>2502</v>
      </c>
      <c r="B1312" s="266"/>
      <c r="C1312" s="266" t="s">
        <v>969</v>
      </c>
      <c r="D1312" s="283" t="s">
        <v>7190</v>
      </c>
      <c r="E1312" s="291"/>
      <c r="F1312" s="295">
        <v>34199</v>
      </c>
      <c r="G1312" s="287" t="s">
        <v>2504</v>
      </c>
      <c r="H1312" s="266" t="s">
        <v>2428</v>
      </c>
      <c r="I1312" s="268" t="s">
        <v>5812</v>
      </c>
      <c r="J1312" s="299" t="s">
        <v>985</v>
      </c>
      <c r="K1312" s="259" t="str">
        <f>HYPERLINK("https://okcountyrecords.com/detail/roger+mills/1993-003365","OKCountyRecords: 1993-003365")</f>
        <v>OKCountyRecords: 1993-003365</v>
      </c>
    </row>
    <row r="1313" spans="1:11" ht="32.1" customHeight="1" x14ac:dyDescent="0.25">
      <c r="A1313" s="278" t="s">
        <v>2505</v>
      </c>
      <c r="B1313" s="266"/>
      <c r="C1313" s="266" t="s">
        <v>2506</v>
      </c>
      <c r="D1313" s="283" t="s">
        <v>7193</v>
      </c>
      <c r="E1313" s="291"/>
      <c r="F1313" s="295">
        <v>34432</v>
      </c>
      <c r="G1313" s="287" t="s">
        <v>568</v>
      </c>
      <c r="H1313" s="266" t="s">
        <v>2508</v>
      </c>
      <c r="I1313" s="268" t="s">
        <v>5812</v>
      </c>
      <c r="J1313" s="299" t="s">
        <v>985</v>
      </c>
      <c r="K1313" s="259" t="str">
        <f>HYPERLINK("https://okcountyrecords.com/detail/roger+mills/1994-004578","OKCountyRecords: 1994-004578")</f>
        <v>OKCountyRecords: 1994-004578</v>
      </c>
    </row>
    <row r="1314" spans="1:11" ht="32.1" customHeight="1" x14ac:dyDescent="0.25">
      <c r="A1314" s="278" t="s">
        <v>2509</v>
      </c>
      <c r="B1314" s="266"/>
      <c r="C1314" s="266" t="s">
        <v>1274</v>
      </c>
      <c r="D1314" s="283" t="s">
        <v>7196</v>
      </c>
      <c r="E1314" s="291"/>
      <c r="F1314" s="295">
        <v>34452</v>
      </c>
      <c r="G1314" s="287" t="s">
        <v>2511</v>
      </c>
      <c r="H1314" s="266" t="s">
        <v>1110</v>
      </c>
      <c r="I1314" s="268" t="s">
        <v>5812</v>
      </c>
      <c r="J1314" s="299" t="s">
        <v>985</v>
      </c>
      <c r="K1314" s="259" t="str">
        <f>HYPERLINK("https://okcountyrecords.com/detail/roger+mills/1994-004940","OKCountyRecords: 1994-004940")</f>
        <v>OKCountyRecords: 1994-004940</v>
      </c>
    </row>
    <row r="1315" spans="1:11" ht="32.1" customHeight="1" x14ac:dyDescent="0.25">
      <c r="A1315" s="278" t="s">
        <v>2512</v>
      </c>
      <c r="B1315" s="266"/>
      <c r="C1315" s="266" t="s">
        <v>1623</v>
      </c>
      <c r="D1315" s="283" t="s">
        <v>4151</v>
      </c>
      <c r="E1315" s="291"/>
      <c r="F1315" s="295">
        <v>34542</v>
      </c>
      <c r="G1315" s="287" t="s">
        <v>610</v>
      </c>
      <c r="H1315" s="266" t="s">
        <v>2514</v>
      </c>
      <c r="I1315" s="268" t="s">
        <v>7200</v>
      </c>
      <c r="J1315" s="299" t="s">
        <v>1625</v>
      </c>
      <c r="K1315" s="259" t="str">
        <f>HYPERLINK("https://okcountyrecords.com/detail/roger+mills/1994-006415","OKCountyRecords: 1994-006415")</f>
        <v>OKCountyRecords: 1994-006415</v>
      </c>
    </row>
    <row r="1316" spans="1:11" ht="32.1" customHeight="1" x14ac:dyDescent="0.25">
      <c r="A1316" s="278" t="s">
        <v>2516</v>
      </c>
      <c r="B1316" s="266"/>
      <c r="C1316" s="266" t="s">
        <v>1623</v>
      </c>
      <c r="D1316" s="283" t="s">
        <v>4152</v>
      </c>
      <c r="E1316" s="291"/>
      <c r="F1316" s="295">
        <v>34754</v>
      </c>
      <c r="G1316" s="287" t="s">
        <v>2518</v>
      </c>
      <c r="H1316" s="266" t="s">
        <v>2519</v>
      </c>
      <c r="I1316" s="268" t="s">
        <v>7200</v>
      </c>
      <c r="J1316" s="299" t="s">
        <v>1625</v>
      </c>
      <c r="K1316" s="259" t="str">
        <f>HYPERLINK("https://okcountyrecords.com/detail/roger+mills/1995-003404","OKCountyRecords: 1995-003404")</f>
        <v>OKCountyRecords: 1995-003404</v>
      </c>
    </row>
    <row r="1317" spans="1:11" ht="32.1" customHeight="1" x14ac:dyDescent="0.25">
      <c r="A1317" s="278" t="s">
        <v>2520</v>
      </c>
      <c r="B1317" s="266"/>
      <c r="C1317" s="266" t="s">
        <v>114</v>
      </c>
      <c r="D1317" s="283" t="s">
        <v>7204</v>
      </c>
      <c r="E1317" s="291"/>
      <c r="F1317" s="295">
        <v>34757</v>
      </c>
      <c r="G1317" s="287" t="s">
        <v>2476</v>
      </c>
      <c r="H1317" s="266" t="s">
        <v>2522</v>
      </c>
      <c r="I1317" s="268" t="s">
        <v>6193</v>
      </c>
      <c r="J1317" s="299" t="s">
        <v>996</v>
      </c>
      <c r="K1317" s="259" t="str">
        <f>HYPERLINK("https://okcountyrecords.com/detail/roger+mills/1995-003422","OKCountyRecords: 1995-003422")</f>
        <v>OKCountyRecords: 1995-003422</v>
      </c>
    </row>
    <row r="1318" spans="1:11" ht="32.1" customHeight="1" x14ac:dyDescent="0.25">
      <c r="A1318" s="278" t="s">
        <v>2523</v>
      </c>
      <c r="B1318" s="266"/>
      <c r="C1318" s="266" t="s">
        <v>2506</v>
      </c>
      <c r="D1318" s="283" t="s">
        <v>4350</v>
      </c>
      <c r="E1318" s="291"/>
      <c r="F1318" s="295">
        <v>34778</v>
      </c>
      <c r="G1318" s="287" t="s">
        <v>566</v>
      </c>
      <c r="H1318" s="266" t="s">
        <v>2525</v>
      </c>
      <c r="I1318" s="268" t="s">
        <v>7208</v>
      </c>
      <c r="J1318" s="299" t="s">
        <v>985</v>
      </c>
      <c r="K1318" s="259" t="str">
        <f>HYPERLINK("https://okcountyrecords.com/detail/roger+mills/1995-003767","OKCountyRecords: 1995-003767")</f>
        <v>OKCountyRecords: 1995-003767</v>
      </c>
    </row>
    <row r="1319" spans="1:11" ht="32.1" customHeight="1" x14ac:dyDescent="0.25">
      <c r="A1319" s="278" t="s">
        <v>2527</v>
      </c>
      <c r="B1319" s="266"/>
      <c r="C1319" s="266" t="s">
        <v>2506</v>
      </c>
      <c r="D1319" s="283" t="s">
        <v>4218</v>
      </c>
      <c r="E1319" s="291"/>
      <c r="F1319" s="295">
        <v>34806</v>
      </c>
      <c r="G1319" s="287" t="s">
        <v>2529</v>
      </c>
      <c r="H1319" s="266" t="s">
        <v>2530</v>
      </c>
      <c r="I1319" s="268" t="s">
        <v>497</v>
      </c>
      <c r="J1319" s="299" t="s">
        <v>985</v>
      </c>
      <c r="K1319" s="259" t="str">
        <f>HYPERLINK("https://okcountyrecords.com/detail/roger+mills/1995-004151","OKCountyRecords: 1995-004151")</f>
        <v>OKCountyRecords: 1995-004151</v>
      </c>
    </row>
    <row r="1320" spans="1:11" ht="32.1" customHeight="1" x14ac:dyDescent="0.25">
      <c r="A1320" s="278" t="s">
        <v>2531</v>
      </c>
      <c r="B1320" s="266"/>
      <c r="C1320" s="266" t="s">
        <v>1623</v>
      </c>
      <c r="D1320" s="283" t="s">
        <v>4219</v>
      </c>
      <c r="E1320" s="291"/>
      <c r="F1320" s="295">
        <v>34920</v>
      </c>
      <c r="G1320" s="287" t="s">
        <v>2533</v>
      </c>
      <c r="H1320" s="266" t="s">
        <v>525</v>
      </c>
      <c r="I1320" s="268" t="s">
        <v>7213</v>
      </c>
      <c r="J1320" s="299" t="s">
        <v>1625</v>
      </c>
      <c r="K1320" s="259" t="str">
        <f>HYPERLINK("https://okcountyrecords.com/detail/roger+mills/1995-000396","OKCountyRecords: 1995-000396")</f>
        <v>OKCountyRecords: 1995-000396</v>
      </c>
    </row>
    <row r="1321" spans="1:11" ht="32.1" customHeight="1" x14ac:dyDescent="0.25">
      <c r="A1321" s="278" t="s">
        <v>2535</v>
      </c>
      <c r="B1321" s="266"/>
      <c r="C1321" s="266" t="s">
        <v>82</v>
      </c>
      <c r="D1321" s="283" t="s">
        <v>4351</v>
      </c>
      <c r="E1321" s="291"/>
      <c r="F1321" s="295">
        <v>34950</v>
      </c>
      <c r="G1321" s="287" t="s">
        <v>2537</v>
      </c>
      <c r="H1321" s="266" t="s">
        <v>2538</v>
      </c>
      <c r="I1321" s="268" t="s">
        <v>7216</v>
      </c>
      <c r="J1321" s="299" t="s">
        <v>1625</v>
      </c>
      <c r="K1321" s="259" t="str">
        <f>HYPERLINK("https://okcountyrecords.com/detail/roger+mills/1995-000748","OKCountyRecords: 1995-000748")</f>
        <v>OKCountyRecords: 1995-000748</v>
      </c>
    </row>
    <row r="1322" spans="1:11" ht="32.1" customHeight="1" x14ac:dyDescent="0.25">
      <c r="A1322" s="278" t="s">
        <v>2540</v>
      </c>
      <c r="B1322" s="266"/>
      <c r="C1322" s="266" t="s">
        <v>1274</v>
      </c>
      <c r="D1322" s="283" t="s">
        <v>4220</v>
      </c>
      <c r="E1322" s="291"/>
      <c r="F1322" s="295">
        <v>35038</v>
      </c>
      <c r="G1322" s="287" t="s">
        <v>2542</v>
      </c>
      <c r="H1322" s="266" t="s">
        <v>1110</v>
      </c>
      <c r="I1322" s="268" t="s">
        <v>7219</v>
      </c>
      <c r="J1322" s="299" t="s">
        <v>985</v>
      </c>
      <c r="K1322" s="259" t="str">
        <f>HYPERLINK("https://okcountyrecords.com/detail/roger+mills/1995-001954","OKCountyRecords: 1995-001954")</f>
        <v>OKCountyRecords: 1995-001954</v>
      </c>
    </row>
    <row r="1323" spans="1:11" ht="32.1" customHeight="1" x14ac:dyDescent="0.25">
      <c r="A1323" s="278" t="s">
        <v>2544</v>
      </c>
      <c r="B1323" s="266"/>
      <c r="C1323" s="266" t="s">
        <v>114</v>
      </c>
      <c r="D1323" s="283" t="s">
        <v>7221</v>
      </c>
      <c r="E1323" s="291"/>
      <c r="F1323" s="295">
        <v>35159</v>
      </c>
      <c r="G1323" s="287" t="s">
        <v>2480</v>
      </c>
      <c r="H1323" s="266" t="s">
        <v>2546</v>
      </c>
      <c r="I1323" s="268" t="s">
        <v>6193</v>
      </c>
      <c r="J1323" s="299" t="s">
        <v>996</v>
      </c>
      <c r="K1323" s="259" t="str">
        <f>HYPERLINK("https://okcountyrecords.com/detail/roger+mills/1996-003719","OKCountyRecords: 1996-003719")</f>
        <v>OKCountyRecords: 1996-003719</v>
      </c>
    </row>
    <row r="1324" spans="1:11" ht="32.1" customHeight="1" x14ac:dyDescent="0.25">
      <c r="A1324" s="278" t="s">
        <v>2547</v>
      </c>
      <c r="B1324" s="266"/>
      <c r="C1324" s="266" t="s">
        <v>993</v>
      </c>
      <c r="D1324" s="283" t="s">
        <v>7224</v>
      </c>
      <c r="E1324" s="291"/>
      <c r="F1324" s="295">
        <v>35199</v>
      </c>
      <c r="G1324" s="287" t="s">
        <v>1391</v>
      </c>
      <c r="H1324" s="266" t="s">
        <v>436</v>
      </c>
      <c r="I1324" s="268" t="s">
        <v>7226</v>
      </c>
      <c r="J1324" s="299" t="s">
        <v>996</v>
      </c>
      <c r="K1324" s="259" t="str">
        <f>HYPERLINK("https://okcountyrecords.com/detail/roger+mills/1996-004168","OKCountyRecords: 1996-004168")</f>
        <v>OKCountyRecords: 1996-004168</v>
      </c>
    </row>
    <row r="1325" spans="1:11" ht="32.1" customHeight="1" x14ac:dyDescent="0.25">
      <c r="A1325" s="278" t="s">
        <v>2550</v>
      </c>
      <c r="B1325" s="266"/>
      <c r="C1325" s="266" t="s">
        <v>2430</v>
      </c>
      <c r="D1325" s="283" t="s">
        <v>4153</v>
      </c>
      <c r="E1325" s="291"/>
      <c r="F1325" s="295">
        <v>35429</v>
      </c>
      <c r="G1325" s="287" t="s">
        <v>436</v>
      </c>
      <c r="H1325" s="266" t="s">
        <v>2552</v>
      </c>
      <c r="I1325" s="268" t="s">
        <v>7229</v>
      </c>
      <c r="J1325" s="299" t="s">
        <v>985</v>
      </c>
      <c r="K1325" s="259" t="str">
        <f>HYPERLINK("https://okcountyrecords.com/detail/roger+mills/1996-002352","OKCountyRecords: 1996-002352")</f>
        <v>OKCountyRecords: 1996-002352</v>
      </c>
    </row>
    <row r="1326" spans="1:11" ht="32.1" customHeight="1" x14ac:dyDescent="0.25">
      <c r="A1326" s="278" t="s">
        <v>2554</v>
      </c>
      <c r="B1326" s="266"/>
      <c r="C1326" s="266" t="s">
        <v>2506</v>
      </c>
      <c r="D1326" s="283" t="s">
        <v>7231</v>
      </c>
      <c r="E1326" s="291">
        <v>35432</v>
      </c>
      <c r="F1326" s="295">
        <v>35430</v>
      </c>
      <c r="G1326" s="287" t="s">
        <v>2556</v>
      </c>
      <c r="H1326" s="266" t="s">
        <v>2557</v>
      </c>
      <c r="I1326" s="268" t="s">
        <v>6193</v>
      </c>
      <c r="J1326" s="299" t="s">
        <v>985</v>
      </c>
      <c r="K1326" s="259" t="str">
        <f>HYPERLINK("https://okcountyrecords.com/detail/roger+mills/1997-006370","OKCountyRecords: 1997-006370")</f>
        <v>OKCountyRecords: 1997-006370</v>
      </c>
    </row>
    <row r="1327" spans="1:11" ht="32.1" customHeight="1" x14ac:dyDescent="0.25">
      <c r="A1327" s="278" t="s">
        <v>2559</v>
      </c>
      <c r="B1327" s="266"/>
      <c r="C1327" s="266" t="s">
        <v>2506</v>
      </c>
      <c r="D1327" s="283" t="s">
        <v>7234</v>
      </c>
      <c r="E1327" s="291">
        <v>35433</v>
      </c>
      <c r="F1327" s="295">
        <v>35432</v>
      </c>
      <c r="G1327" s="287" t="s">
        <v>2556</v>
      </c>
      <c r="H1327" s="266" t="s">
        <v>2557</v>
      </c>
      <c r="I1327" s="268" t="s">
        <v>6193</v>
      </c>
      <c r="J1327" s="299" t="s">
        <v>985</v>
      </c>
      <c r="K1327" s="259" t="str">
        <f>HYPERLINK("https://okcountyrecords.com/detail/roger+mills/1997-005183","OKCountyRecords: 1997-005183")</f>
        <v>OKCountyRecords: 1997-005183</v>
      </c>
    </row>
    <row r="1328" spans="1:11" ht="32.1" customHeight="1" x14ac:dyDescent="0.25">
      <c r="A1328" s="278" t="s">
        <v>2561</v>
      </c>
      <c r="B1328" s="266"/>
      <c r="C1328" s="266" t="s">
        <v>114</v>
      </c>
      <c r="D1328" s="283" t="s">
        <v>7237</v>
      </c>
      <c r="E1328" s="291"/>
      <c r="F1328" s="295">
        <v>35443</v>
      </c>
      <c r="G1328" s="287" t="s">
        <v>2563</v>
      </c>
      <c r="H1328" s="266" t="s">
        <v>2564</v>
      </c>
      <c r="I1328" s="268" t="s">
        <v>6193</v>
      </c>
      <c r="J1328" s="299" t="s">
        <v>996</v>
      </c>
      <c r="K1328" s="259" t="str">
        <f>HYPERLINK("https://okcountyrecords.com/detail/roger+mills/1997-002567","OKCountyRecords: 1997-002567")</f>
        <v>OKCountyRecords: 1997-002567</v>
      </c>
    </row>
    <row r="1329" spans="1:11" ht="32.1" customHeight="1" x14ac:dyDescent="0.25">
      <c r="A1329" s="278" t="s">
        <v>2565</v>
      </c>
      <c r="B1329" s="266"/>
      <c r="C1329" s="266" t="s">
        <v>2430</v>
      </c>
      <c r="D1329" s="283" t="s">
        <v>4352</v>
      </c>
      <c r="E1329" s="291"/>
      <c r="F1329" s="295">
        <v>35479</v>
      </c>
      <c r="G1329" s="287" t="s">
        <v>436</v>
      </c>
      <c r="H1329" s="266" t="s">
        <v>2567</v>
      </c>
      <c r="I1329" s="268" t="s">
        <v>7241</v>
      </c>
      <c r="J1329" s="299" t="s">
        <v>985</v>
      </c>
      <c r="K1329" s="259" t="str">
        <f>HYPERLINK("https://okcountyrecords.com/detail/roger+mills/1997-003023","OKCountyRecords: 1997-003023")</f>
        <v>OKCountyRecords: 1997-003023</v>
      </c>
    </row>
    <row r="1330" spans="1:11" ht="32.1" customHeight="1" x14ac:dyDescent="0.25">
      <c r="A1330" s="278" t="s">
        <v>2570</v>
      </c>
      <c r="B1330" s="266"/>
      <c r="C1330" s="266" t="s">
        <v>1107</v>
      </c>
      <c r="D1330" s="283" t="s">
        <v>7243</v>
      </c>
      <c r="E1330" s="291"/>
      <c r="F1330" s="295">
        <v>35549</v>
      </c>
      <c r="G1330" s="287" t="s">
        <v>2572</v>
      </c>
      <c r="H1330" s="266" t="s">
        <v>1110</v>
      </c>
      <c r="I1330" s="268" t="s">
        <v>7216</v>
      </c>
      <c r="J1330" s="299" t="s">
        <v>1095</v>
      </c>
      <c r="K1330" s="259" t="str">
        <f>HYPERLINK("https://okcountyrecords.com/detail/roger+mills/1997-004254","OKCountyRecords: 1997-004254")</f>
        <v>OKCountyRecords: 1997-004254</v>
      </c>
    </row>
    <row r="1331" spans="1:11" ht="32.1" customHeight="1" x14ac:dyDescent="0.25">
      <c r="A1331" s="278" t="s">
        <v>2574</v>
      </c>
      <c r="B1331" s="266"/>
      <c r="C1331" s="266" t="s">
        <v>114</v>
      </c>
      <c r="D1331" s="283" t="s">
        <v>7246</v>
      </c>
      <c r="E1331" s="291"/>
      <c r="F1331" s="295">
        <v>35922</v>
      </c>
      <c r="G1331" s="287" t="s">
        <v>2576</v>
      </c>
      <c r="H1331" s="266" t="s">
        <v>2577</v>
      </c>
      <c r="I1331" s="268" t="s">
        <v>6193</v>
      </c>
      <c r="J1331" s="299" t="s">
        <v>996</v>
      </c>
      <c r="K1331" s="259" t="str">
        <f>HYPERLINK("https://okcountyrecords.com/detail/roger+mills/1998-004619","OKCountyRecords: 1998-004619")</f>
        <v>OKCountyRecords: 1998-004619</v>
      </c>
    </row>
    <row r="1332" spans="1:11" ht="32.1" customHeight="1" x14ac:dyDescent="0.25">
      <c r="A1332" s="278" t="s">
        <v>2578</v>
      </c>
      <c r="B1332" s="266"/>
      <c r="C1332" s="266" t="s">
        <v>114</v>
      </c>
      <c r="D1332" s="283" t="s">
        <v>7249</v>
      </c>
      <c r="E1332" s="291"/>
      <c r="F1332" s="295">
        <v>36008</v>
      </c>
      <c r="G1332" s="287" t="s">
        <v>2376</v>
      </c>
      <c r="H1332" s="266" t="s">
        <v>2580</v>
      </c>
      <c r="I1332" s="268" t="s">
        <v>7200</v>
      </c>
      <c r="J1332" s="299" t="s">
        <v>996</v>
      </c>
      <c r="K1332" s="259" t="str">
        <f>HYPERLINK("https://okcountyrecords.com/detail/roger+mills/1994-000003","OKCountyRecords: 1994-000003")</f>
        <v>OKCountyRecords: 1994-000003</v>
      </c>
    </row>
    <row r="1333" spans="1:11" ht="32.1" customHeight="1" x14ac:dyDescent="0.25">
      <c r="A1333" s="278" t="s">
        <v>2581</v>
      </c>
      <c r="B1333" s="266"/>
      <c r="C1333" s="266" t="s">
        <v>82</v>
      </c>
      <c r="D1333" s="283" t="s">
        <v>4221</v>
      </c>
      <c r="E1333" s="291"/>
      <c r="F1333" s="295">
        <v>36026</v>
      </c>
      <c r="G1333" s="287" t="s">
        <v>511</v>
      </c>
      <c r="H1333" s="266" t="s">
        <v>2583</v>
      </c>
      <c r="I1333" s="268" t="s">
        <v>7219</v>
      </c>
      <c r="J1333" s="299" t="s">
        <v>1625</v>
      </c>
      <c r="K1333" s="259" t="str">
        <f>HYPERLINK("https://okcountyrecords.com/detail/roger+mills/1998-000584","OKCountyRecords: 1998-000584")</f>
        <v>OKCountyRecords: 1998-000584</v>
      </c>
    </row>
    <row r="1334" spans="1:11" ht="32.1" customHeight="1" x14ac:dyDescent="0.25">
      <c r="A1334" s="278" t="s">
        <v>2584</v>
      </c>
      <c r="B1334" s="266"/>
      <c r="C1334" s="266" t="s">
        <v>82</v>
      </c>
      <c r="D1334" s="283" t="s">
        <v>4222</v>
      </c>
      <c r="E1334" s="291"/>
      <c r="F1334" s="295">
        <v>36059</v>
      </c>
      <c r="G1334" s="287" t="s">
        <v>509</v>
      </c>
      <c r="H1334" s="266" t="s">
        <v>2586</v>
      </c>
      <c r="I1334" s="268" t="s">
        <v>7219</v>
      </c>
      <c r="J1334" s="299" t="s">
        <v>1625</v>
      </c>
      <c r="K1334" s="259" t="str">
        <f>HYPERLINK("https://okcountyrecords.com/detail/roger+mills/1998-000907","OKCountyRecords: 1998-000907")</f>
        <v>OKCountyRecords: 1998-000907</v>
      </c>
    </row>
    <row r="1335" spans="1:11" ht="32.1" customHeight="1" x14ac:dyDescent="0.25">
      <c r="A1335" s="278" t="s">
        <v>2587</v>
      </c>
      <c r="B1335" s="266"/>
      <c r="C1335" s="266" t="s">
        <v>1623</v>
      </c>
      <c r="D1335" s="283" t="s">
        <v>4223</v>
      </c>
      <c r="E1335" s="291"/>
      <c r="F1335" s="295">
        <v>36175</v>
      </c>
      <c r="G1335" s="287" t="s">
        <v>2115</v>
      </c>
      <c r="H1335" s="266" t="s">
        <v>288</v>
      </c>
      <c r="I1335" s="268" t="s">
        <v>7219</v>
      </c>
      <c r="J1335" s="299" t="s">
        <v>1625</v>
      </c>
      <c r="K1335" s="259" t="str">
        <f>HYPERLINK("https://okcountyrecords.com/detail/roger+mills/1999-002219","OKCountyRecords: 1999-002219")</f>
        <v>OKCountyRecords: 1999-002219</v>
      </c>
    </row>
    <row r="1336" spans="1:11" ht="32.1" customHeight="1" x14ac:dyDescent="0.25">
      <c r="A1336" s="278" t="s">
        <v>2589</v>
      </c>
      <c r="B1336" s="266"/>
      <c r="C1336" s="266" t="s">
        <v>1623</v>
      </c>
      <c r="D1336" s="283" t="s">
        <v>4224</v>
      </c>
      <c r="E1336" s="291"/>
      <c r="F1336" s="295">
        <v>36175</v>
      </c>
      <c r="G1336" s="287" t="s">
        <v>2115</v>
      </c>
      <c r="H1336" s="266" t="s">
        <v>288</v>
      </c>
      <c r="I1336" s="268" t="s">
        <v>7219</v>
      </c>
      <c r="J1336" s="299" t="s">
        <v>1625</v>
      </c>
      <c r="K1336" s="259" t="str">
        <f>HYPERLINK("https://okcountyrecords.com/detail/roger+mills/1999-002220","OKCountyRecords: 1999-002220")</f>
        <v>OKCountyRecords: 1999-002220</v>
      </c>
    </row>
    <row r="1337" spans="1:11" ht="32.1" customHeight="1" x14ac:dyDescent="0.25">
      <c r="A1337" s="278" t="s">
        <v>2591</v>
      </c>
      <c r="B1337" s="266"/>
      <c r="C1337" s="266" t="s">
        <v>1623</v>
      </c>
      <c r="D1337" s="283" t="s">
        <v>4225</v>
      </c>
      <c r="E1337" s="291"/>
      <c r="F1337" s="295">
        <v>36215</v>
      </c>
      <c r="G1337" s="287" t="s">
        <v>525</v>
      </c>
      <c r="H1337" s="266" t="s">
        <v>1110</v>
      </c>
      <c r="I1337" s="268" t="s">
        <v>7219</v>
      </c>
      <c r="J1337" s="299" t="s">
        <v>1625</v>
      </c>
      <c r="K1337" s="259" t="str">
        <f>HYPERLINK("https://okcountyrecords.com/detail/roger+mills/1999-002739","OKCountyRecords: 1999-002739")</f>
        <v>OKCountyRecords: 1999-002739</v>
      </c>
    </row>
    <row r="1338" spans="1:11" ht="32.1" customHeight="1" x14ac:dyDescent="0.25">
      <c r="A1338" s="278" t="s">
        <v>2593</v>
      </c>
      <c r="B1338" s="266"/>
      <c r="C1338" s="266" t="s">
        <v>2594</v>
      </c>
      <c r="D1338" s="283" t="s">
        <v>7261</v>
      </c>
      <c r="E1338" s="291"/>
      <c r="F1338" s="295">
        <v>36250</v>
      </c>
      <c r="G1338" s="287" t="s">
        <v>730</v>
      </c>
      <c r="H1338" s="266" t="s">
        <v>1110</v>
      </c>
      <c r="I1338" s="268" t="s">
        <v>7263</v>
      </c>
      <c r="J1338" s="299" t="s">
        <v>985</v>
      </c>
      <c r="K1338" s="259" t="str">
        <f>HYPERLINK("https://okcountyrecords.com/detail/roger+mills/1999-003117","OKCountyRecords: 1999-003117")</f>
        <v>OKCountyRecords: 1999-003117</v>
      </c>
    </row>
    <row r="1339" spans="1:11" ht="32.1" customHeight="1" x14ac:dyDescent="0.25">
      <c r="A1339" s="278" t="s">
        <v>2597</v>
      </c>
      <c r="B1339" s="266"/>
      <c r="C1339" s="266" t="s">
        <v>1107</v>
      </c>
      <c r="D1339" s="283" t="s">
        <v>7265</v>
      </c>
      <c r="E1339" s="291"/>
      <c r="F1339" s="295">
        <v>36270</v>
      </c>
      <c r="G1339" s="287" t="s">
        <v>2238</v>
      </c>
      <c r="H1339" s="266" t="s">
        <v>1110</v>
      </c>
      <c r="I1339" s="268" t="s">
        <v>7219</v>
      </c>
      <c r="J1339" s="299" t="s">
        <v>1095</v>
      </c>
      <c r="K1339" s="259" t="str">
        <f>HYPERLINK("https://okcountyrecords.com/detail/roger+mills/1999-003362","OKCountyRecords: 1999-003362")</f>
        <v>OKCountyRecords: 1999-003362</v>
      </c>
    </row>
    <row r="1340" spans="1:11" ht="32.1" customHeight="1" x14ac:dyDescent="0.25">
      <c r="A1340" s="278" t="s">
        <v>2599</v>
      </c>
      <c r="B1340" s="266"/>
      <c r="C1340" s="266" t="s">
        <v>1623</v>
      </c>
      <c r="D1340" s="283" t="s">
        <v>4226</v>
      </c>
      <c r="E1340" s="291"/>
      <c r="F1340" s="295">
        <v>36270</v>
      </c>
      <c r="G1340" s="287" t="s">
        <v>2601</v>
      </c>
      <c r="H1340" s="266" t="s">
        <v>2602</v>
      </c>
      <c r="I1340" s="268" t="s">
        <v>7219</v>
      </c>
      <c r="J1340" s="299" t="s">
        <v>1625</v>
      </c>
      <c r="K1340" s="259" t="str">
        <f>HYPERLINK("https://okcountyrecords.com/detail/roger+mills/1999-003363","OKCountyRecords: 1999-003363")</f>
        <v>OKCountyRecords: 1999-003363</v>
      </c>
    </row>
    <row r="1341" spans="1:11" ht="32.1" customHeight="1" x14ac:dyDescent="0.25">
      <c r="A1341" s="278" t="s">
        <v>2603</v>
      </c>
      <c r="B1341" s="266"/>
      <c r="C1341" s="266" t="s">
        <v>1623</v>
      </c>
      <c r="D1341" s="283" t="s">
        <v>4227</v>
      </c>
      <c r="E1341" s="291"/>
      <c r="F1341" s="295">
        <v>36270</v>
      </c>
      <c r="G1341" s="287" t="s">
        <v>2601</v>
      </c>
      <c r="H1341" s="266" t="s">
        <v>2605</v>
      </c>
      <c r="I1341" s="268" t="s">
        <v>7219</v>
      </c>
      <c r="J1341" s="299" t="s">
        <v>1625</v>
      </c>
      <c r="K1341" s="259" t="str">
        <f>HYPERLINK("https://okcountyrecords.com/detail/roger+mills/1999-003368","OKCountyRecords: 1999-003368")</f>
        <v>OKCountyRecords: 1999-003368</v>
      </c>
    </row>
    <row r="1342" spans="1:11" ht="32.1" customHeight="1" x14ac:dyDescent="0.25">
      <c r="A1342" s="278" t="s">
        <v>2606</v>
      </c>
      <c r="B1342" s="266"/>
      <c r="C1342" s="266" t="s">
        <v>1623</v>
      </c>
      <c r="D1342" s="283" t="s">
        <v>4228</v>
      </c>
      <c r="E1342" s="291"/>
      <c r="F1342" s="295">
        <v>36270</v>
      </c>
      <c r="G1342" s="287" t="s">
        <v>2601</v>
      </c>
      <c r="H1342" s="266" t="s">
        <v>527</v>
      </c>
      <c r="I1342" s="268" t="s">
        <v>7219</v>
      </c>
      <c r="J1342" s="299" t="s">
        <v>1625</v>
      </c>
      <c r="K1342" s="259" t="str">
        <f>HYPERLINK("https://okcountyrecords.com/detail/roger+mills/1999-003364","OKCountyRecords: 1999-003364")</f>
        <v>OKCountyRecords: 1999-003364</v>
      </c>
    </row>
    <row r="1343" spans="1:11" ht="32.1" customHeight="1" x14ac:dyDescent="0.25">
      <c r="A1343" s="278" t="s">
        <v>2608</v>
      </c>
      <c r="B1343" s="266"/>
      <c r="C1343" s="266" t="s">
        <v>1623</v>
      </c>
      <c r="D1343" s="283" t="s">
        <v>4229</v>
      </c>
      <c r="E1343" s="291"/>
      <c r="F1343" s="295">
        <v>36270</v>
      </c>
      <c r="G1343" s="287" t="s">
        <v>2601</v>
      </c>
      <c r="H1343" s="266" t="s">
        <v>2610</v>
      </c>
      <c r="I1343" s="268" t="s">
        <v>7219</v>
      </c>
      <c r="J1343" s="299" t="s">
        <v>1625</v>
      </c>
      <c r="K1343" s="259" t="str">
        <f>HYPERLINK("https://okcountyrecords.com/detail/roger+mills/1999-003365","OKCountyRecords: 1999-003365")</f>
        <v>OKCountyRecords: 1999-003365</v>
      </c>
    </row>
    <row r="1344" spans="1:11" ht="32.1" customHeight="1" x14ac:dyDescent="0.25">
      <c r="A1344" s="278" t="s">
        <v>2611</v>
      </c>
      <c r="B1344" s="266"/>
      <c r="C1344" s="266" t="s">
        <v>1623</v>
      </c>
      <c r="D1344" s="283" t="s">
        <v>4230</v>
      </c>
      <c r="E1344" s="291"/>
      <c r="F1344" s="295">
        <v>36270</v>
      </c>
      <c r="G1344" s="287" t="s">
        <v>2601</v>
      </c>
      <c r="H1344" s="266" t="s">
        <v>499</v>
      </c>
      <c r="I1344" s="268" t="s">
        <v>7219</v>
      </c>
      <c r="J1344" s="299" t="s">
        <v>1625</v>
      </c>
      <c r="K1344" s="259" t="str">
        <f>HYPERLINK("https://okcountyrecords.com/detail/roger+mills/1999-003366","OKCountyRecords: 1999-003366")</f>
        <v>OKCountyRecords: 1999-003366</v>
      </c>
    </row>
    <row r="1345" spans="1:11" ht="32.1" customHeight="1" x14ac:dyDescent="0.25">
      <c r="A1345" s="278" t="s">
        <v>2613</v>
      </c>
      <c r="B1345" s="266"/>
      <c r="C1345" s="266" t="s">
        <v>1623</v>
      </c>
      <c r="D1345" s="283" t="s">
        <v>4231</v>
      </c>
      <c r="E1345" s="291"/>
      <c r="F1345" s="295">
        <v>36270</v>
      </c>
      <c r="G1345" s="287" t="s">
        <v>2601</v>
      </c>
      <c r="H1345" s="266" t="s">
        <v>495</v>
      </c>
      <c r="I1345" s="268" t="s">
        <v>7219</v>
      </c>
      <c r="J1345" s="299" t="s">
        <v>1625</v>
      </c>
      <c r="K1345" s="259" t="str">
        <f>HYPERLINK("https://okcountyrecords.com/detail/roger+mills/1999-003367","OKCountyRecords: 1999-003367")</f>
        <v>OKCountyRecords: 1999-003367</v>
      </c>
    </row>
    <row r="1346" spans="1:11" ht="32.1" customHeight="1" x14ac:dyDescent="0.25">
      <c r="A1346" s="278" t="s">
        <v>2615</v>
      </c>
      <c r="B1346" s="266"/>
      <c r="C1346" s="266" t="s">
        <v>2506</v>
      </c>
      <c r="D1346" s="283" t="s">
        <v>7274</v>
      </c>
      <c r="E1346" s="291"/>
      <c r="F1346" s="295">
        <v>36481</v>
      </c>
      <c r="G1346" s="287" t="s">
        <v>2480</v>
      </c>
      <c r="H1346" s="266" t="s">
        <v>2617</v>
      </c>
      <c r="I1346" s="268" t="s">
        <v>6193</v>
      </c>
      <c r="J1346" s="299" t="s">
        <v>985</v>
      </c>
      <c r="K1346" s="259" t="str">
        <f>HYPERLINK("https://okcountyrecords.com/detail/roger+mills/1999-005522","OKCountyRecords: 1999-005522")</f>
        <v>OKCountyRecords: 1999-005522</v>
      </c>
    </row>
    <row r="1347" spans="1:11" ht="32.1" customHeight="1" x14ac:dyDescent="0.25">
      <c r="A1347" s="278" t="s">
        <v>2618</v>
      </c>
      <c r="B1347" s="266"/>
      <c r="C1347" s="266" t="s">
        <v>2619</v>
      </c>
      <c r="D1347" s="283" t="s">
        <v>4353</v>
      </c>
      <c r="E1347" s="291"/>
      <c r="F1347" s="295">
        <v>36511</v>
      </c>
      <c r="G1347" s="287" t="s">
        <v>2621</v>
      </c>
      <c r="H1347" s="266" t="s">
        <v>1110</v>
      </c>
      <c r="I1347" s="268" t="s">
        <v>7216</v>
      </c>
      <c r="J1347" s="299" t="s">
        <v>985</v>
      </c>
      <c r="K1347" s="259" t="str">
        <f>HYPERLINK("https://okcountyrecords.com/detail/roger+mills/1999-005936","OKCountyRecords: 1999-005936")</f>
        <v>OKCountyRecords: 1999-005936</v>
      </c>
    </row>
    <row r="1348" spans="1:11" ht="32.1" customHeight="1" x14ac:dyDescent="0.25">
      <c r="A1348" s="278" t="s">
        <v>2622</v>
      </c>
      <c r="B1348" s="266"/>
      <c r="C1348" s="266" t="s">
        <v>309</v>
      </c>
      <c r="D1348" s="283" t="s">
        <v>486</v>
      </c>
      <c r="E1348" s="291"/>
      <c r="F1348" s="295">
        <v>36516</v>
      </c>
      <c r="G1348" s="287" t="s">
        <v>270</v>
      </c>
      <c r="H1348" s="266" t="s">
        <v>487</v>
      </c>
      <c r="I1348" s="268" t="s">
        <v>488</v>
      </c>
      <c r="J1348" s="299" t="s">
        <v>996</v>
      </c>
      <c r="K1348" s="259" t="str">
        <f>HYPERLINK("https://okcountyrecords.com/detail/roger+mills/1999-006000","OKCountyRecords: 1999-006000")</f>
        <v>OKCountyRecords: 1999-006000</v>
      </c>
    </row>
    <row r="1349" spans="1:11" ht="32.1" customHeight="1" x14ac:dyDescent="0.25">
      <c r="A1349" s="278" t="s">
        <v>2624</v>
      </c>
      <c r="B1349" s="266"/>
      <c r="C1349" s="266" t="s">
        <v>309</v>
      </c>
      <c r="D1349" s="283" t="s">
        <v>489</v>
      </c>
      <c r="E1349" s="291"/>
      <c r="F1349" s="295">
        <v>36532</v>
      </c>
      <c r="G1349" s="287" t="s">
        <v>490</v>
      </c>
      <c r="H1349" s="266" t="s">
        <v>487</v>
      </c>
      <c r="I1349" s="268" t="s">
        <v>488</v>
      </c>
      <c r="J1349" s="299" t="s">
        <v>996</v>
      </c>
      <c r="K1349" s="259" t="str">
        <f>HYPERLINK("https://okcountyrecords.com/detail/roger+mills/2000-006217","OKCountyRecords: 2000-006217")</f>
        <v>OKCountyRecords: 2000-006217</v>
      </c>
    </row>
    <row r="1350" spans="1:11" ht="32.1" customHeight="1" x14ac:dyDescent="0.25">
      <c r="A1350" s="278" t="s">
        <v>2626</v>
      </c>
      <c r="B1350" s="266"/>
      <c r="C1350" s="266" t="s">
        <v>309</v>
      </c>
      <c r="D1350" s="283" t="s">
        <v>491</v>
      </c>
      <c r="E1350" s="291"/>
      <c r="F1350" s="295">
        <v>36545</v>
      </c>
      <c r="G1350" s="287" t="s">
        <v>492</v>
      </c>
      <c r="H1350" s="266" t="s">
        <v>487</v>
      </c>
      <c r="I1350" s="268" t="s">
        <v>493</v>
      </c>
      <c r="J1350" s="299" t="s">
        <v>996</v>
      </c>
      <c r="K1350" s="259" t="str">
        <f>HYPERLINK("https://okcountyrecords.com/detail/roger+mills/2000-006360","OKCountyRecords: 2000-006360")</f>
        <v>OKCountyRecords: 2000-006360</v>
      </c>
    </row>
    <row r="1351" spans="1:11" ht="32.1" customHeight="1" x14ac:dyDescent="0.25">
      <c r="A1351" s="278" t="s">
        <v>2628</v>
      </c>
      <c r="B1351" s="266"/>
      <c r="C1351" s="266" t="s">
        <v>309</v>
      </c>
      <c r="D1351" s="283" t="s">
        <v>494</v>
      </c>
      <c r="E1351" s="291"/>
      <c r="F1351" s="295">
        <v>36546</v>
      </c>
      <c r="G1351" s="287" t="s">
        <v>495</v>
      </c>
      <c r="H1351" s="266" t="s">
        <v>496</v>
      </c>
      <c r="I1351" s="268" t="s">
        <v>497</v>
      </c>
      <c r="J1351" s="299" t="s">
        <v>996</v>
      </c>
      <c r="K1351" s="259" t="str">
        <f>HYPERLINK("https://okcountyrecords.com/detail/roger+mills/2000-006371","OKCountyRecords: 2000-006371")</f>
        <v>OKCountyRecords: 2000-006371</v>
      </c>
    </row>
    <row r="1352" spans="1:11" ht="32.1" customHeight="1" x14ac:dyDescent="0.25">
      <c r="A1352" s="278" t="s">
        <v>2630</v>
      </c>
      <c r="B1352" s="266"/>
      <c r="C1352" s="266" t="s">
        <v>309</v>
      </c>
      <c r="D1352" s="283" t="s">
        <v>498</v>
      </c>
      <c r="E1352" s="291"/>
      <c r="F1352" s="295">
        <v>36549</v>
      </c>
      <c r="G1352" s="287" t="s">
        <v>499</v>
      </c>
      <c r="H1352" s="266" t="s">
        <v>496</v>
      </c>
      <c r="I1352" s="268" t="s">
        <v>497</v>
      </c>
      <c r="J1352" s="299" t="s">
        <v>996</v>
      </c>
      <c r="K1352" s="259" t="str">
        <f>HYPERLINK("https://okcountyrecords.com/detail/roger+mills/2000-006403","OKCountyRecords: 2000-006403")</f>
        <v>OKCountyRecords: 2000-006403</v>
      </c>
    </row>
    <row r="1353" spans="1:11" ht="32.1" customHeight="1" x14ac:dyDescent="0.25">
      <c r="A1353" s="278" t="s">
        <v>2632</v>
      </c>
      <c r="B1353" s="266"/>
      <c r="C1353" s="266" t="s">
        <v>309</v>
      </c>
      <c r="D1353" s="283" t="s">
        <v>500</v>
      </c>
      <c r="E1353" s="291"/>
      <c r="F1353" s="295">
        <v>36551</v>
      </c>
      <c r="G1353" s="287" t="s">
        <v>501</v>
      </c>
      <c r="H1353" s="266" t="s">
        <v>487</v>
      </c>
      <c r="I1353" s="268" t="s">
        <v>502</v>
      </c>
      <c r="J1353" s="299" t="s">
        <v>996</v>
      </c>
      <c r="K1353" s="259" t="str">
        <f>HYPERLINK("https://okcountyrecords.com/detail/roger+mills/2000-006447","OKCountyRecords: 2000-006447")</f>
        <v>OKCountyRecords: 2000-006447</v>
      </c>
    </row>
    <row r="1354" spans="1:11" ht="32.1" customHeight="1" x14ac:dyDescent="0.25">
      <c r="A1354" s="278" t="s">
        <v>2634</v>
      </c>
      <c r="B1354" s="266"/>
      <c r="C1354" s="266" t="s">
        <v>309</v>
      </c>
      <c r="D1354" s="283" t="s">
        <v>503</v>
      </c>
      <c r="E1354" s="291"/>
      <c r="F1354" s="295">
        <v>36558</v>
      </c>
      <c r="G1354" s="287" t="s">
        <v>504</v>
      </c>
      <c r="H1354" s="266" t="s">
        <v>496</v>
      </c>
      <c r="I1354" s="268" t="s">
        <v>505</v>
      </c>
      <c r="J1354" s="299" t="s">
        <v>996</v>
      </c>
      <c r="K1354" s="259" t="str">
        <f>HYPERLINK("https://okcountyrecords.com/detail/roger+mills/2000-006544","OKCountyRecords: 2000-006544")</f>
        <v>OKCountyRecords: 2000-006544</v>
      </c>
    </row>
    <row r="1355" spans="1:11" ht="32.1" customHeight="1" x14ac:dyDescent="0.25">
      <c r="A1355" s="278" t="s">
        <v>2636</v>
      </c>
      <c r="B1355" s="266"/>
      <c r="C1355" s="266" t="s">
        <v>309</v>
      </c>
      <c r="D1355" s="283" t="s">
        <v>506</v>
      </c>
      <c r="E1355" s="291"/>
      <c r="F1355" s="295">
        <v>36558</v>
      </c>
      <c r="G1355" s="287" t="s">
        <v>507</v>
      </c>
      <c r="H1355" s="266" t="s">
        <v>487</v>
      </c>
      <c r="I1355" s="268" t="s">
        <v>502</v>
      </c>
      <c r="J1355" s="299" t="s">
        <v>996</v>
      </c>
      <c r="K1355" s="259" t="str">
        <f>HYPERLINK("https://okcountyrecords.com/detail/roger+mills/2000-006545","OKCountyRecords: 2000-006545")</f>
        <v>OKCountyRecords: 2000-006545</v>
      </c>
    </row>
    <row r="1356" spans="1:11" ht="32.1" customHeight="1" x14ac:dyDescent="0.25">
      <c r="A1356" s="278" t="s">
        <v>2638</v>
      </c>
      <c r="B1356" s="266"/>
      <c r="C1356" s="266" t="s">
        <v>309</v>
      </c>
      <c r="D1356" s="283" t="s">
        <v>508</v>
      </c>
      <c r="E1356" s="291"/>
      <c r="F1356" s="295">
        <v>36564</v>
      </c>
      <c r="G1356" s="287" t="s">
        <v>2586</v>
      </c>
      <c r="H1356" s="266" t="s">
        <v>496</v>
      </c>
      <c r="I1356" s="268" t="s">
        <v>497</v>
      </c>
      <c r="J1356" s="299" t="s">
        <v>996</v>
      </c>
      <c r="K1356" s="259" t="str">
        <f>HYPERLINK("https://okcountyrecords.com/detail/roger+mills/2000-006657","63e8b9a8d056433a9994fe46ca85076b.pdf | OKCountyRecords: 2000-006657")</f>
        <v>63e8b9a8d056433a9994fe46ca85076b.pdf | OKCountyRecords: 2000-006657</v>
      </c>
    </row>
    <row r="1357" spans="1:11" ht="32.1" customHeight="1" x14ac:dyDescent="0.25">
      <c r="A1357" s="278" t="s">
        <v>2641</v>
      </c>
      <c r="B1357" s="266"/>
      <c r="C1357" s="266" t="s">
        <v>309</v>
      </c>
      <c r="D1357" s="283" t="s">
        <v>510</v>
      </c>
      <c r="E1357" s="291"/>
      <c r="F1357" s="295">
        <v>36564</v>
      </c>
      <c r="G1357" s="287" t="s">
        <v>7296</v>
      </c>
      <c r="H1357" s="266" t="s">
        <v>496</v>
      </c>
      <c r="I1357" s="268" t="s">
        <v>497</v>
      </c>
      <c r="J1357" s="299" t="s">
        <v>996</v>
      </c>
      <c r="K1357" s="259" t="str">
        <f>HYPERLINK("https://okcountyrecords.com/detail/roger+mills/2000-006661","63e8b9a8d056433a9994fe46ca85076b.pdf | OKCountyRecords: 2000-006661")</f>
        <v>63e8b9a8d056433a9994fe46ca85076b.pdf | OKCountyRecords: 2000-006661</v>
      </c>
    </row>
    <row r="1358" spans="1:11" ht="32.1" customHeight="1" x14ac:dyDescent="0.25">
      <c r="A1358" s="278" t="s">
        <v>2644</v>
      </c>
      <c r="B1358" s="266"/>
      <c r="C1358" s="266" t="s">
        <v>309</v>
      </c>
      <c r="D1358" s="283" t="s">
        <v>512</v>
      </c>
      <c r="E1358" s="291"/>
      <c r="F1358" s="295">
        <v>36564</v>
      </c>
      <c r="G1358" s="287" t="s">
        <v>513</v>
      </c>
      <c r="H1358" s="266" t="s">
        <v>496</v>
      </c>
      <c r="I1358" s="268" t="s">
        <v>497</v>
      </c>
      <c r="J1358" s="299" t="s">
        <v>996</v>
      </c>
      <c r="K1358" s="259" t="str">
        <f>HYPERLINK("https://okcountyrecords.com/detail/roger+mills/2000-006662","63e8b9a8d056433a9994fe46ca85076b.pdf | OKCountyRecords: 2000-006662")</f>
        <v>63e8b9a8d056433a9994fe46ca85076b.pdf | OKCountyRecords: 2000-006662</v>
      </c>
    </row>
    <row r="1359" spans="1:11" ht="32.1" customHeight="1" x14ac:dyDescent="0.25">
      <c r="A1359" s="278" t="s">
        <v>2662</v>
      </c>
      <c r="B1359" s="266"/>
      <c r="C1359" s="266" t="s">
        <v>309</v>
      </c>
      <c r="D1359" s="283" t="s">
        <v>514</v>
      </c>
      <c r="E1359" s="291"/>
      <c r="F1359" s="295">
        <v>36565</v>
      </c>
      <c r="G1359" s="287" t="s">
        <v>515</v>
      </c>
      <c r="H1359" s="266" t="s">
        <v>266</v>
      </c>
      <c r="I1359" s="268" t="s">
        <v>7300</v>
      </c>
      <c r="J1359" s="299" t="s">
        <v>996</v>
      </c>
      <c r="K1359" s="259" t="str">
        <f>HYPERLINK("https://okcountyrecords.com/detail/roger+mills/2000-006686","OKCountyRecords: 2000-006686")</f>
        <v>OKCountyRecords: 2000-006686</v>
      </c>
    </row>
    <row r="1360" spans="1:11" ht="32.1" customHeight="1" x14ac:dyDescent="0.25">
      <c r="A1360" s="278" t="s">
        <v>2663</v>
      </c>
      <c r="B1360" s="266"/>
      <c r="C1360" s="266" t="s">
        <v>309</v>
      </c>
      <c r="D1360" s="283" t="s">
        <v>517</v>
      </c>
      <c r="E1360" s="291"/>
      <c r="F1360" s="295">
        <v>36565</v>
      </c>
      <c r="G1360" s="287" t="s">
        <v>292</v>
      </c>
      <c r="H1360" s="266" t="s">
        <v>266</v>
      </c>
      <c r="I1360" s="268" t="s">
        <v>7302</v>
      </c>
      <c r="J1360" s="299" t="s">
        <v>996</v>
      </c>
      <c r="K1360" s="259" t="str">
        <f>HYPERLINK("https://okcountyrecords.com/detail/roger+mills/2000-006688","OKCountyRecords: 2000-006688")</f>
        <v>OKCountyRecords: 2000-006688</v>
      </c>
    </row>
    <row r="1361" spans="1:11" ht="32.1" customHeight="1" x14ac:dyDescent="0.25">
      <c r="A1361" s="278" t="s">
        <v>2650</v>
      </c>
      <c r="B1361" s="266"/>
      <c r="C1361" s="266" t="s">
        <v>309</v>
      </c>
      <c r="D1361" s="283" t="s">
        <v>519</v>
      </c>
      <c r="E1361" s="291"/>
      <c r="F1361" s="295">
        <v>36565</v>
      </c>
      <c r="G1361" s="287" t="s">
        <v>520</v>
      </c>
      <c r="H1361" s="266" t="s">
        <v>266</v>
      </c>
      <c r="I1361" s="268" t="s">
        <v>7304</v>
      </c>
      <c r="J1361" s="299" t="s">
        <v>996</v>
      </c>
      <c r="K1361" s="259" t="str">
        <f>HYPERLINK("https://okcountyrecords.com/detail/roger+mills/2000-006692","63e8b9a8d056433a9994fe46ca85076b.pdf | OKCountyRecords: 2000-006692")</f>
        <v>63e8b9a8d056433a9994fe46ca85076b.pdf | OKCountyRecords: 2000-006692</v>
      </c>
    </row>
    <row r="1362" spans="1:11" ht="32.1" customHeight="1" x14ac:dyDescent="0.25">
      <c r="A1362" s="278" t="s">
        <v>2652</v>
      </c>
      <c r="B1362" s="266"/>
      <c r="C1362" s="266" t="s">
        <v>309</v>
      </c>
      <c r="D1362" s="283" t="s">
        <v>522</v>
      </c>
      <c r="E1362" s="291"/>
      <c r="F1362" s="295">
        <v>36565</v>
      </c>
      <c r="G1362" s="287" t="s">
        <v>523</v>
      </c>
      <c r="H1362" s="266" t="s">
        <v>266</v>
      </c>
      <c r="I1362" s="268" t="s">
        <v>7302</v>
      </c>
      <c r="J1362" s="299" t="s">
        <v>996</v>
      </c>
      <c r="K1362" s="259" t="str">
        <f>HYPERLINK("https://okcountyrecords.com/detail/roger+mills/2000-006696","63e8b9a8d056433a9994fe46ca85076b.pdf | OKCountyRecords: 2000-006696")</f>
        <v>63e8b9a8d056433a9994fe46ca85076b.pdf | OKCountyRecords: 2000-006696</v>
      </c>
    </row>
    <row r="1363" spans="1:11" ht="32.1" customHeight="1" x14ac:dyDescent="0.25">
      <c r="A1363" s="278" t="s">
        <v>2654</v>
      </c>
      <c r="B1363" s="266"/>
      <c r="C1363" s="266" t="s">
        <v>309</v>
      </c>
      <c r="D1363" s="283" t="s">
        <v>524</v>
      </c>
      <c r="E1363" s="291"/>
      <c r="F1363" s="295">
        <v>36565</v>
      </c>
      <c r="G1363" s="287" t="s">
        <v>2734</v>
      </c>
      <c r="H1363" s="266" t="s">
        <v>496</v>
      </c>
      <c r="I1363" s="268" t="s">
        <v>497</v>
      </c>
      <c r="J1363" s="299" t="s">
        <v>996</v>
      </c>
      <c r="K1363" s="259" t="str">
        <f>HYPERLINK("https://okcountyrecords.com/detail/roger+mills/2000-006710","63e8b9a8d056433a9994fe46ca85076b.pdf | OKCountyRecords: 2000-006710")</f>
        <v>63e8b9a8d056433a9994fe46ca85076b.pdf | OKCountyRecords: 2000-006710</v>
      </c>
    </row>
    <row r="1364" spans="1:11" ht="32.1" customHeight="1" x14ac:dyDescent="0.25">
      <c r="A1364" s="278" t="s">
        <v>2657</v>
      </c>
      <c r="B1364" s="266"/>
      <c r="C1364" s="266" t="s">
        <v>309</v>
      </c>
      <c r="D1364" s="283" t="s">
        <v>526</v>
      </c>
      <c r="E1364" s="291"/>
      <c r="F1364" s="295">
        <v>36565</v>
      </c>
      <c r="G1364" s="287" t="s">
        <v>527</v>
      </c>
      <c r="H1364" s="266" t="s">
        <v>496</v>
      </c>
      <c r="I1364" s="268" t="s">
        <v>497</v>
      </c>
      <c r="J1364" s="299" t="s">
        <v>996</v>
      </c>
      <c r="K1364" s="259" t="str">
        <f>HYPERLINK("https://okcountyrecords.com/detail/roger+mills/2000-006711","63e8b9a8d056433a9994fe46ca85076b.pdf | OKCountyRecords: 2000-006711")</f>
        <v>63e8b9a8d056433a9994fe46ca85076b.pdf | OKCountyRecords: 2000-006711</v>
      </c>
    </row>
    <row r="1365" spans="1:11" ht="32.1" customHeight="1" x14ac:dyDescent="0.25">
      <c r="A1365" s="278" t="s">
        <v>2659</v>
      </c>
      <c r="B1365" s="266"/>
      <c r="C1365" s="266" t="s">
        <v>309</v>
      </c>
      <c r="D1365" s="283" t="s">
        <v>528</v>
      </c>
      <c r="E1365" s="291"/>
      <c r="F1365" s="295">
        <v>36565</v>
      </c>
      <c r="G1365" s="287" t="s">
        <v>2661</v>
      </c>
      <c r="H1365" s="266" t="s">
        <v>496</v>
      </c>
      <c r="I1365" s="268" t="s">
        <v>497</v>
      </c>
      <c r="J1365" s="299" t="s">
        <v>996</v>
      </c>
      <c r="K1365" s="259" t="str">
        <f>HYPERLINK("https://okcountyrecords.com/detail/roger+mills/2000-006712","63e8b9a8d056433a9994fe46ca85076b.pdf | OKCountyRecords: 2000-006712")</f>
        <v>63e8b9a8d056433a9994fe46ca85076b.pdf | OKCountyRecords: 2000-006712</v>
      </c>
    </row>
    <row r="1366" spans="1:11" ht="32.1" customHeight="1" x14ac:dyDescent="0.25">
      <c r="A1366" s="278" t="s">
        <v>2664</v>
      </c>
      <c r="B1366" s="266"/>
      <c r="C1366" s="266" t="s">
        <v>309</v>
      </c>
      <c r="D1366" s="283" t="s">
        <v>530</v>
      </c>
      <c r="E1366" s="291"/>
      <c r="F1366" s="295">
        <v>36566</v>
      </c>
      <c r="G1366" s="287" t="s">
        <v>531</v>
      </c>
      <c r="H1366" s="266" t="s">
        <v>487</v>
      </c>
      <c r="I1366" s="268" t="s">
        <v>313</v>
      </c>
      <c r="J1366" s="299" t="s">
        <v>996</v>
      </c>
      <c r="K1366" s="259" t="str">
        <f>HYPERLINK("https://okcountyrecords.com/detail/roger+mills/2000-006716","63e8b9a8d056433a9994fe46ca85076b.pdf | OKCountyRecords: 2000-006716")</f>
        <v>63e8b9a8d056433a9994fe46ca85076b.pdf | OKCountyRecords: 2000-006716</v>
      </c>
    </row>
    <row r="1367" spans="1:11" ht="32.1" customHeight="1" x14ac:dyDescent="0.25">
      <c r="A1367" s="278" t="s">
        <v>2668</v>
      </c>
      <c r="B1367" s="266"/>
      <c r="C1367" s="266" t="s">
        <v>309</v>
      </c>
      <c r="D1367" s="283" t="s">
        <v>532</v>
      </c>
      <c r="E1367" s="291"/>
      <c r="F1367" s="295">
        <v>36572</v>
      </c>
      <c r="G1367" s="287" t="s">
        <v>533</v>
      </c>
      <c r="H1367" s="266" t="s">
        <v>496</v>
      </c>
      <c r="I1367" s="268" t="s">
        <v>502</v>
      </c>
      <c r="J1367" s="299" t="s">
        <v>996</v>
      </c>
      <c r="K1367" s="259" t="str">
        <f>HYPERLINK("https://okcountyrecords.com/detail/roger+mills/2000-006763","63e8b9a8d056433a9994fe46ca85076b.pdf | OKCountyRecords: 2000-006763")</f>
        <v>63e8b9a8d056433a9994fe46ca85076b.pdf | OKCountyRecords: 2000-006763</v>
      </c>
    </row>
    <row r="1368" spans="1:11" ht="32.1" customHeight="1" x14ac:dyDescent="0.25">
      <c r="A1368" s="278" t="s">
        <v>2670</v>
      </c>
      <c r="B1368" s="266"/>
      <c r="C1368" s="266" t="s">
        <v>7314</v>
      </c>
      <c r="D1368" s="283" t="s">
        <v>7315</v>
      </c>
      <c r="E1368" s="291"/>
      <c r="F1368" s="295">
        <v>36572</v>
      </c>
      <c r="G1368" s="287" t="s">
        <v>2673</v>
      </c>
      <c r="H1368" s="266" t="s">
        <v>2674</v>
      </c>
      <c r="I1368" s="268" t="s">
        <v>502</v>
      </c>
      <c r="J1368" s="299" t="s">
        <v>985</v>
      </c>
      <c r="K1368" s="259" t="str">
        <f>HYPERLINK("https://okcountyrecords.com/detail/roger+mills/2000-006764","OKCountyRecords: 2000-006764")</f>
        <v>OKCountyRecords: 2000-006764</v>
      </c>
    </row>
    <row r="1369" spans="1:11" ht="32.1" customHeight="1" x14ac:dyDescent="0.25">
      <c r="A1369" s="278" t="s">
        <v>2675</v>
      </c>
      <c r="B1369" s="266"/>
      <c r="C1369" s="266" t="s">
        <v>309</v>
      </c>
      <c r="D1369" s="283" t="s">
        <v>534</v>
      </c>
      <c r="E1369" s="291"/>
      <c r="F1369" s="295">
        <v>36586</v>
      </c>
      <c r="G1369" s="287" t="s">
        <v>535</v>
      </c>
      <c r="H1369" s="266" t="s">
        <v>496</v>
      </c>
      <c r="I1369" s="268" t="s">
        <v>536</v>
      </c>
      <c r="J1369" s="299" t="s">
        <v>996</v>
      </c>
      <c r="K1369" s="259" t="str">
        <f>HYPERLINK("https://okcountyrecords.com/detail/roger+mills/2000-006917","OKCountyRecords: 2000-006917")</f>
        <v>OKCountyRecords: 2000-006917</v>
      </c>
    </row>
    <row r="1370" spans="1:11" ht="32.1" customHeight="1" x14ac:dyDescent="0.25">
      <c r="A1370" s="278" t="s">
        <v>2677</v>
      </c>
      <c r="B1370" s="266"/>
      <c r="C1370" s="266" t="s">
        <v>309</v>
      </c>
      <c r="D1370" s="283" t="s">
        <v>537</v>
      </c>
      <c r="E1370" s="291"/>
      <c r="F1370" s="295">
        <v>36586</v>
      </c>
      <c r="G1370" s="287" t="s">
        <v>294</v>
      </c>
      <c r="H1370" s="266" t="s">
        <v>496</v>
      </c>
      <c r="I1370" s="268" t="s">
        <v>539</v>
      </c>
      <c r="J1370" s="299" t="s">
        <v>996</v>
      </c>
      <c r="K1370" s="259" t="str">
        <f>HYPERLINK("https://okcountyrecords.com/detail/roger+mills/2000-006918","OKCountyRecords: 2000-006918")</f>
        <v>OKCountyRecords: 2000-006918</v>
      </c>
    </row>
    <row r="1371" spans="1:11" ht="32.1" customHeight="1" x14ac:dyDescent="0.25">
      <c r="A1371" s="278" t="s">
        <v>2679</v>
      </c>
      <c r="B1371" s="266"/>
      <c r="C1371" s="266" t="s">
        <v>309</v>
      </c>
      <c r="D1371" s="283" t="s">
        <v>540</v>
      </c>
      <c r="E1371" s="291"/>
      <c r="F1371" s="295">
        <v>36593</v>
      </c>
      <c r="G1371" s="287" t="s">
        <v>272</v>
      </c>
      <c r="H1371" s="266" t="s">
        <v>487</v>
      </c>
      <c r="I1371" s="268" t="s">
        <v>7321</v>
      </c>
      <c r="J1371" s="299" t="s">
        <v>996</v>
      </c>
      <c r="K1371" s="259" t="str">
        <f>HYPERLINK("https://okcountyrecords.com/detail/roger+mills/2000-006984","OKCountyRecords: 2000-006984")</f>
        <v>OKCountyRecords: 2000-006984</v>
      </c>
    </row>
    <row r="1372" spans="1:11" ht="32.1" customHeight="1" x14ac:dyDescent="0.25">
      <c r="A1372" s="278" t="s">
        <v>2681</v>
      </c>
      <c r="B1372" s="266"/>
      <c r="C1372" s="266" t="s">
        <v>309</v>
      </c>
      <c r="D1372" s="283" t="s">
        <v>542</v>
      </c>
      <c r="E1372" s="291"/>
      <c r="F1372" s="295">
        <v>36593</v>
      </c>
      <c r="G1372" s="287" t="s">
        <v>265</v>
      </c>
      <c r="H1372" s="266" t="s">
        <v>487</v>
      </c>
      <c r="I1372" s="268" t="s">
        <v>7323</v>
      </c>
      <c r="J1372" s="299" t="s">
        <v>996</v>
      </c>
      <c r="K1372" s="259" t="str">
        <f>HYPERLINK("https://okcountyrecords.com/detail/roger+mills/2000-006985","OKCountyRecords: 2000-006985")</f>
        <v>OKCountyRecords: 2000-006985</v>
      </c>
    </row>
    <row r="1373" spans="1:11" ht="32.1" customHeight="1" x14ac:dyDescent="0.25">
      <c r="A1373" s="278" t="s">
        <v>2683</v>
      </c>
      <c r="B1373" s="266"/>
      <c r="C1373" s="266" t="s">
        <v>309</v>
      </c>
      <c r="D1373" s="283" t="s">
        <v>544</v>
      </c>
      <c r="E1373" s="291"/>
      <c r="F1373" s="295">
        <v>36593</v>
      </c>
      <c r="G1373" s="287" t="s">
        <v>545</v>
      </c>
      <c r="H1373" s="266" t="s">
        <v>487</v>
      </c>
      <c r="I1373" s="268" t="s">
        <v>502</v>
      </c>
      <c r="J1373" s="299" t="s">
        <v>996</v>
      </c>
      <c r="K1373" s="259" t="str">
        <f>HYPERLINK("https://okcountyrecords.com/detail/roger+mills/2000-006986","OKCountyRecords: 2000-006986")</f>
        <v>OKCountyRecords: 2000-006986</v>
      </c>
    </row>
    <row r="1374" spans="1:11" ht="32.1" customHeight="1" x14ac:dyDescent="0.25">
      <c r="A1374" s="278" t="s">
        <v>2685</v>
      </c>
      <c r="B1374" s="266"/>
      <c r="C1374" s="266" t="s">
        <v>114</v>
      </c>
      <c r="D1374" s="283" t="s">
        <v>4443</v>
      </c>
      <c r="E1374" s="291"/>
      <c r="F1374" s="295">
        <v>36600</v>
      </c>
      <c r="G1374" s="287" t="s">
        <v>266</v>
      </c>
      <c r="H1374" s="266" t="s">
        <v>2687</v>
      </c>
      <c r="I1374" s="268" t="s">
        <v>313</v>
      </c>
      <c r="J1374" s="299" t="s">
        <v>996</v>
      </c>
      <c r="K1374" s="259" t="str">
        <f>HYPERLINK("https://okcountyrecords.com/detail/roger+mills/1994-007065","OKCountyRecords: 1994-007065")</f>
        <v>OKCountyRecords: 1994-007065</v>
      </c>
    </row>
    <row r="1375" spans="1:11" ht="32.1" customHeight="1" x14ac:dyDescent="0.25">
      <c r="A1375" s="278" t="s">
        <v>2695</v>
      </c>
      <c r="B1375" s="266"/>
      <c r="C1375" s="266" t="s">
        <v>309</v>
      </c>
      <c r="D1375" s="283" t="s">
        <v>546</v>
      </c>
      <c r="E1375" s="291"/>
      <c r="F1375" s="295">
        <v>36612</v>
      </c>
      <c r="G1375" s="287" t="s">
        <v>547</v>
      </c>
      <c r="H1375" s="266" t="s">
        <v>266</v>
      </c>
      <c r="I1375" s="268" t="s">
        <v>7329</v>
      </c>
      <c r="J1375" s="299" t="s">
        <v>996</v>
      </c>
      <c r="K1375" s="259" t="str">
        <f>HYPERLINK("https://okcountyrecords.com/detail/roger+mills/1994-007204","OKCountyRecords: 1994-007204")</f>
        <v>OKCountyRecords: 1994-007204</v>
      </c>
    </row>
    <row r="1376" spans="1:11" ht="32.1" customHeight="1" x14ac:dyDescent="0.25">
      <c r="A1376" s="278" t="s">
        <v>2698</v>
      </c>
      <c r="B1376" s="266"/>
      <c r="C1376" s="266" t="s">
        <v>309</v>
      </c>
      <c r="D1376" s="283" t="s">
        <v>549</v>
      </c>
      <c r="E1376" s="291"/>
      <c r="F1376" s="295">
        <v>36613</v>
      </c>
      <c r="G1376" s="287" t="s">
        <v>550</v>
      </c>
      <c r="H1376" s="266" t="s">
        <v>487</v>
      </c>
      <c r="I1376" s="268" t="s">
        <v>7332</v>
      </c>
      <c r="J1376" s="299" t="s">
        <v>996</v>
      </c>
      <c r="K1376" s="259" t="str">
        <f>HYPERLINK("https://okcountyrecords.com/detail/roger+mills/1994-007244","OKCountyRecords: 1994-007244")</f>
        <v>OKCountyRecords: 1994-007244</v>
      </c>
    </row>
    <row r="1377" spans="1:11" ht="32.1" customHeight="1" x14ac:dyDescent="0.25">
      <c r="A1377" s="278" t="s">
        <v>2702</v>
      </c>
      <c r="B1377" s="266"/>
      <c r="C1377" s="266" t="s">
        <v>309</v>
      </c>
      <c r="D1377" s="283" t="s">
        <v>552</v>
      </c>
      <c r="E1377" s="291"/>
      <c r="F1377" s="295">
        <v>36613</v>
      </c>
      <c r="G1377" s="287" t="s">
        <v>480</v>
      </c>
      <c r="H1377" s="266" t="s">
        <v>487</v>
      </c>
      <c r="I1377" s="268" t="s">
        <v>7332</v>
      </c>
      <c r="J1377" s="299" t="s">
        <v>996</v>
      </c>
      <c r="K1377" s="259" t="str">
        <f>HYPERLINK("https://okcountyrecords.com/detail/roger+mills/1994-007245","OKCountyRecords: 1994-007245")</f>
        <v>OKCountyRecords: 1994-007245</v>
      </c>
    </row>
    <row r="1378" spans="1:11" ht="32.1" customHeight="1" x14ac:dyDescent="0.25">
      <c r="A1378" s="278" t="s">
        <v>2708</v>
      </c>
      <c r="B1378" s="266"/>
      <c r="C1378" s="266" t="s">
        <v>309</v>
      </c>
      <c r="D1378" s="283" t="s">
        <v>553</v>
      </c>
      <c r="E1378" s="291"/>
      <c r="F1378" s="295">
        <v>36616</v>
      </c>
      <c r="G1378" s="287" t="s">
        <v>554</v>
      </c>
      <c r="H1378" s="266" t="s">
        <v>487</v>
      </c>
      <c r="I1378" s="268" t="s">
        <v>7332</v>
      </c>
      <c r="J1378" s="299" t="s">
        <v>996</v>
      </c>
      <c r="K1378" s="259" t="str">
        <f>HYPERLINK("https://okcountyrecords.com/detail/roger+mills/2000-007332","OKCountyRecords: 2000-007332")</f>
        <v>OKCountyRecords: 2000-007332</v>
      </c>
    </row>
    <row r="1379" spans="1:11" ht="32.1" customHeight="1" x14ac:dyDescent="0.25">
      <c r="A1379" s="278" t="s">
        <v>2710</v>
      </c>
      <c r="B1379" s="266"/>
      <c r="C1379" s="266" t="s">
        <v>309</v>
      </c>
      <c r="D1379" s="283" t="s">
        <v>556</v>
      </c>
      <c r="E1379" s="291"/>
      <c r="F1379" s="295">
        <v>36621</v>
      </c>
      <c r="G1379" s="287" t="s">
        <v>437</v>
      </c>
      <c r="H1379" s="266" t="s">
        <v>496</v>
      </c>
      <c r="I1379" s="268" t="s">
        <v>497</v>
      </c>
      <c r="J1379" s="299" t="s">
        <v>996</v>
      </c>
      <c r="K1379" s="259" t="str">
        <f>HYPERLINK("https://okcountyrecords.com/detail/roger+mills/2000-007383","OKCountyRecords: 2000-007383")</f>
        <v>OKCountyRecords: 2000-007383</v>
      </c>
    </row>
    <row r="1380" spans="1:11" ht="32.1" customHeight="1" x14ac:dyDescent="0.25">
      <c r="A1380" s="278" t="s">
        <v>2712</v>
      </c>
      <c r="B1380" s="266"/>
      <c r="C1380" s="266" t="s">
        <v>309</v>
      </c>
      <c r="D1380" s="283" t="s">
        <v>557</v>
      </c>
      <c r="E1380" s="291"/>
      <c r="F1380" s="295">
        <v>36623</v>
      </c>
      <c r="G1380" s="287" t="s">
        <v>558</v>
      </c>
      <c r="H1380" s="266" t="s">
        <v>496</v>
      </c>
      <c r="I1380" s="268" t="s">
        <v>502</v>
      </c>
      <c r="J1380" s="299" t="s">
        <v>996</v>
      </c>
      <c r="K1380" s="259" t="str">
        <f>HYPERLINK("https://okcountyrecords.com/detail/roger+mills/2000-007411","OKCountyRecords: 2000-007411")</f>
        <v>OKCountyRecords: 2000-007411</v>
      </c>
    </row>
    <row r="1381" spans="1:11" ht="32.1" customHeight="1" x14ac:dyDescent="0.25">
      <c r="A1381" s="278" t="s">
        <v>2715</v>
      </c>
      <c r="B1381" s="266"/>
      <c r="C1381" s="266" t="s">
        <v>114</v>
      </c>
      <c r="D1381" s="283" t="s">
        <v>7341</v>
      </c>
      <c r="E1381" s="291"/>
      <c r="F1381" s="295">
        <v>36643</v>
      </c>
      <c r="G1381" s="287" t="s">
        <v>2717</v>
      </c>
      <c r="H1381" s="266" t="s">
        <v>2687</v>
      </c>
      <c r="I1381" s="268" t="s">
        <v>7179</v>
      </c>
      <c r="J1381" s="299" t="s">
        <v>996</v>
      </c>
      <c r="K1381" s="259" t="str">
        <f>HYPERLINK("https://okcountyrecords.com/detail/roger+mills/2000-007634","OKCountyRecords: 2000-007634")</f>
        <v>OKCountyRecords: 2000-007634</v>
      </c>
    </row>
    <row r="1382" spans="1:11" ht="32.1" customHeight="1" x14ac:dyDescent="0.25">
      <c r="A1382" s="278" t="s">
        <v>2719</v>
      </c>
      <c r="B1382" s="266"/>
      <c r="C1382" s="266" t="s">
        <v>1623</v>
      </c>
      <c r="D1382" s="283" t="s">
        <v>4154</v>
      </c>
      <c r="E1382" s="291"/>
      <c r="F1382" s="295">
        <v>36647</v>
      </c>
      <c r="G1382" s="287" t="s">
        <v>2580</v>
      </c>
      <c r="H1382" s="266" t="s">
        <v>2721</v>
      </c>
      <c r="I1382" s="268" t="s">
        <v>7200</v>
      </c>
      <c r="J1382" s="299" t="s">
        <v>1625</v>
      </c>
      <c r="K1382" s="259" t="str">
        <f>HYPERLINK("https://okcountyrecords.com/detail/roger+mills/2000-007685","OKCountyRecords: 2000-007685")</f>
        <v>OKCountyRecords: 2000-007685</v>
      </c>
    </row>
    <row r="1383" spans="1:11" ht="32.1" customHeight="1" x14ac:dyDescent="0.25">
      <c r="A1383" s="278" t="s">
        <v>2722</v>
      </c>
      <c r="B1383" s="266"/>
      <c r="C1383" s="266" t="s">
        <v>309</v>
      </c>
      <c r="D1383" s="283" t="s">
        <v>559</v>
      </c>
      <c r="E1383" s="291"/>
      <c r="F1383" s="295">
        <v>36671</v>
      </c>
      <c r="G1383" s="287" t="s">
        <v>560</v>
      </c>
      <c r="H1383" s="266" t="s">
        <v>487</v>
      </c>
      <c r="I1383" s="268" t="s">
        <v>7241</v>
      </c>
      <c r="J1383" s="299" t="s">
        <v>996</v>
      </c>
      <c r="K1383" s="259" t="str">
        <f>HYPERLINK("https://okcountyrecords.com/detail/roger+mills/2000-008063","OKCountyRecords: 2000-008063")</f>
        <v>OKCountyRecords: 2000-008063</v>
      </c>
    </row>
    <row r="1384" spans="1:11" ht="32.1" customHeight="1" x14ac:dyDescent="0.25">
      <c r="A1384" s="278" t="s">
        <v>2724</v>
      </c>
      <c r="B1384" s="266"/>
      <c r="C1384" s="266" t="s">
        <v>2441</v>
      </c>
      <c r="D1384" s="283" t="s">
        <v>7348</v>
      </c>
      <c r="E1384" s="291"/>
      <c r="F1384" s="295">
        <v>36679</v>
      </c>
      <c r="G1384" s="287" t="s">
        <v>2726</v>
      </c>
      <c r="H1384" s="266" t="s">
        <v>2727</v>
      </c>
      <c r="I1384" s="268" t="s">
        <v>7350</v>
      </c>
      <c r="J1384" s="299" t="s">
        <v>1095</v>
      </c>
      <c r="K1384" s="259" t="str">
        <f>HYPERLINK("https://okcountyrecords.com/detail/roger+mills/2000-008159","OKCountyRecords: 2000-008159")</f>
        <v>OKCountyRecords: 2000-008159</v>
      </c>
    </row>
    <row r="1385" spans="1:11" ht="32.1" customHeight="1" x14ac:dyDescent="0.25">
      <c r="A1385" s="278" t="s">
        <v>2729</v>
      </c>
      <c r="B1385" s="266"/>
      <c r="C1385" s="266" t="s">
        <v>114</v>
      </c>
      <c r="D1385" s="283" t="s">
        <v>7352</v>
      </c>
      <c r="E1385" s="291">
        <v>36717</v>
      </c>
      <c r="F1385" s="295">
        <v>36717</v>
      </c>
      <c r="G1385" s="287" t="s">
        <v>2731</v>
      </c>
      <c r="H1385" s="266" t="s">
        <v>2546</v>
      </c>
      <c r="I1385" s="268" t="s">
        <v>6193</v>
      </c>
      <c r="J1385" s="299" t="s">
        <v>996</v>
      </c>
      <c r="K1385" s="259" t="str">
        <f>HYPERLINK("https://okcountyrecords.com/detail/roger+mills/2000-008764","OKCountyRecords: 2000-008764")</f>
        <v>OKCountyRecords: 2000-008764</v>
      </c>
    </row>
    <row r="1386" spans="1:11" ht="32.1" customHeight="1" x14ac:dyDescent="0.25">
      <c r="A1386" s="278" t="s">
        <v>2732</v>
      </c>
      <c r="B1386" s="266"/>
      <c r="C1386" s="266" t="s">
        <v>82</v>
      </c>
      <c r="D1386" s="283" t="s">
        <v>4232</v>
      </c>
      <c r="E1386" s="291">
        <v>36815</v>
      </c>
      <c r="F1386" s="295">
        <v>36802</v>
      </c>
      <c r="G1386" s="287" t="s">
        <v>2734</v>
      </c>
      <c r="H1386" s="266" t="s">
        <v>2661</v>
      </c>
      <c r="I1386" s="268" t="s">
        <v>7219</v>
      </c>
      <c r="J1386" s="299" t="s">
        <v>1625</v>
      </c>
      <c r="K1386" s="259" t="str">
        <f>HYPERLINK("https://okcountyrecords.com/detail/roger+mills/2000-010180","OKCountyRecords: 2000-010180")</f>
        <v>OKCountyRecords: 2000-010180</v>
      </c>
    </row>
    <row r="1387" spans="1:11" ht="32.1" customHeight="1" x14ac:dyDescent="0.25">
      <c r="A1387" s="278" t="s">
        <v>2735</v>
      </c>
      <c r="B1387" s="266"/>
      <c r="C1387" s="266" t="s">
        <v>309</v>
      </c>
      <c r="D1387" s="283" t="s">
        <v>562</v>
      </c>
      <c r="E1387" s="291">
        <v>36829</v>
      </c>
      <c r="F1387" s="295">
        <v>36816</v>
      </c>
      <c r="G1387" s="287" t="s">
        <v>400</v>
      </c>
      <c r="H1387" s="266" t="s">
        <v>487</v>
      </c>
      <c r="I1387" s="268" t="s">
        <v>488</v>
      </c>
      <c r="J1387" s="299" t="s">
        <v>996</v>
      </c>
      <c r="K1387" s="259" t="str">
        <f>HYPERLINK("https://okcountyrecords.com/detail/roger+mills/2000-010382","OKCountyRecords: 2000-010382")</f>
        <v>OKCountyRecords: 2000-010382</v>
      </c>
    </row>
    <row r="1388" spans="1:11" ht="32.1" customHeight="1" x14ac:dyDescent="0.25">
      <c r="A1388" s="278" t="s">
        <v>2737</v>
      </c>
      <c r="B1388" s="266"/>
      <c r="C1388" s="266" t="s">
        <v>309</v>
      </c>
      <c r="D1388" s="283" t="s">
        <v>563</v>
      </c>
      <c r="E1388" s="291">
        <v>36866</v>
      </c>
      <c r="F1388" s="295">
        <v>36824</v>
      </c>
      <c r="G1388" s="287" t="s">
        <v>2739</v>
      </c>
      <c r="H1388" s="266" t="s">
        <v>487</v>
      </c>
      <c r="I1388" s="268" t="s">
        <v>505</v>
      </c>
      <c r="J1388" s="299" t="s">
        <v>996</v>
      </c>
      <c r="K1388" s="259" t="str">
        <f>HYPERLINK("https://okcountyrecords.com/detail/roger+mills/2000-010908","OKCountyRecords: 2000-010908")</f>
        <v>OKCountyRecords: 2000-010908</v>
      </c>
    </row>
    <row r="1389" spans="1:11" ht="32.1" customHeight="1" x14ac:dyDescent="0.25">
      <c r="A1389" s="278" t="s">
        <v>2740</v>
      </c>
      <c r="B1389" s="266"/>
      <c r="C1389" s="266" t="s">
        <v>309</v>
      </c>
      <c r="D1389" s="283" t="s">
        <v>565</v>
      </c>
      <c r="E1389" s="291">
        <v>36866</v>
      </c>
      <c r="F1389" s="295">
        <v>36824</v>
      </c>
      <c r="G1389" s="287" t="s">
        <v>2525</v>
      </c>
      <c r="H1389" s="266" t="s">
        <v>487</v>
      </c>
      <c r="I1389" s="268" t="s">
        <v>505</v>
      </c>
      <c r="J1389" s="299" t="s">
        <v>996</v>
      </c>
      <c r="K1389" s="259" t="str">
        <f>HYPERLINK("https://okcountyrecords.com/detail/roger+mills/2000-010909","OKCountyRecords: 2000-010909")</f>
        <v>OKCountyRecords: 2000-010909</v>
      </c>
    </row>
    <row r="1390" spans="1:11" ht="32.1" customHeight="1" x14ac:dyDescent="0.25">
      <c r="A1390" s="278" t="s">
        <v>2742</v>
      </c>
      <c r="B1390" s="266"/>
      <c r="C1390" s="266" t="s">
        <v>1623</v>
      </c>
      <c r="D1390" s="283" t="s">
        <v>4233</v>
      </c>
      <c r="E1390" s="291">
        <v>36899</v>
      </c>
      <c r="F1390" s="295">
        <v>36896</v>
      </c>
      <c r="G1390" s="287" t="s">
        <v>1615</v>
      </c>
      <c r="H1390" s="266" t="s">
        <v>2744</v>
      </c>
      <c r="I1390" s="268" t="s">
        <v>7219</v>
      </c>
      <c r="J1390" s="299" t="s">
        <v>1625</v>
      </c>
      <c r="K1390" s="259" t="str">
        <f>HYPERLINK("https://okcountyrecords.com/detail/roger+mills/2001-000103","OKCountyRecords: 2001-000103")</f>
        <v>OKCountyRecords: 2001-000103</v>
      </c>
    </row>
    <row r="1391" spans="1:11" ht="32.1" customHeight="1" x14ac:dyDescent="0.25">
      <c r="A1391" s="278" t="s">
        <v>2745</v>
      </c>
      <c r="B1391" s="266"/>
      <c r="C1391" s="266" t="s">
        <v>2746</v>
      </c>
      <c r="D1391" s="283" t="s">
        <v>7364</v>
      </c>
      <c r="E1391" s="291">
        <v>36935</v>
      </c>
      <c r="F1391" s="295">
        <v>36877</v>
      </c>
      <c r="G1391" s="287" t="s">
        <v>7366</v>
      </c>
      <c r="H1391" s="266" t="s">
        <v>1110</v>
      </c>
      <c r="I1391" s="268" t="s">
        <v>7367</v>
      </c>
      <c r="J1391" s="299" t="s">
        <v>1095</v>
      </c>
      <c r="K1391" s="259" t="str">
        <f>HYPERLINK("https://okcountyrecords.com/detail/roger+mills/2001-000618","OKCountyRecords: 2001-000618")</f>
        <v>OKCountyRecords: 2001-000618</v>
      </c>
    </row>
    <row r="1392" spans="1:11" ht="32.1" customHeight="1" x14ac:dyDescent="0.25">
      <c r="A1392" s="278" t="s">
        <v>2750</v>
      </c>
      <c r="B1392" s="266"/>
      <c r="C1392" s="266" t="s">
        <v>2506</v>
      </c>
      <c r="D1392" s="283" t="s">
        <v>7369</v>
      </c>
      <c r="E1392" s="291">
        <v>36935</v>
      </c>
      <c r="F1392" s="295">
        <v>36881</v>
      </c>
      <c r="G1392" s="287" t="s">
        <v>2752</v>
      </c>
      <c r="H1392" s="266" t="s">
        <v>2753</v>
      </c>
      <c r="I1392" s="268" t="s">
        <v>7367</v>
      </c>
      <c r="J1392" s="299" t="s">
        <v>985</v>
      </c>
      <c r="K1392" s="259" t="str">
        <f>HYPERLINK("https://okcountyrecords.com/detail/roger+mills/2001-000619","OKCountyRecords: 2001-000619")</f>
        <v>OKCountyRecords: 2001-000619</v>
      </c>
    </row>
    <row r="1393" spans="1:11" ht="32.1" customHeight="1" x14ac:dyDescent="0.25">
      <c r="A1393" s="278" t="s">
        <v>2754</v>
      </c>
      <c r="B1393" s="266"/>
      <c r="C1393" s="266" t="s">
        <v>1623</v>
      </c>
      <c r="D1393" s="283" t="s">
        <v>4234</v>
      </c>
      <c r="E1393" s="291">
        <v>36956</v>
      </c>
      <c r="F1393" s="295">
        <v>36921</v>
      </c>
      <c r="G1393" s="287" t="s">
        <v>397</v>
      </c>
      <c r="H1393" s="266" t="s">
        <v>2756</v>
      </c>
      <c r="I1393" s="268" t="s">
        <v>488</v>
      </c>
      <c r="J1393" s="299" t="s">
        <v>1625</v>
      </c>
      <c r="K1393" s="259" t="str">
        <f>HYPERLINK("https://okcountyrecords.com/detail/roger+mills/2001-000921","OKCountyRecords: 2001-000921")</f>
        <v>OKCountyRecords: 2001-000921</v>
      </c>
    </row>
    <row r="1394" spans="1:11" ht="32.1" customHeight="1" x14ac:dyDescent="0.25">
      <c r="A1394" s="278" t="s">
        <v>2757</v>
      </c>
      <c r="B1394" s="266"/>
      <c r="C1394" s="266" t="s">
        <v>1623</v>
      </c>
      <c r="D1394" s="283" t="s">
        <v>4235</v>
      </c>
      <c r="E1394" s="291">
        <v>36956</v>
      </c>
      <c r="F1394" s="295">
        <v>36921</v>
      </c>
      <c r="G1394" s="287" t="s">
        <v>463</v>
      </c>
      <c r="H1394" s="266" t="s">
        <v>2756</v>
      </c>
      <c r="I1394" s="268" t="s">
        <v>7219</v>
      </c>
      <c r="J1394" s="299" t="s">
        <v>1625</v>
      </c>
      <c r="K1394" s="259" t="str">
        <f>HYPERLINK("https://okcountyrecords.com/detail/roger+mills/2001-000926","OKCountyRecords: 2001-000926")</f>
        <v>OKCountyRecords: 2001-000926</v>
      </c>
    </row>
    <row r="1395" spans="1:11" ht="32.1" customHeight="1" x14ac:dyDescent="0.25">
      <c r="A1395" s="278" t="s">
        <v>2759</v>
      </c>
      <c r="B1395" s="266"/>
      <c r="C1395" s="266" t="s">
        <v>1623</v>
      </c>
      <c r="D1395" s="283" t="s">
        <v>4236</v>
      </c>
      <c r="E1395" s="291">
        <v>36956</v>
      </c>
      <c r="F1395" s="295">
        <v>36921</v>
      </c>
      <c r="G1395" s="287" t="s">
        <v>463</v>
      </c>
      <c r="H1395" s="266" t="s">
        <v>2756</v>
      </c>
      <c r="I1395" s="268" t="s">
        <v>488</v>
      </c>
      <c r="J1395" s="299" t="s">
        <v>1625</v>
      </c>
      <c r="K1395" s="259" t="str">
        <f>HYPERLINK("https://okcountyrecords.com/detail/roger+mills/2001-000927","OKCountyRecords: 2001-000927")</f>
        <v>OKCountyRecords: 2001-000927</v>
      </c>
    </row>
    <row r="1396" spans="1:11" ht="32.1" customHeight="1" x14ac:dyDescent="0.25">
      <c r="A1396" s="278" t="s">
        <v>2761</v>
      </c>
      <c r="B1396" s="266"/>
      <c r="C1396" s="266" t="s">
        <v>1623</v>
      </c>
      <c r="D1396" s="283" t="s">
        <v>4155</v>
      </c>
      <c r="E1396" s="291">
        <v>36957</v>
      </c>
      <c r="F1396" s="295">
        <v>36922</v>
      </c>
      <c r="G1396" s="287" t="s">
        <v>533</v>
      </c>
      <c r="H1396" s="266" t="s">
        <v>944</v>
      </c>
      <c r="I1396" s="268" t="s">
        <v>7200</v>
      </c>
      <c r="J1396" s="299" t="s">
        <v>1625</v>
      </c>
      <c r="K1396" s="259" t="str">
        <f>HYPERLINK("https://okcountyrecords.com/detail/roger+mills/2001-000957","OKCountyRecords: 2001-000957")</f>
        <v>OKCountyRecords: 2001-000957</v>
      </c>
    </row>
    <row r="1397" spans="1:11" ht="32.1" customHeight="1" x14ac:dyDescent="0.25">
      <c r="A1397" s="278" t="s">
        <v>2763</v>
      </c>
      <c r="B1397" s="266"/>
      <c r="C1397" s="266" t="s">
        <v>1107</v>
      </c>
      <c r="D1397" s="283" t="s">
        <v>7377</v>
      </c>
      <c r="E1397" s="291">
        <v>36969</v>
      </c>
      <c r="F1397" s="295">
        <v>36949</v>
      </c>
      <c r="G1397" s="287" t="s">
        <v>2765</v>
      </c>
      <c r="H1397" s="266" t="s">
        <v>1110</v>
      </c>
      <c r="I1397" s="268" t="s">
        <v>6455</v>
      </c>
      <c r="J1397" s="299" t="s">
        <v>1095</v>
      </c>
      <c r="K1397" s="259" t="str">
        <f>HYPERLINK("https://okcountyrecords.com/detail/roger+mills/2001-001091","OKCountyRecords: 2001-001091")</f>
        <v>OKCountyRecords: 2001-001091</v>
      </c>
    </row>
    <row r="1398" spans="1:11" ht="32.1" customHeight="1" x14ac:dyDescent="0.25">
      <c r="A1398" s="278" t="s">
        <v>2766</v>
      </c>
      <c r="B1398" s="266"/>
      <c r="C1398" s="266" t="s">
        <v>2506</v>
      </c>
      <c r="D1398" s="283" t="s">
        <v>4156</v>
      </c>
      <c r="E1398" s="291">
        <v>36969</v>
      </c>
      <c r="F1398" s="295">
        <v>36955</v>
      </c>
      <c r="G1398" s="287" t="s">
        <v>2768</v>
      </c>
      <c r="H1398" s="266" t="s">
        <v>2769</v>
      </c>
      <c r="I1398" s="268" t="s">
        <v>6455</v>
      </c>
      <c r="J1398" s="299" t="s">
        <v>985</v>
      </c>
      <c r="K1398" s="259" t="str">
        <f>HYPERLINK("https://okcountyrecords.com/detail/roger+mills/2001-001092","OKCountyRecords: 2001-001092")</f>
        <v>OKCountyRecords: 2001-001092</v>
      </c>
    </row>
    <row r="1399" spans="1:11" ht="32.1" customHeight="1" x14ac:dyDescent="0.25">
      <c r="A1399" s="278" t="s">
        <v>2770</v>
      </c>
      <c r="B1399" s="266"/>
      <c r="C1399" s="266" t="s">
        <v>309</v>
      </c>
      <c r="D1399" s="283" t="s">
        <v>567</v>
      </c>
      <c r="E1399" s="291">
        <v>36985</v>
      </c>
      <c r="F1399" s="295">
        <v>36906</v>
      </c>
      <c r="G1399" s="287" t="s">
        <v>2530</v>
      </c>
      <c r="H1399" s="266" t="s">
        <v>266</v>
      </c>
      <c r="I1399" s="268" t="s">
        <v>497</v>
      </c>
      <c r="J1399" s="299" t="s">
        <v>996</v>
      </c>
      <c r="K1399" s="259" t="str">
        <f>HYPERLINK("https://okcountyrecords.com/detail/roger+mills/2001-001357","OKCountyRecords: 2001-001357")</f>
        <v>OKCountyRecords: 2001-001357</v>
      </c>
    </row>
    <row r="1400" spans="1:11" ht="32.1" customHeight="1" x14ac:dyDescent="0.25">
      <c r="A1400" s="278" t="s">
        <v>2772</v>
      </c>
      <c r="B1400" s="266"/>
      <c r="C1400" s="266" t="s">
        <v>309</v>
      </c>
      <c r="D1400" s="283" t="s">
        <v>569</v>
      </c>
      <c r="E1400" s="291">
        <v>36985</v>
      </c>
      <c r="F1400" s="295">
        <v>36906</v>
      </c>
      <c r="G1400" s="287" t="s">
        <v>396</v>
      </c>
      <c r="H1400" s="266" t="s">
        <v>266</v>
      </c>
      <c r="I1400" s="268" t="s">
        <v>497</v>
      </c>
      <c r="J1400" s="299" t="s">
        <v>996</v>
      </c>
      <c r="K1400" s="259" t="str">
        <f>HYPERLINK("https://okcountyrecords.com/detail/roger+mills/2001-001358","OKCountyRecords: 2001-001358")</f>
        <v>OKCountyRecords: 2001-001358</v>
      </c>
    </row>
    <row r="1401" spans="1:11" ht="32.1" customHeight="1" x14ac:dyDescent="0.25">
      <c r="A1401" s="278" t="s">
        <v>2774</v>
      </c>
      <c r="B1401" s="266"/>
      <c r="C1401" s="266" t="s">
        <v>309</v>
      </c>
      <c r="D1401" s="283" t="s">
        <v>580</v>
      </c>
      <c r="E1401" s="291">
        <v>36985</v>
      </c>
      <c r="F1401" s="295">
        <v>36916</v>
      </c>
      <c r="G1401" s="287" t="s">
        <v>581</v>
      </c>
      <c r="H1401" s="266" t="s">
        <v>266</v>
      </c>
      <c r="I1401" s="268" t="s">
        <v>502</v>
      </c>
      <c r="J1401" s="299" t="s">
        <v>996</v>
      </c>
      <c r="K1401" s="259" t="str">
        <f>HYPERLINK("https://okcountyrecords.com/detail/roger+mills/2001-001359","OKCountyRecords: 2001-001359")</f>
        <v>OKCountyRecords: 2001-001359</v>
      </c>
    </row>
    <row r="1402" spans="1:11" ht="32.1" customHeight="1" x14ac:dyDescent="0.25">
      <c r="A1402" s="278" t="s">
        <v>2776</v>
      </c>
      <c r="B1402" s="266"/>
      <c r="C1402" s="266" t="s">
        <v>309</v>
      </c>
      <c r="D1402" s="283" t="s">
        <v>570</v>
      </c>
      <c r="E1402" s="291">
        <v>36985</v>
      </c>
      <c r="F1402" s="295">
        <v>36906</v>
      </c>
      <c r="G1402" s="287" t="s">
        <v>571</v>
      </c>
      <c r="H1402" s="266" t="s">
        <v>266</v>
      </c>
      <c r="I1402" s="268" t="s">
        <v>497</v>
      </c>
      <c r="J1402" s="299" t="s">
        <v>996</v>
      </c>
      <c r="K1402" s="259" t="str">
        <f>HYPERLINK("https://okcountyrecords.com/detail/roger+mills/2001-001360","OKCountyRecords: 2001-001360")</f>
        <v>OKCountyRecords: 2001-001360</v>
      </c>
    </row>
    <row r="1403" spans="1:11" ht="32.1" customHeight="1" x14ac:dyDescent="0.25">
      <c r="A1403" s="278" t="s">
        <v>2778</v>
      </c>
      <c r="B1403" s="266"/>
      <c r="C1403" s="266" t="s">
        <v>309</v>
      </c>
      <c r="D1403" s="283" t="s">
        <v>582</v>
      </c>
      <c r="E1403" s="291">
        <v>36985</v>
      </c>
      <c r="F1403" s="295">
        <v>36920</v>
      </c>
      <c r="G1403" s="287" t="s">
        <v>583</v>
      </c>
      <c r="H1403" s="266" t="s">
        <v>266</v>
      </c>
      <c r="I1403" s="268" t="s">
        <v>584</v>
      </c>
      <c r="J1403" s="299" t="s">
        <v>996</v>
      </c>
      <c r="K1403" s="259" t="str">
        <f>HYPERLINK("https://okcountyrecords.com/detail/roger+mills/2001-001361","OKCountyRecords: 2001-001361")</f>
        <v>OKCountyRecords: 2001-001361</v>
      </c>
    </row>
    <row r="1404" spans="1:11" ht="32.1" customHeight="1" x14ac:dyDescent="0.25">
      <c r="A1404" s="278" t="s">
        <v>2780</v>
      </c>
      <c r="B1404" s="266"/>
      <c r="C1404" s="266" t="s">
        <v>309</v>
      </c>
      <c r="D1404" s="283" t="s">
        <v>572</v>
      </c>
      <c r="E1404" s="291">
        <v>36985</v>
      </c>
      <c r="F1404" s="295">
        <v>36906</v>
      </c>
      <c r="G1404" s="287" t="s">
        <v>573</v>
      </c>
      <c r="H1404" s="266" t="s">
        <v>266</v>
      </c>
      <c r="I1404" s="268" t="s">
        <v>497</v>
      </c>
      <c r="J1404" s="299" t="s">
        <v>996</v>
      </c>
      <c r="K1404" s="259" t="str">
        <f>HYPERLINK("https://okcountyrecords.com/detail/roger+mills/2001-001362","OKCountyRecords: 2001-001362")</f>
        <v>OKCountyRecords: 2001-001362</v>
      </c>
    </row>
    <row r="1405" spans="1:11" ht="32.1" customHeight="1" x14ac:dyDescent="0.25">
      <c r="A1405" s="278" t="s">
        <v>2782</v>
      </c>
      <c r="B1405" s="266"/>
      <c r="C1405" s="266" t="s">
        <v>309</v>
      </c>
      <c r="D1405" s="283" t="s">
        <v>574</v>
      </c>
      <c r="E1405" s="291">
        <v>36985</v>
      </c>
      <c r="F1405" s="295">
        <v>36906</v>
      </c>
      <c r="G1405" s="287" t="s">
        <v>575</v>
      </c>
      <c r="H1405" s="266" t="s">
        <v>266</v>
      </c>
      <c r="I1405" s="268" t="s">
        <v>497</v>
      </c>
      <c r="J1405" s="299" t="s">
        <v>996</v>
      </c>
      <c r="K1405" s="259" t="str">
        <f>HYPERLINK("https://okcountyrecords.com/detail/roger+mills/2001-001363","OKCountyRecords: 2001-001363")</f>
        <v>OKCountyRecords: 2001-001363</v>
      </c>
    </row>
    <row r="1406" spans="1:11" ht="32.1" customHeight="1" x14ac:dyDescent="0.25">
      <c r="A1406" s="278" t="s">
        <v>2784</v>
      </c>
      <c r="B1406" s="266"/>
      <c r="C1406" s="266" t="s">
        <v>309</v>
      </c>
      <c r="D1406" s="283" t="s">
        <v>576</v>
      </c>
      <c r="E1406" s="291">
        <v>36985</v>
      </c>
      <c r="F1406" s="295">
        <v>36906</v>
      </c>
      <c r="G1406" s="287" t="s">
        <v>577</v>
      </c>
      <c r="H1406" s="266" t="s">
        <v>266</v>
      </c>
      <c r="I1406" s="268" t="s">
        <v>497</v>
      </c>
      <c r="J1406" s="299" t="s">
        <v>996</v>
      </c>
      <c r="K1406" s="259" t="str">
        <f>HYPERLINK("https://okcountyrecords.com/detail/roger+mills/2001-001364","OKCountyRecords: 2001-001364")</f>
        <v>OKCountyRecords: 2001-001364</v>
      </c>
    </row>
    <row r="1407" spans="1:11" ht="32.1" customHeight="1" x14ac:dyDescent="0.25">
      <c r="A1407" s="278" t="s">
        <v>2786</v>
      </c>
      <c r="B1407" s="266"/>
      <c r="C1407" s="266" t="s">
        <v>309</v>
      </c>
      <c r="D1407" s="283" t="s">
        <v>578</v>
      </c>
      <c r="E1407" s="291">
        <v>36985</v>
      </c>
      <c r="F1407" s="295">
        <v>36906</v>
      </c>
      <c r="G1407" s="287" t="s">
        <v>392</v>
      </c>
      <c r="H1407" s="266" t="s">
        <v>266</v>
      </c>
      <c r="I1407" s="268" t="s">
        <v>497</v>
      </c>
      <c r="J1407" s="299" t="s">
        <v>996</v>
      </c>
      <c r="K1407" s="259" t="str">
        <f>HYPERLINK("https://okcountyrecords.com/detail/roger+mills/2001-001365","OKCountyRecords: 2001-001365")</f>
        <v>OKCountyRecords: 2001-001365</v>
      </c>
    </row>
    <row r="1408" spans="1:11" ht="32.1" customHeight="1" x14ac:dyDescent="0.25">
      <c r="A1408" s="278" t="s">
        <v>2788</v>
      </c>
      <c r="B1408" s="266"/>
      <c r="C1408" s="266" t="s">
        <v>309</v>
      </c>
      <c r="D1408" s="283" t="s">
        <v>579</v>
      </c>
      <c r="E1408" s="291">
        <v>36985</v>
      </c>
      <c r="F1408" s="295">
        <v>36906</v>
      </c>
      <c r="G1408" s="287" t="s">
        <v>463</v>
      </c>
      <c r="H1408" s="266" t="s">
        <v>266</v>
      </c>
      <c r="I1408" s="268" t="s">
        <v>497</v>
      </c>
      <c r="J1408" s="299" t="s">
        <v>996</v>
      </c>
      <c r="K1408" s="259" t="str">
        <f>HYPERLINK("https://okcountyrecords.com/detail/roger+mills/2001-001366","OKCountyRecords: 2001-001366")</f>
        <v>OKCountyRecords: 2001-001366</v>
      </c>
    </row>
    <row r="1409" spans="1:11" ht="32.1" customHeight="1" x14ac:dyDescent="0.25">
      <c r="A1409" s="278" t="s">
        <v>2790</v>
      </c>
      <c r="B1409" s="266"/>
      <c r="C1409" s="266" t="s">
        <v>1623</v>
      </c>
      <c r="D1409" s="283" t="s">
        <v>4157</v>
      </c>
      <c r="E1409" s="291">
        <v>36987</v>
      </c>
      <c r="F1409" s="295">
        <v>36957</v>
      </c>
      <c r="G1409" s="287" t="s">
        <v>2792</v>
      </c>
      <c r="H1409" s="266" t="s">
        <v>944</v>
      </c>
      <c r="I1409" s="268" t="s">
        <v>502</v>
      </c>
      <c r="J1409" s="299" t="s">
        <v>1625</v>
      </c>
      <c r="K1409" s="259" t="str">
        <f>HYPERLINK("https://okcountyrecords.com/detail/roger+mills/2001-001414","OKCountyRecords: 2001-001414")</f>
        <v>OKCountyRecords: 2001-001414</v>
      </c>
    </row>
    <row r="1410" spans="1:11" ht="32.1" customHeight="1" x14ac:dyDescent="0.25">
      <c r="A1410" s="278" t="s">
        <v>2793</v>
      </c>
      <c r="B1410" s="266"/>
      <c r="C1410" s="266" t="s">
        <v>1623</v>
      </c>
      <c r="D1410" s="283" t="s">
        <v>4158</v>
      </c>
      <c r="E1410" s="291">
        <v>36991</v>
      </c>
      <c r="F1410" s="295">
        <v>36963</v>
      </c>
      <c r="G1410" s="287" t="s">
        <v>2795</v>
      </c>
      <c r="H1410" s="266" t="s">
        <v>944</v>
      </c>
      <c r="I1410" s="268" t="s">
        <v>7200</v>
      </c>
      <c r="J1410" s="299" t="s">
        <v>1625</v>
      </c>
      <c r="K1410" s="259" t="str">
        <f>HYPERLINK("https://okcountyrecords.com/detail/roger+mills/2001-001463","OKCountyRecords: 2001-001463")</f>
        <v>OKCountyRecords: 2001-001463</v>
      </c>
    </row>
    <row r="1411" spans="1:11" ht="32.1" customHeight="1" x14ac:dyDescent="0.25">
      <c r="A1411" s="278" t="s">
        <v>2797</v>
      </c>
      <c r="B1411" s="266"/>
      <c r="C1411" s="266" t="s">
        <v>114</v>
      </c>
      <c r="D1411" s="283" t="s">
        <v>7396</v>
      </c>
      <c r="E1411" s="291">
        <v>37005</v>
      </c>
      <c r="F1411" s="295">
        <v>36924</v>
      </c>
      <c r="G1411" s="287" t="s">
        <v>266</v>
      </c>
      <c r="H1411" s="266" t="s">
        <v>2799</v>
      </c>
      <c r="I1411" s="268" t="s">
        <v>497</v>
      </c>
      <c r="J1411" s="299" t="s">
        <v>996</v>
      </c>
      <c r="K1411" s="259" t="str">
        <f>HYPERLINK("https://okcountyrecords.com/detail/roger+mills/2001-001728","OKCountyRecords: 2001-001728")</f>
        <v>OKCountyRecords: 2001-001728</v>
      </c>
    </row>
    <row r="1412" spans="1:11" ht="32.1" customHeight="1" x14ac:dyDescent="0.25">
      <c r="A1412" s="278" t="s">
        <v>2800</v>
      </c>
      <c r="B1412" s="266"/>
      <c r="C1412" s="266" t="s">
        <v>114</v>
      </c>
      <c r="D1412" s="283" t="s">
        <v>7399</v>
      </c>
      <c r="E1412" s="291">
        <v>37005</v>
      </c>
      <c r="F1412" s="295">
        <v>36941</v>
      </c>
      <c r="G1412" s="287" t="s">
        <v>266</v>
      </c>
      <c r="H1412" s="266" t="s">
        <v>2799</v>
      </c>
      <c r="I1412" s="268" t="s">
        <v>497</v>
      </c>
      <c r="J1412" s="299" t="s">
        <v>996</v>
      </c>
      <c r="K1412" s="259" t="str">
        <f>HYPERLINK("https://okcountyrecords.com/detail/roger+mills/2001-001729","OKCountyRecords: 2001-001729")</f>
        <v>OKCountyRecords: 2001-001729</v>
      </c>
    </row>
    <row r="1413" spans="1:11" ht="32.1" customHeight="1" x14ac:dyDescent="0.25">
      <c r="A1413" s="278" t="s">
        <v>2802</v>
      </c>
      <c r="B1413" s="266"/>
      <c r="C1413" s="266" t="s">
        <v>114</v>
      </c>
      <c r="D1413" s="283" t="s">
        <v>7401</v>
      </c>
      <c r="E1413" s="291">
        <v>37005</v>
      </c>
      <c r="F1413" s="295">
        <v>36945</v>
      </c>
      <c r="G1413" s="287" t="s">
        <v>266</v>
      </c>
      <c r="H1413" s="266" t="s">
        <v>2799</v>
      </c>
      <c r="I1413" s="268" t="s">
        <v>497</v>
      </c>
      <c r="J1413" s="299" t="s">
        <v>996</v>
      </c>
      <c r="K1413" s="259" t="str">
        <f>HYPERLINK("https://okcountyrecords.com/detail/roger+mills/2001-001730","OKCountyRecords: 2001-001730")</f>
        <v>OKCountyRecords: 2001-001730</v>
      </c>
    </row>
    <row r="1414" spans="1:11" ht="32.1" customHeight="1" x14ac:dyDescent="0.25">
      <c r="A1414" s="278" t="s">
        <v>2804</v>
      </c>
      <c r="B1414" s="266"/>
      <c r="C1414" s="266" t="s">
        <v>309</v>
      </c>
      <c r="D1414" s="283" t="s">
        <v>585</v>
      </c>
      <c r="E1414" s="291">
        <v>37005</v>
      </c>
      <c r="F1414" s="295">
        <v>36948</v>
      </c>
      <c r="G1414" s="287" t="s">
        <v>266</v>
      </c>
      <c r="H1414" s="266" t="s">
        <v>2799</v>
      </c>
      <c r="I1414" s="268" t="s">
        <v>587</v>
      </c>
      <c r="J1414" s="299" t="s">
        <v>996</v>
      </c>
      <c r="K1414" s="259" t="str">
        <f>HYPERLINK("https://okcountyrecords.com/detail/roger+mills/2001-001731","OKCountyRecords: 2001-001731")</f>
        <v>OKCountyRecords: 2001-001731</v>
      </c>
    </row>
    <row r="1415" spans="1:11" ht="32.1" customHeight="1" x14ac:dyDescent="0.25">
      <c r="A1415" s="278" t="s">
        <v>2806</v>
      </c>
      <c r="B1415" s="266"/>
      <c r="C1415" s="266" t="s">
        <v>114</v>
      </c>
      <c r="D1415" s="283" t="s">
        <v>7404</v>
      </c>
      <c r="E1415" s="291">
        <v>37005</v>
      </c>
      <c r="F1415" s="295">
        <v>36948</v>
      </c>
      <c r="G1415" s="287" t="s">
        <v>266</v>
      </c>
      <c r="H1415" s="266" t="s">
        <v>2799</v>
      </c>
      <c r="I1415" s="268" t="s">
        <v>502</v>
      </c>
      <c r="J1415" s="299" t="s">
        <v>996</v>
      </c>
      <c r="K1415" s="259" t="str">
        <f>HYPERLINK("https://okcountyrecords.com/detail/roger+mills/2001-001732","OKCountyRecords: 2001-001732")</f>
        <v>OKCountyRecords: 2001-001732</v>
      </c>
    </row>
    <row r="1416" spans="1:11" ht="32.1" customHeight="1" x14ac:dyDescent="0.25">
      <c r="A1416" s="278" t="s">
        <v>2808</v>
      </c>
      <c r="B1416" s="266"/>
      <c r="C1416" s="266" t="s">
        <v>309</v>
      </c>
      <c r="D1416" s="283" t="s">
        <v>588</v>
      </c>
      <c r="E1416" s="291">
        <v>37019</v>
      </c>
      <c r="F1416" s="295">
        <v>36951</v>
      </c>
      <c r="G1416" s="287" t="s">
        <v>589</v>
      </c>
      <c r="H1416" s="266" t="s">
        <v>266</v>
      </c>
      <c r="I1416" s="268" t="s">
        <v>497</v>
      </c>
      <c r="J1416" s="299" t="s">
        <v>996</v>
      </c>
      <c r="K1416" s="259" t="str">
        <f>HYPERLINK("https://okcountyrecords.com/detail/roger+mills/2001-002014","OKCountyRecords: 2001-002014")</f>
        <v>OKCountyRecords: 2001-002014</v>
      </c>
    </row>
    <row r="1417" spans="1:11" ht="32.1" customHeight="1" x14ac:dyDescent="0.25">
      <c r="A1417" s="278" t="s">
        <v>2810</v>
      </c>
      <c r="B1417" s="266"/>
      <c r="C1417" s="266" t="s">
        <v>309</v>
      </c>
      <c r="D1417" s="283" t="s">
        <v>590</v>
      </c>
      <c r="E1417" s="291">
        <v>37019</v>
      </c>
      <c r="F1417" s="295">
        <v>36951</v>
      </c>
      <c r="G1417" s="287" t="s">
        <v>591</v>
      </c>
      <c r="H1417" s="266" t="s">
        <v>266</v>
      </c>
      <c r="I1417" s="268" t="s">
        <v>497</v>
      </c>
      <c r="J1417" s="299" t="s">
        <v>996</v>
      </c>
      <c r="K1417" s="259" t="str">
        <f>HYPERLINK("https://okcountyrecords.com/detail/roger+mills/2001-002015","OKCountyRecords: 2001-002015")</f>
        <v>OKCountyRecords: 2001-002015</v>
      </c>
    </row>
    <row r="1418" spans="1:11" ht="32.1" customHeight="1" x14ac:dyDescent="0.25">
      <c r="A1418" s="278" t="s">
        <v>2812</v>
      </c>
      <c r="B1418" s="266"/>
      <c r="C1418" s="266" t="s">
        <v>309</v>
      </c>
      <c r="D1418" s="283" t="s">
        <v>592</v>
      </c>
      <c r="E1418" s="291">
        <v>37019</v>
      </c>
      <c r="F1418" s="295">
        <v>36951</v>
      </c>
      <c r="G1418" s="287" t="s">
        <v>593</v>
      </c>
      <c r="H1418" s="266" t="s">
        <v>266</v>
      </c>
      <c r="I1418" s="268" t="s">
        <v>497</v>
      </c>
      <c r="J1418" s="299" t="s">
        <v>996</v>
      </c>
      <c r="K1418" s="259" t="str">
        <f>HYPERLINK("https://okcountyrecords.com/detail/roger+mills/2001-002016","OKCountyRecords: 2001-002016")</f>
        <v>OKCountyRecords: 2001-002016</v>
      </c>
    </row>
    <row r="1419" spans="1:11" ht="32.1" customHeight="1" x14ac:dyDescent="0.25">
      <c r="A1419" s="278" t="s">
        <v>2814</v>
      </c>
      <c r="B1419" s="266"/>
      <c r="C1419" s="266" t="s">
        <v>2506</v>
      </c>
      <c r="D1419" s="283" t="s">
        <v>4354</v>
      </c>
      <c r="E1419" s="291">
        <v>37029</v>
      </c>
      <c r="F1419" s="295">
        <v>37022</v>
      </c>
      <c r="G1419" s="287" t="s">
        <v>2816</v>
      </c>
      <c r="H1419" s="266" t="s">
        <v>2817</v>
      </c>
      <c r="I1419" s="268" t="s">
        <v>7241</v>
      </c>
      <c r="J1419" s="299" t="s">
        <v>985</v>
      </c>
      <c r="K1419" s="259" t="str">
        <f>HYPERLINK("https://okcountyrecords.com/detail/roger+mills/2001-002190","OKCountyRecords: 2001-002190")</f>
        <v>OKCountyRecords: 2001-002190</v>
      </c>
    </row>
    <row r="1420" spans="1:11" ht="32.1" customHeight="1" x14ac:dyDescent="0.25">
      <c r="A1420" s="278" t="s">
        <v>2819</v>
      </c>
      <c r="B1420" s="266"/>
      <c r="C1420" s="266" t="s">
        <v>2619</v>
      </c>
      <c r="D1420" s="283" t="s">
        <v>4159</v>
      </c>
      <c r="E1420" s="291">
        <v>37034</v>
      </c>
      <c r="F1420" s="295">
        <v>37014</v>
      </c>
      <c r="G1420" s="287" t="s">
        <v>4190</v>
      </c>
      <c r="H1420" s="266" t="s">
        <v>1110</v>
      </c>
      <c r="I1420" s="268" t="s">
        <v>7200</v>
      </c>
      <c r="J1420" s="299" t="s">
        <v>985</v>
      </c>
      <c r="K1420" s="259" t="str">
        <f>HYPERLINK("https://okcountyrecords.com/detail/roger+mills/2001-002342","OKCountyRecords: 2001-002342")</f>
        <v>OKCountyRecords: 2001-002342</v>
      </c>
    </row>
    <row r="1421" spans="1:11" ht="32.1" customHeight="1" x14ac:dyDescent="0.25">
      <c r="A1421" s="278" t="s">
        <v>2822</v>
      </c>
      <c r="B1421" s="266"/>
      <c r="C1421" s="266" t="s">
        <v>114</v>
      </c>
      <c r="D1421" s="283" t="s">
        <v>7414</v>
      </c>
      <c r="E1421" s="291">
        <v>37034</v>
      </c>
      <c r="F1421" s="295">
        <v>37031</v>
      </c>
      <c r="G1421" s="287" t="s">
        <v>266</v>
      </c>
      <c r="H1421" s="266" t="s">
        <v>2799</v>
      </c>
      <c r="I1421" s="268" t="s">
        <v>497</v>
      </c>
      <c r="J1421" s="299" t="s">
        <v>996</v>
      </c>
      <c r="K1421" s="259" t="str">
        <f>HYPERLINK("https://okcountyrecords.com/detail/roger+mills/2001-002353","OKCountyRecords: 2001-002353")</f>
        <v>OKCountyRecords: 2001-002353</v>
      </c>
    </row>
    <row r="1422" spans="1:11" ht="32.1" customHeight="1" x14ac:dyDescent="0.25">
      <c r="A1422" s="278" t="s">
        <v>2824</v>
      </c>
      <c r="B1422" s="266"/>
      <c r="C1422" s="266" t="s">
        <v>114</v>
      </c>
      <c r="D1422" s="283" t="s">
        <v>7416</v>
      </c>
      <c r="E1422" s="291">
        <v>37034</v>
      </c>
      <c r="F1422" s="295">
        <v>36990</v>
      </c>
      <c r="G1422" s="287" t="s">
        <v>266</v>
      </c>
      <c r="H1422" s="266" t="s">
        <v>2799</v>
      </c>
      <c r="I1422" s="268" t="s">
        <v>497</v>
      </c>
      <c r="J1422" s="299" t="s">
        <v>996</v>
      </c>
      <c r="K1422" s="259" t="str">
        <f>HYPERLINK("https://okcountyrecords.com/detail/roger+mills/2001-002354","OKCountyRecords: 2001-002354")</f>
        <v>OKCountyRecords: 2001-002354</v>
      </c>
    </row>
    <row r="1423" spans="1:11" ht="32.1" customHeight="1" x14ac:dyDescent="0.25">
      <c r="A1423" s="278" t="s">
        <v>2826</v>
      </c>
      <c r="B1423" s="266"/>
      <c r="C1423" s="266" t="s">
        <v>2827</v>
      </c>
      <c r="D1423" s="283" t="s">
        <v>4355</v>
      </c>
      <c r="E1423" s="291">
        <v>37041</v>
      </c>
      <c r="F1423" s="295">
        <v>37034</v>
      </c>
      <c r="G1423" s="287" t="s">
        <v>2816</v>
      </c>
      <c r="H1423" s="266" t="s">
        <v>2829</v>
      </c>
      <c r="I1423" s="268" t="s">
        <v>7241</v>
      </c>
      <c r="J1423" s="299" t="s">
        <v>985</v>
      </c>
      <c r="K1423" s="259" t="str">
        <f>HYPERLINK("https://okcountyrecords.com/detail/roger+mills/2001-002496","OKCountyRecords: 2001-002496")</f>
        <v>OKCountyRecords: 2001-002496</v>
      </c>
    </row>
    <row r="1424" spans="1:11" ht="32.1" customHeight="1" x14ac:dyDescent="0.25">
      <c r="A1424" s="278" t="s">
        <v>2830</v>
      </c>
      <c r="B1424" s="266"/>
      <c r="C1424" s="266" t="s">
        <v>114</v>
      </c>
      <c r="D1424" s="283" t="s">
        <v>7420</v>
      </c>
      <c r="E1424" s="291">
        <v>37368</v>
      </c>
      <c r="F1424" s="295">
        <v>37348</v>
      </c>
      <c r="G1424" s="287" t="s">
        <v>496</v>
      </c>
      <c r="H1424" s="266" t="s">
        <v>7422</v>
      </c>
      <c r="I1424" s="268" t="s">
        <v>7423</v>
      </c>
      <c r="J1424" s="299" t="s">
        <v>996</v>
      </c>
      <c r="K1424" s="259" t="str">
        <f>HYPERLINK("https://okcountyrecords.com/detail/roger+mills/2002-001685","OKCountyRecords: 2002-001685")</f>
        <v>OKCountyRecords: 2002-001685</v>
      </c>
    </row>
    <row r="1425" spans="1:11" ht="32.1" customHeight="1" x14ac:dyDescent="0.25">
      <c r="A1425" s="278" t="s">
        <v>2837</v>
      </c>
      <c r="B1425" s="266"/>
      <c r="C1425" s="266" t="s">
        <v>309</v>
      </c>
      <c r="D1425" s="283" t="s">
        <v>594</v>
      </c>
      <c r="E1425" s="291">
        <v>37372</v>
      </c>
      <c r="F1425" s="295">
        <v>37347</v>
      </c>
      <c r="G1425" s="287" t="s">
        <v>240</v>
      </c>
      <c r="H1425" s="266" t="s">
        <v>2799</v>
      </c>
      <c r="I1425" s="268" t="s">
        <v>488</v>
      </c>
      <c r="J1425" s="299" t="s">
        <v>996</v>
      </c>
      <c r="K1425" s="259" t="str">
        <f>HYPERLINK("https://okcountyrecords.com/detail/roger+mills/2002-001764","OKCountyRecords: 2002-001764")</f>
        <v>OKCountyRecords: 2002-001764</v>
      </c>
    </row>
    <row r="1426" spans="1:11" ht="32.1" customHeight="1" x14ac:dyDescent="0.25">
      <c r="A1426" s="278" t="s">
        <v>2839</v>
      </c>
      <c r="B1426" s="266"/>
      <c r="C1426" s="266" t="s">
        <v>309</v>
      </c>
      <c r="D1426" s="283" t="s">
        <v>595</v>
      </c>
      <c r="E1426" s="291">
        <v>37372</v>
      </c>
      <c r="F1426" s="295">
        <v>37354</v>
      </c>
      <c r="G1426" s="287" t="s">
        <v>7427</v>
      </c>
      <c r="H1426" s="266" t="s">
        <v>2799</v>
      </c>
      <c r="I1426" s="268" t="s">
        <v>505</v>
      </c>
      <c r="J1426" s="299" t="s">
        <v>996</v>
      </c>
      <c r="K1426" s="259" t="str">
        <f>HYPERLINK("https://okcountyrecords.com/detail/roger+mills/2002-001765","OKCountyRecords: 2002-001765")</f>
        <v>OKCountyRecords: 2002-001765</v>
      </c>
    </row>
    <row r="1427" spans="1:11" ht="32.1" customHeight="1" x14ac:dyDescent="0.25">
      <c r="A1427" s="278" t="s">
        <v>2846</v>
      </c>
      <c r="B1427" s="266"/>
      <c r="C1427" s="266" t="s">
        <v>309</v>
      </c>
      <c r="D1427" s="283" t="s">
        <v>609</v>
      </c>
      <c r="E1427" s="291">
        <v>37389</v>
      </c>
      <c r="F1427" s="295">
        <v>37384</v>
      </c>
      <c r="G1427" s="287" t="s">
        <v>610</v>
      </c>
      <c r="H1427" s="266" t="s">
        <v>611</v>
      </c>
      <c r="I1427" s="268" t="s">
        <v>502</v>
      </c>
      <c r="J1427" s="299" t="s">
        <v>996</v>
      </c>
      <c r="K1427" s="259" t="str">
        <f>HYPERLINK("https://okcountyrecords.com/detail/roger+mills/2002-001961","OKCountyRecords: 2002-001961")</f>
        <v>OKCountyRecords: 2002-001961</v>
      </c>
    </row>
    <row r="1428" spans="1:11" ht="32.1" customHeight="1" x14ac:dyDescent="0.25">
      <c r="A1428" s="278" t="s">
        <v>2847</v>
      </c>
      <c r="B1428" s="266"/>
      <c r="C1428" s="266" t="s">
        <v>114</v>
      </c>
      <c r="D1428" s="283" t="s">
        <v>7431</v>
      </c>
      <c r="E1428" s="291">
        <v>37389</v>
      </c>
      <c r="F1428" s="295">
        <v>37385</v>
      </c>
      <c r="G1428" s="287" t="s">
        <v>611</v>
      </c>
      <c r="H1428" s="266" t="s">
        <v>2849</v>
      </c>
      <c r="I1428" s="268" t="s">
        <v>502</v>
      </c>
      <c r="J1428" s="299" t="s">
        <v>996</v>
      </c>
      <c r="K1428" s="259" t="str">
        <f>HYPERLINK("https://okcountyrecords.com/detail/roger+mills/2002-001962","OKCountyRecords: 2002-001962")</f>
        <v>OKCountyRecords: 2002-001962</v>
      </c>
    </row>
    <row r="1429" spans="1:11" ht="32.1" customHeight="1" x14ac:dyDescent="0.25">
      <c r="A1429" s="278" t="s">
        <v>2845</v>
      </c>
      <c r="B1429" s="266"/>
      <c r="C1429" s="266" t="s">
        <v>309</v>
      </c>
      <c r="D1429" s="283" t="s">
        <v>603</v>
      </c>
      <c r="E1429" s="291">
        <v>37389</v>
      </c>
      <c r="F1429" s="295">
        <v>37364</v>
      </c>
      <c r="G1429" s="287" t="s">
        <v>252</v>
      </c>
      <c r="H1429" s="266" t="s">
        <v>2799</v>
      </c>
      <c r="I1429" s="268" t="s">
        <v>488</v>
      </c>
      <c r="J1429" s="299" t="s">
        <v>996</v>
      </c>
      <c r="K1429" s="259" t="str">
        <f>HYPERLINK("https://okcountyrecords.com/detail/roger+mills/2002-001963","OKCountyRecords: 2002-001963")</f>
        <v>OKCountyRecords: 2002-001963</v>
      </c>
    </row>
    <row r="1430" spans="1:11" ht="32.1" customHeight="1" x14ac:dyDescent="0.25">
      <c r="A1430" s="278" t="s">
        <v>2843</v>
      </c>
      <c r="B1430" s="266"/>
      <c r="C1430" s="266" t="s">
        <v>309</v>
      </c>
      <c r="D1430" s="283" t="s">
        <v>600</v>
      </c>
      <c r="E1430" s="291">
        <v>37389</v>
      </c>
      <c r="F1430" s="295">
        <v>37361</v>
      </c>
      <c r="G1430" s="287" t="s">
        <v>249</v>
      </c>
      <c r="H1430" s="266" t="s">
        <v>487</v>
      </c>
      <c r="I1430" s="268" t="s">
        <v>488</v>
      </c>
      <c r="J1430" s="299" t="s">
        <v>996</v>
      </c>
      <c r="K1430" s="259" t="str">
        <f>HYPERLINK("https://okcountyrecords.com/detail/roger+mills/2002-001970","OKCountyRecords: 2002-001970")</f>
        <v>OKCountyRecords: 2002-001970</v>
      </c>
    </row>
    <row r="1431" spans="1:11" ht="32.1" customHeight="1" x14ac:dyDescent="0.25">
      <c r="A1431" s="278" t="s">
        <v>2850</v>
      </c>
      <c r="B1431" s="266"/>
      <c r="C1431" s="266" t="s">
        <v>309</v>
      </c>
      <c r="D1431" s="283" t="s">
        <v>601</v>
      </c>
      <c r="E1431" s="291">
        <v>37389</v>
      </c>
      <c r="F1431" s="295">
        <v>37361</v>
      </c>
      <c r="G1431" s="287" t="s">
        <v>602</v>
      </c>
      <c r="H1431" s="266" t="s">
        <v>487</v>
      </c>
      <c r="I1431" s="268" t="s">
        <v>488</v>
      </c>
      <c r="J1431" s="299" t="s">
        <v>996</v>
      </c>
      <c r="K1431" s="259" t="str">
        <f>HYPERLINK("https://okcountyrecords.com/detail/roger+mills/2002-001971","OKCountyRecords: 2002-001971")</f>
        <v>OKCountyRecords: 2002-001971</v>
      </c>
    </row>
    <row r="1432" spans="1:11" ht="32.1" customHeight="1" x14ac:dyDescent="0.25">
      <c r="A1432" s="278" t="s">
        <v>2852</v>
      </c>
      <c r="B1432" s="266"/>
      <c r="C1432" s="266" t="s">
        <v>309</v>
      </c>
      <c r="D1432" s="283" t="s">
        <v>607</v>
      </c>
      <c r="E1432" s="291">
        <v>37399</v>
      </c>
      <c r="F1432" s="295">
        <v>37381</v>
      </c>
      <c r="G1432" s="287" t="s">
        <v>252</v>
      </c>
      <c r="H1432" s="266" t="s">
        <v>487</v>
      </c>
      <c r="I1432" s="268" t="s">
        <v>488</v>
      </c>
      <c r="J1432" s="299" t="s">
        <v>996</v>
      </c>
      <c r="K1432" s="259" t="str">
        <f>HYPERLINK("https://okcountyrecords.com/detail/roger+mills/2002-002104","OKCountyRecords: 2002-002104")</f>
        <v>OKCountyRecords: 2002-002104</v>
      </c>
    </row>
    <row r="1433" spans="1:11" ht="32.1" customHeight="1" x14ac:dyDescent="0.25">
      <c r="A1433" s="278" t="s">
        <v>2854</v>
      </c>
      <c r="B1433" s="266"/>
      <c r="C1433" s="266" t="s">
        <v>969</v>
      </c>
      <c r="D1433" s="283" t="s">
        <v>7438</v>
      </c>
      <c r="E1433" s="291">
        <v>37407</v>
      </c>
      <c r="F1433" s="295">
        <v>37406</v>
      </c>
      <c r="G1433" s="287" t="s">
        <v>944</v>
      </c>
      <c r="H1433" s="266" t="s">
        <v>2856</v>
      </c>
      <c r="I1433" s="268" t="s">
        <v>5812</v>
      </c>
      <c r="J1433" s="299" t="s">
        <v>985</v>
      </c>
      <c r="K1433" s="259" t="str">
        <f>HYPERLINK("https://okcountyrecords.com/detail/roger+mills/2002-002227","OKCountyRecords: 2002-002227")</f>
        <v>OKCountyRecords: 2002-002227</v>
      </c>
    </row>
    <row r="1434" spans="1:11" ht="32.1" customHeight="1" x14ac:dyDescent="0.25">
      <c r="A1434" s="278" t="s">
        <v>2858</v>
      </c>
      <c r="B1434" s="266"/>
      <c r="C1434" s="266" t="s">
        <v>309</v>
      </c>
      <c r="D1434" s="283" t="s">
        <v>604</v>
      </c>
      <c r="E1434" s="291">
        <v>37410</v>
      </c>
      <c r="F1434" s="295">
        <v>37364</v>
      </c>
      <c r="G1434" s="287" t="s">
        <v>605</v>
      </c>
      <c r="H1434" s="266" t="s">
        <v>2799</v>
      </c>
      <c r="I1434" s="268" t="s">
        <v>606</v>
      </c>
      <c r="J1434" s="299" t="s">
        <v>996</v>
      </c>
      <c r="K1434" s="259" t="str">
        <f>HYPERLINK("https://okcountyrecords.com/detail/roger+mills/2002-002254","OKCountyRecords: 2002-002254")</f>
        <v>OKCountyRecords: 2002-002254</v>
      </c>
    </row>
    <row r="1435" spans="1:11" ht="32.1" customHeight="1" x14ac:dyDescent="0.25">
      <c r="A1435" s="278" t="s">
        <v>2861</v>
      </c>
      <c r="B1435" s="266"/>
      <c r="C1435" s="266" t="s">
        <v>309</v>
      </c>
      <c r="D1435" s="283" t="s">
        <v>597</v>
      </c>
      <c r="E1435" s="291">
        <v>37424</v>
      </c>
      <c r="F1435" s="295">
        <v>37354</v>
      </c>
      <c r="G1435" s="287" t="s">
        <v>247</v>
      </c>
      <c r="H1435" s="266" t="s">
        <v>2799</v>
      </c>
      <c r="I1435" s="268" t="s">
        <v>598</v>
      </c>
      <c r="J1435" s="299" t="s">
        <v>996</v>
      </c>
      <c r="K1435" s="259" t="str">
        <f>HYPERLINK("https://okcountyrecords.com/detail/roger+mills/2002-002538","OKCountyRecords: 2002-002538")</f>
        <v>OKCountyRecords: 2002-002538</v>
      </c>
    </row>
    <row r="1436" spans="1:11" ht="32.1" customHeight="1" x14ac:dyDescent="0.25">
      <c r="A1436" s="278" t="s">
        <v>2866</v>
      </c>
      <c r="B1436" s="266"/>
      <c r="C1436" s="266" t="s">
        <v>309</v>
      </c>
      <c r="D1436" s="283" t="s">
        <v>608</v>
      </c>
      <c r="E1436" s="291">
        <v>37433</v>
      </c>
      <c r="F1436" s="295">
        <v>37381</v>
      </c>
      <c r="G1436" s="287" t="s">
        <v>1958</v>
      </c>
      <c r="H1436" s="266" t="s">
        <v>487</v>
      </c>
      <c r="I1436" s="268" t="s">
        <v>488</v>
      </c>
      <c r="J1436" s="299" t="s">
        <v>996</v>
      </c>
      <c r="K1436" s="259" t="str">
        <f>HYPERLINK("https://okcountyrecords.com/detail/roger+mills/2002-002676","OKCountyRecords: 2002-002676")</f>
        <v>OKCountyRecords: 2002-002676</v>
      </c>
    </row>
    <row r="1437" spans="1:11" ht="32.1" customHeight="1" x14ac:dyDescent="0.25">
      <c r="A1437" s="278" t="s">
        <v>2868</v>
      </c>
      <c r="B1437" s="266"/>
      <c r="C1437" s="266" t="s">
        <v>309</v>
      </c>
      <c r="D1437" s="283" t="s">
        <v>612</v>
      </c>
      <c r="E1437" s="291">
        <v>37454</v>
      </c>
      <c r="F1437" s="295">
        <v>37426</v>
      </c>
      <c r="G1437" s="287" t="s">
        <v>430</v>
      </c>
      <c r="H1437" s="266" t="s">
        <v>487</v>
      </c>
      <c r="I1437" s="268" t="s">
        <v>488</v>
      </c>
      <c r="J1437" s="299" t="s">
        <v>996</v>
      </c>
      <c r="K1437" s="259" t="str">
        <f>HYPERLINK("https://okcountyrecords.com/detail/roger+mills/2002-002928","OKCountyRecords: 2002-002928")</f>
        <v>OKCountyRecords: 2002-002928</v>
      </c>
    </row>
    <row r="1438" spans="1:11" ht="32.1" customHeight="1" x14ac:dyDescent="0.25">
      <c r="A1438" s="278" t="s">
        <v>2871</v>
      </c>
      <c r="B1438" s="266"/>
      <c r="C1438" s="266" t="s">
        <v>309</v>
      </c>
      <c r="D1438" s="283" t="s">
        <v>613</v>
      </c>
      <c r="E1438" s="291">
        <v>37484</v>
      </c>
      <c r="F1438" s="295">
        <v>37426</v>
      </c>
      <c r="G1438" s="287" t="s">
        <v>7450</v>
      </c>
      <c r="H1438" s="266" t="s">
        <v>487</v>
      </c>
      <c r="I1438" s="268" t="s">
        <v>488</v>
      </c>
      <c r="J1438" s="299" t="s">
        <v>996</v>
      </c>
      <c r="K1438" s="259" t="str">
        <f>HYPERLINK("https://okcountyrecords.com/detail/roger+mills/2002-003272","OKCountyRecords: 2002-003272")</f>
        <v>OKCountyRecords: 2002-003272</v>
      </c>
    </row>
    <row r="1439" spans="1:11" ht="32.1" customHeight="1" x14ac:dyDescent="0.25">
      <c r="A1439" s="278" t="s">
        <v>2873</v>
      </c>
      <c r="B1439" s="266"/>
      <c r="C1439" s="266" t="s">
        <v>309</v>
      </c>
      <c r="D1439" s="283" t="s">
        <v>599</v>
      </c>
      <c r="E1439" s="291">
        <v>37503</v>
      </c>
      <c r="F1439" s="295">
        <v>37354</v>
      </c>
      <c r="G1439" s="287" t="s">
        <v>247</v>
      </c>
      <c r="H1439" s="266" t="s">
        <v>2799</v>
      </c>
      <c r="I1439" s="268" t="s">
        <v>488</v>
      </c>
      <c r="J1439" s="299" t="s">
        <v>996</v>
      </c>
      <c r="K1439" s="259" t="str">
        <f>HYPERLINK("https://okcountyrecords.com/detail/roger+mills/2002-003522","OKCountyRecords: 2002-003522")</f>
        <v>OKCountyRecords: 2002-003522</v>
      </c>
    </row>
    <row r="1440" spans="1:11" ht="32.1" customHeight="1" x14ac:dyDescent="0.25">
      <c r="A1440" s="278" t="s">
        <v>2875</v>
      </c>
      <c r="B1440" s="266"/>
      <c r="C1440" s="266" t="s">
        <v>1623</v>
      </c>
      <c r="D1440" s="283" t="s">
        <v>4356</v>
      </c>
      <c r="E1440" s="291">
        <v>37505</v>
      </c>
      <c r="F1440" s="295">
        <v>37482</v>
      </c>
      <c r="G1440" s="287" t="s">
        <v>2877</v>
      </c>
      <c r="H1440" s="266" t="s">
        <v>944</v>
      </c>
      <c r="I1440" s="268" t="s">
        <v>505</v>
      </c>
      <c r="J1440" s="299" t="s">
        <v>1625</v>
      </c>
      <c r="K1440" s="259" t="str">
        <f>HYPERLINK("https://okcountyrecords.com/detail/roger+mills/2002-003563","OKCountyRecords: 2002-003563")</f>
        <v>OKCountyRecords: 2002-003563</v>
      </c>
    </row>
    <row r="1441" spans="1:11" ht="32.1" customHeight="1" x14ac:dyDescent="0.25">
      <c r="A1441" s="278" t="s">
        <v>2879</v>
      </c>
      <c r="B1441" s="266"/>
      <c r="C1441" s="266" t="s">
        <v>309</v>
      </c>
      <c r="D1441" s="283" t="s">
        <v>627</v>
      </c>
      <c r="E1441" s="291">
        <v>37525</v>
      </c>
      <c r="F1441" s="295">
        <v>37496</v>
      </c>
      <c r="G1441" s="287" t="s">
        <v>263</v>
      </c>
      <c r="H1441" s="266" t="s">
        <v>487</v>
      </c>
      <c r="I1441" s="268" t="s">
        <v>488</v>
      </c>
      <c r="J1441" s="299" t="s">
        <v>996</v>
      </c>
      <c r="K1441" s="259" t="str">
        <f>HYPERLINK("https://okcountyrecords.com/detail/roger+mills/2002-003773","OKCountyRecords: 2002-003773")</f>
        <v>OKCountyRecords: 2002-003773</v>
      </c>
    </row>
    <row r="1442" spans="1:11" ht="32.1" customHeight="1" x14ac:dyDescent="0.25">
      <c r="A1442" s="278" t="s">
        <v>2881</v>
      </c>
      <c r="B1442" s="266"/>
      <c r="C1442" s="266" t="s">
        <v>615</v>
      </c>
      <c r="D1442" s="283" t="s">
        <v>625</v>
      </c>
      <c r="E1442" s="291">
        <v>37525</v>
      </c>
      <c r="F1442" s="295">
        <v>37490</v>
      </c>
      <c r="G1442" s="287" t="s">
        <v>626</v>
      </c>
      <c r="H1442" s="266" t="s">
        <v>487</v>
      </c>
      <c r="I1442" s="268" t="s">
        <v>488</v>
      </c>
      <c r="J1442" s="299" t="s">
        <v>996</v>
      </c>
      <c r="K1442" s="259" t="str">
        <f>HYPERLINK("https://okcountyrecords.com/detail/roger+mills/2002-003797","OKCountyRecords: 2002-003797")</f>
        <v>OKCountyRecords: 2002-003797</v>
      </c>
    </row>
    <row r="1443" spans="1:11" ht="32.1" customHeight="1" x14ac:dyDescent="0.25">
      <c r="A1443" s="278" t="s">
        <v>2883</v>
      </c>
      <c r="B1443" s="266"/>
      <c r="C1443" s="266" t="s">
        <v>615</v>
      </c>
      <c r="D1443" s="283" t="s">
        <v>619</v>
      </c>
      <c r="E1443" s="291">
        <v>37525</v>
      </c>
      <c r="F1443" s="295">
        <v>37459</v>
      </c>
      <c r="G1443" s="287" t="s">
        <v>620</v>
      </c>
      <c r="H1443" s="266" t="s">
        <v>487</v>
      </c>
      <c r="I1443" s="268" t="s">
        <v>488</v>
      </c>
      <c r="J1443" s="299" t="s">
        <v>996</v>
      </c>
      <c r="K1443" s="259" t="str">
        <f>HYPERLINK("https://okcountyrecords.com/detail/roger+mills/2002-003798","OKCountyRecords: 2002-003798")</f>
        <v>OKCountyRecords: 2002-003798</v>
      </c>
    </row>
    <row r="1444" spans="1:11" ht="32.1" customHeight="1" x14ac:dyDescent="0.25">
      <c r="A1444" s="278" t="s">
        <v>2885</v>
      </c>
      <c r="B1444" s="266"/>
      <c r="C1444" s="266" t="s">
        <v>615</v>
      </c>
      <c r="D1444" s="283" t="s">
        <v>617</v>
      </c>
      <c r="E1444" s="291">
        <v>37525</v>
      </c>
      <c r="F1444" s="295">
        <v>37455</v>
      </c>
      <c r="G1444" s="287" t="s">
        <v>2887</v>
      </c>
      <c r="H1444" s="266" t="s">
        <v>487</v>
      </c>
      <c r="I1444" s="268" t="s">
        <v>488</v>
      </c>
      <c r="J1444" s="299" t="s">
        <v>996</v>
      </c>
      <c r="K1444" s="259" t="str">
        <f>HYPERLINK("https://okcountyrecords.com/detail/roger+mills/2002-003799","OKCountyRecords: 2002-003799")</f>
        <v>OKCountyRecords: 2002-003799</v>
      </c>
    </row>
    <row r="1445" spans="1:11" ht="32.1" customHeight="1" x14ac:dyDescent="0.25">
      <c r="A1445" s="278" t="s">
        <v>2888</v>
      </c>
      <c r="B1445" s="266"/>
      <c r="C1445" s="266" t="s">
        <v>615</v>
      </c>
      <c r="D1445" s="283" t="s">
        <v>616</v>
      </c>
      <c r="E1445" s="291">
        <v>37525</v>
      </c>
      <c r="F1445" s="295">
        <v>37453</v>
      </c>
      <c r="G1445" s="287" t="s">
        <v>278</v>
      </c>
      <c r="H1445" s="266" t="s">
        <v>487</v>
      </c>
      <c r="I1445" s="268" t="s">
        <v>488</v>
      </c>
      <c r="J1445" s="299" t="s">
        <v>996</v>
      </c>
      <c r="K1445" s="259" t="str">
        <f>HYPERLINK("https://okcountyrecords.com/detail/roger+mills/2002-003800","OKCountyRecords: 2002-003800")</f>
        <v>OKCountyRecords: 2002-003800</v>
      </c>
    </row>
    <row r="1446" spans="1:11" ht="32.1" customHeight="1" x14ac:dyDescent="0.25">
      <c r="A1446" s="278" t="s">
        <v>2890</v>
      </c>
      <c r="B1446" s="266"/>
      <c r="C1446" s="266" t="s">
        <v>615</v>
      </c>
      <c r="D1446" s="283" t="s">
        <v>621</v>
      </c>
      <c r="E1446" s="291">
        <v>37525</v>
      </c>
      <c r="F1446" s="295">
        <v>37461</v>
      </c>
      <c r="G1446" s="287" t="s">
        <v>622</v>
      </c>
      <c r="H1446" s="266" t="s">
        <v>487</v>
      </c>
      <c r="I1446" s="268" t="s">
        <v>488</v>
      </c>
      <c r="J1446" s="299" t="s">
        <v>996</v>
      </c>
      <c r="K1446" s="259" t="str">
        <f>HYPERLINK("https://okcountyrecords.com/detail/roger+mills/2002-003801","OKCountyRecords: 2002-003801")</f>
        <v>OKCountyRecords: 2002-003801</v>
      </c>
    </row>
    <row r="1447" spans="1:11" ht="32.1" customHeight="1" x14ac:dyDescent="0.25">
      <c r="A1447" s="278" t="s">
        <v>2892</v>
      </c>
      <c r="B1447" s="266"/>
      <c r="C1447" s="266" t="s">
        <v>615</v>
      </c>
      <c r="D1447" s="283" t="s">
        <v>623</v>
      </c>
      <c r="E1447" s="291">
        <v>37525</v>
      </c>
      <c r="F1447" s="295">
        <v>37480</v>
      </c>
      <c r="G1447" s="287" t="s">
        <v>624</v>
      </c>
      <c r="H1447" s="266" t="s">
        <v>487</v>
      </c>
      <c r="I1447" s="268" t="s">
        <v>488</v>
      </c>
      <c r="J1447" s="299" t="s">
        <v>996</v>
      </c>
      <c r="K1447" s="259" t="str">
        <f>HYPERLINK("https://okcountyrecords.com/detail/roger+mills/2002-003802","OKCountyRecords: 2002-003802")</f>
        <v>OKCountyRecords: 2002-003802</v>
      </c>
    </row>
    <row r="1448" spans="1:11" ht="32.1" customHeight="1" x14ac:dyDescent="0.25">
      <c r="A1448" s="278" t="s">
        <v>2894</v>
      </c>
      <c r="B1448" s="266"/>
      <c r="C1448" s="266" t="s">
        <v>1623</v>
      </c>
      <c r="D1448" s="283" t="s">
        <v>4237</v>
      </c>
      <c r="E1448" s="291">
        <v>37573</v>
      </c>
      <c r="F1448" s="295">
        <v>37536</v>
      </c>
      <c r="G1448" s="287" t="s">
        <v>2896</v>
      </c>
      <c r="H1448" s="266" t="s">
        <v>2897</v>
      </c>
      <c r="I1448" s="268" t="s">
        <v>7219</v>
      </c>
      <c r="J1448" s="299" t="s">
        <v>1625</v>
      </c>
      <c r="K1448" s="259" t="str">
        <f>HYPERLINK("https://okcountyrecords.com/detail/roger+mills/2002-004378","OKCountyRecords: 2002-004378")</f>
        <v>OKCountyRecords: 2002-004378</v>
      </c>
    </row>
    <row r="1449" spans="1:11" ht="32.1" customHeight="1" x14ac:dyDescent="0.25">
      <c r="A1449" s="278" t="s">
        <v>2898</v>
      </c>
      <c r="B1449" s="266"/>
      <c r="C1449" s="266" t="s">
        <v>1623</v>
      </c>
      <c r="D1449" s="283" t="s">
        <v>4160</v>
      </c>
      <c r="E1449" s="291">
        <v>37592</v>
      </c>
      <c r="F1449" s="295">
        <v>37586</v>
      </c>
      <c r="G1449" s="287" t="s">
        <v>610</v>
      </c>
      <c r="H1449" s="266" t="s">
        <v>2900</v>
      </c>
      <c r="I1449" s="268" t="s">
        <v>7200</v>
      </c>
      <c r="J1449" s="299" t="s">
        <v>1625</v>
      </c>
      <c r="K1449" s="259" t="str">
        <f>HYPERLINK("https://okcountyrecords.com/detail/roger+mills/2002-004595","OKCountyRecords: 2002-004595")</f>
        <v>OKCountyRecords: 2002-004595</v>
      </c>
    </row>
    <row r="1450" spans="1:11" ht="32.1" customHeight="1" x14ac:dyDescent="0.25">
      <c r="A1450" s="278" t="s">
        <v>2901</v>
      </c>
      <c r="B1450" s="266"/>
      <c r="C1450" s="266" t="s">
        <v>2902</v>
      </c>
      <c r="D1450" s="283" t="s">
        <v>7468</v>
      </c>
      <c r="E1450" s="291">
        <v>37608</v>
      </c>
      <c r="F1450" s="295">
        <v>37347</v>
      </c>
      <c r="G1450" s="287" t="s">
        <v>944</v>
      </c>
      <c r="H1450" s="266" t="s">
        <v>2904</v>
      </c>
      <c r="I1450" s="268" t="s">
        <v>6193</v>
      </c>
      <c r="J1450" s="299" t="s">
        <v>996</v>
      </c>
      <c r="K1450" s="259" t="str">
        <f>HYPERLINK("https://okcountyrecords.com/detail/roger+mills/2002-004832","OKCountyRecords: 2002-004832")</f>
        <v>OKCountyRecords: 2002-004832</v>
      </c>
    </row>
    <row r="1451" spans="1:11" ht="32.1" customHeight="1" x14ac:dyDescent="0.25">
      <c r="A1451" s="278" t="s">
        <v>2905</v>
      </c>
      <c r="B1451" s="266"/>
      <c r="C1451" s="266" t="s">
        <v>114</v>
      </c>
      <c r="D1451" s="283" t="s">
        <v>7471</v>
      </c>
      <c r="E1451" s="291">
        <v>37715</v>
      </c>
      <c r="F1451" s="295">
        <v>37710</v>
      </c>
      <c r="G1451" s="287" t="s">
        <v>2907</v>
      </c>
      <c r="H1451" s="266" t="s">
        <v>2908</v>
      </c>
      <c r="I1451" s="268" t="s">
        <v>7200</v>
      </c>
      <c r="J1451" s="299" t="s">
        <v>996</v>
      </c>
      <c r="K1451" s="259" t="str">
        <f>HYPERLINK("https://okcountyrecords.com/detail/roger+mills/2003-001558","OKCountyRecords: 2003-001558")</f>
        <v>OKCountyRecords: 2003-001558</v>
      </c>
    </row>
    <row r="1452" spans="1:11" ht="32.1" customHeight="1" x14ac:dyDescent="0.25">
      <c r="A1452" s="278" t="s">
        <v>2909</v>
      </c>
      <c r="B1452" s="266"/>
      <c r="C1452" s="266" t="s">
        <v>114</v>
      </c>
      <c r="D1452" s="283" t="s">
        <v>7474</v>
      </c>
      <c r="E1452" s="291">
        <v>37715</v>
      </c>
      <c r="F1452" s="295">
        <v>37711</v>
      </c>
      <c r="G1452" s="287" t="s">
        <v>2908</v>
      </c>
      <c r="H1452" s="266" t="s">
        <v>2911</v>
      </c>
      <c r="I1452" s="268" t="s">
        <v>7200</v>
      </c>
      <c r="J1452" s="299" t="s">
        <v>996</v>
      </c>
      <c r="K1452" s="259" t="str">
        <f>HYPERLINK("https://okcountyrecords.com/detail/roger+mills/2003-001559","OKCountyRecords: 2003-001559")</f>
        <v>OKCountyRecords: 2003-001559</v>
      </c>
    </row>
    <row r="1453" spans="1:11" ht="32.1" customHeight="1" x14ac:dyDescent="0.25">
      <c r="A1453" s="278" t="s">
        <v>2912</v>
      </c>
      <c r="B1453" s="266"/>
      <c r="C1453" s="266" t="s">
        <v>2913</v>
      </c>
      <c r="D1453" s="283" t="s">
        <v>7476</v>
      </c>
      <c r="E1453" s="291">
        <v>37732</v>
      </c>
      <c r="F1453" s="295">
        <v>37729</v>
      </c>
      <c r="G1453" s="287" t="s">
        <v>2915</v>
      </c>
      <c r="H1453" s="266" t="s">
        <v>1110</v>
      </c>
      <c r="I1453" s="268" t="s">
        <v>7478</v>
      </c>
      <c r="J1453" s="299" t="s">
        <v>1095</v>
      </c>
      <c r="K1453" s="259" t="str">
        <f>HYPERLINK("https://okcountyrecords.com/detail/roger+mills/2003-001781","OKCountyRecords: 2003-001781")</f>
        <v>OKCountyRecords: 2003-001781</v>
      </c>
    </row>
    <row r="1454" spans="1:11" ht="32.1" customHeight="1" x14ac:dyDescent="0.25">
      <c r="A1454" s="278" t="s">
        <v>2918</v>
      </c>
      <c r="B1454" s="266"/>
      <c r="C1454" s="266" t="s">
        <v>2506</v>
      </c>
      <c r="D1454" s="283" t="s">
        <v>4238</v>
      </c>
      <c r="E1454" s="291">
        <v>37797</v>
      </c>
      <c r="F1454" s="295">
        <v>37761</v>
      </c>
      <c r="G1454" s="287" t="s">
        <v>654</v>
      </c>
      <c r="H1454" s="266" t="s">
        <v>2920</v>
      </c>
      <c r="I1454" s="268" t="s">
        <v>7219</v>
      </c>
      <c r="J1454" s="299" t="s">
        <v>985</v>
      </c>
      <c r="K1454" s="259" t="str">
        <f>HYPERLINK("https://okcountyrecords.com/detail/roger+mills/2003-003131","OKCountyRecords: 2003-003131")</f>
        <v>OKCountyRecords: 2003-003131</v>
      </c>
    </row>
    <row r="1455" spans="1:11" ht="32.1" customHeight="1" x14ac:dyDescent="0.25">
      <c r="A1455" s="278" t="s">
        <v>2921</v>
      </c>
      <c r="B1455" s="266"/>
      <c r="C1455" s="266" t="s">
        <v>2430</v>
      </c>
      <c r="D1455" s="283" t="s">
        <v>4357</v>
      </c>
      <c r="E1455" s="291">
        <v>37881</v>
      </c>
      <c r="F1455" s="295">
        <v>37866</v>
      </c>
      <c r="G1455" s="287" t="s">
        <v>2829</v>
      </c>
      <c r="H1455" s="266" t="s">
        <v>2923</v>
      </c>
      <c r="I1455" s="268" t="s">
        <v>7241</v>
      </c>
      <c r="J1455" s="299" t="s">
        <v>985</v>
      </c>
      <c r="K1455" s="259" t="str">
        <f>HYPERLINK("https://okcountyrecords.com/detail/roger+mills/2003-004685","OKCountyRecords: 2003-004685")</f>
        <v>OKCountyRecords: 2003-004685</v>
      </c>
    </row>
    <row r="1456" spans="1:11" ht="32.1" customHeight="1" x14ac:dyDescent="0.25">
      <c r="A1456" s="278" t="s">
        <v>2924</v>
      </c>
      <c r="B1456" s="266"/>
      <c r="C1456" s="266" t="s">
        <v>2430</v>
      </c>
      <c r="D1456" s="283" t="s">
        <v>4161</v>
      </c>
      <c r="E1456" s="291">
        <v>37897</v>
      </c>
      <c r="F1456" s="295">
        <v>37848</v>
      </c>
      <c r="G1456" s="287" t="s">
        <v>2272</v>
      </c>
      <c r="H1456" s="266" t="s">
        <v>2926</v>
      </c>
      <c r="I1456" s="268" t="s">
        <v>7200</v>
      </c>
      <c r="J1456" s="299" t="s">
        <v>985</v>
      </c>
      <c r="K1456" s="259" t="str">
        <f>HYPERLINK("https://okcountyrecords.com/detail/roger+mills/2003-004945","OKCountyRecords: 2003-004945")</f>
        <v>OKCountyRecords: 2003-004945</v>
      </c>
    </row>
    <row r="1457" spans="1:11" ht="32.1" customHeight="1" x14ac:dyDescent="0.25">
      <c r="A1457" s="278" t="s">
        <v>2927</v>
      </c>
      <c r="B1457" s="266"/>
      <c r="C1457" s="266" t="s">
        <v>1274</v>
      </c>
      <c r="D1457" s="283" t="s">
        <v>4327</v>
      </c>
      <c r="E1457" s="291">
        <v>37937</v>
      </c>
      <c r="F1457" s="295">
        <v>37802</v>
      </c>
      <c r="G1457" s="287" t="s">
        <v>4330</v>
      </c>
      <c r="H1457" s="266" t="s">
        <v>1110</v>
      </c>
      <c r="I1457" s="268" t="s">
        <v>7487</v>
      </c>
      <c r="J1457" s="299" t="s">
        <v>985</v>
      </c>
      <c r="K1457" s="259" t="str">
        <f>HYPERLINK("https://okcountyrecords.com/detail/roger+mills/2003-005699","OKCountyRecords: 2003-005699")</f>
        <v>OKCountyRecords: 2003-005699</v>
      </c>
    </row>
    <row r="1458" spans="1:11" ht="32.1" customHeight="1" x14ac:dyDescent="0.25">
      <c r="A1458" s="278" t="s">
        <v>2931</v>
      </c>
      <c r="B1458" s="266"/>
      <c r="C1458" s="266" t="s">
        <v>993</v>
      </c>
      <c r="D1458" s="283" t="s">
        <v>7489</v>
      </c>
      <c r="E1458" s="291">
        <v>37957</v>
      </c>
      <c r="F1458" s="295">
        <v>37923</v>
      </c>
      <c r="G1458" s="287" t="s">
        <v>2933</v>
      </c>
      <c r="H1458" s="266" t="s">
        <v>533</v>
      </c>
      <c r="I1458" s="268" t="s">
        <v>502</v>
      </c>
      <c r="J1458" s="299" t="s">
        <v>996</v>
      </c>
      <c r="K1458" s="259" t="str">
        <f>HYPERLINK("https://okcountyrecords.com/detail/roger+mills/2003-006068","OKCountyRecords: 2003-006068")</f>
        <v>OKCountyRecords: 2003-006068</v>
      </c>
    </row>
    <row r="1459" spans="1:11" ht="32.1" customHeight="1" x14ac:dyDescent="0.25">
      <c r="A1459" s="278" t="s">
        <v>2934</v>
      </c>
      <c r="B1459" s="266"/>
      <c r="C1459" s="266" t="s">
        <v>993</v>
      </c>
      <c r="D1459" s="283" t="s">
        <v>7492</v>
      </c>
      <c r="E1459" s="291">
        <v>37957</v>
      </c>
      <c r="F1459" s="295">
        <v>37931</v>
      </c>
      <c r="G1459" s="287" t="s">
        <v>487</v>
      </c>
      <c r="H1459" s="266" t="s">
        <v>2936</v>
      </c>
      <c r="I1459" s="268" t="s">
        <v>502</v>
      </c>
      <c r="J1459" s="299" t="s">
        <v>996</v>
      </c>
      <c r="K1459" s="259" t="str">
        <f>HYPERLINK("https://okcountyrecords.com/detail/roger+mills/2003-006069","OKCountyRecords: 2003-006069")</f>
        <v>OKCountyRecords: 2003-006069</v>
      </c>
    </row>
    <row r="1460" spans="1:11" ht="32.1" customHeight="1" x14ac:dyDescent="0.25">
      <c r="A1460" s="278" t="s">
        <v>2937</v>
      </c>
      <c r="B1460" s="266"/>
      <c r="C1460" s="266" t="s">
        <v>993</v>
      </c>
      <c r="D1460" s="283" t="s">
        <v>7494</v>
      </c>
      <c r="E1460" s="291">
        <v>37957</v>
      </c>
      <c r="F1460" s="295">
        <v>37931</v>
      </c>
      <c r="G1460" s="287" t="s">
        <v>487</v>
      </c>
      <c r="H1460" s="266" t="s">
        <v>2936</v>
      </c>
      <c r="I1460" s="268" t="s">
        <v>502</v>
      </c>
      <c r="J1460" s="299" t="s">
        <v>996</v>
      </c>
      <c r="K1460" s="259" t="str">
        <f>HYPERLINK("https://okcountyrecords.com/detail/roger+mills/2003-006070","OKCountyRecords: 2003-006070")</f>
        <v>OKCountyRecords: 2003-006070</v>
      </c>
    </row>
    <row r="1461" spans="1:11" ht="32.1" customHeight="1" x14ac:dyDescent="0.25">
      <c r="A1461" s="278" t="s">
        <v>2939</v>
      </c>
      <c r="B1461" s="266"/>
      <c r="C1461" s="266" t="s">
        <v>1274</v>
      </c>
      <c r="D1461" s="283" t="s">
        <v>4162</v>
      </c>
      <c r="E1461" s="291">
        <v>37994</v>
      </c>
      <c r="F1461" s="295">
        <v>37990</v>
      </c>
      <c r="G1461" s="287" t="s">
        <v>4193</v>
      </c>
      <c r="H1461" s="266" t="s">
        <v>1110</v>
      </c>
      <c r="I1461" s="268" t="s">
        <v>7200</v>
      </c>
      <c r="J1461" s="299" t="s">
        <v>985</v>
      </c>
      <c r="K1461" s="259" t="str">
        <f>HYPERLINK("https://okcountyrecords.com/detail/roger+mills/2004-000099","OKCountyRecords: 2004-000099")</f>
        <v>OKCountyRecords: 2004-000099</v>
      </c>
    </row>
    <row r="1462" spans="1:11" ht="32.1" customHeight="1" x14ac:dyDescent="0.25">
      <c r="A1462" s="278" t="s">
        <v>2942</v>
      </c>
      <c r="B1462" s="266"/>
      <c r="C1462" s="266" t="s">
        <v>2506</v>
      </c>
      <c r="D1462" s="283" t="s">
        <v>4358</v>
      </c>
      <c r="E1462" s="291">
        <v>38008</v>
      </c>
      <c r="F1462" s="295">
        <v>37959</v>
      </c>
      <c r="G1462" s="287" t="s">
        <v>2944</v>
      </c>
      <c r="H1462" s="266" t="s">
        <v>2923</v>
      </c>
      <c r="I1462" s="268" t="s">
        <v>7241</v>
      </c>
      <c r="J1462" s="299" t="s">
        <v>985</v>
      </c>
      <c r="K1462" s="259" t="str">
        <f>HYPERLINK("https://okcountyrecords.com/detail/roger+mills/2004-000364","OKCountyRecords: 2004-000364")</f>
        <v>OKCountyRecords: 2004-000364</v>
      </c>
    </row>
    <row r="1463" spans="1:11" ht="32.1" customHeight="1" x14ac:dyDescent="0.25">
      <c r="A1463" s="278" t="s">
        <v>2945</v>
      </c>
      <c r="B1463" s="266"/>
      <c r="C1463" s="266" t="s">
        <v>309</v>
      </c>
      <c r="D1463" s="283" t="s">
        <v>633</v>
      </c>
      <c r="E1463" s="291">
        <v>38020</v>
      </c>
      <c r="F1463" s="295">
        <v>38001</v>
      </c>
      <c r="G1463" s="287" t="s">
        <v>392</v>
      </c>
      <c r="H1463" s="266" t="s">
        <v>266</v>
      </c>
      <c r="I1463" s="268" t="s">
        <v>488</v>
      </c>
      <c r="J1463" s="299" t="s">
        <v>996</v>
      </c>
      <c r="K1463" s="259" t="str">
        <f>HYPERLINK("https://okcountyrecords.com/detail/roger+mills/2004-000579","OKCountyRecords: 2004-000579")</f>
        <v>OKCountyRecords: 2004-000579</v>
      </c>
    </row>
    <row r="1464" spans="1:11" ht="32.1" customHeight="1" x14ac:dyDescent="0.25">
      <c r="A1464" s="278" t="s">
        <v>2947</v>
      </c>
      <c r="B1464" s="266"/>
      <c r="C1464" s="266" t="s">
        <v>309</v>
      </c>
      <c r="D1464" s="283" t="s">
        <v>634</v>
      </c>
      <c r="E1464" s="291">
        <v>38020</v>
      </c>
      <c r="F1464" s="295">
        <v>38001</v>
      </c>
      <c r="G1464" s="287" t="s">
        <v>577</v>
      </c>
      <c r="H1464" s="266" t="s">
        <v>266</v>
      </c>
      <c r="I1464" s="268" t="s">
        <v>488</v>
      </c>
      <c r="J1464" s="299" t="s">
        <v>996</v>
      </c>
      <c r="K1464" s="259" t="str">
        <f>HYPERLINK("https://okcountyrecords.com/detail/roger+mills/2004-000580","OKCountyRecords: 2004-000580")</f>
        <v>OKCountyRecords: 2004-000580</v>
      </c>
    </row>
    <row r="1465" spans="1:11" ht="32.1" customHeight="1" x14ac:dyDescent="0.25">
      <c r="A1465" s="278" t="s">
        <v>2949</v>
      </c>
      <c r="B1465" s="266"/>
      <c r="C1465" s="266" t="s">
        <v>309</v>
      </c>
      <c r="D1465" s="283" t="s">
        <v>642</v>
      </c>
      <c r="E1465" s="291">
        <v>38020</v>
      </c>
      <c r="F1465" s="295">
        <v>38007</v>
      </c>
      <c r="G1465" s="287" t="s">
        <v>446</v>
      </c>
      <c r="H1465" s="266" t="s">
        <v>266</v>
      </c>
      <c r="I1465" s="268" t="s">
        <v>7503</v>
      </c>
      <c r="J1465" s="299" t="s">
        <v>996</v>
      </c>
      <c r="K1465" s="259" t="str">
        <f>HYPERLINK("https://okcountyrecords.com/detail/roger+mills/2004-000581","OKCountyRecords: 2004-000581")</f>
        <v>OKCountyRecords: 2004-000581</v>
      </c>
    </row>
    <row r="1466" spans="1:11" ht="32.1" customHeight="1" x14ac:dyDescent="0.25">
      <c r="A1466" s="278" t="s">
        <v>2951</v>
      </c>
      <c r="B1466" s="266"/>
      <c r="C1466" s="266" t="s">
        <v>309</v>
      </c>
      <c r="D1466" s="283" t="s">
        <v>635</v>
      </c>
      <c r="E1466" s="291">
        <v>38020</v>
      </c>
      <c r="F1466" s="295">
        <v>38001</v>
      </c>
      <c r="G1466" s="287" t="s">
        <v>571</v>
      </c>
      <c r="H1466" s="266" t="s">
        <v>266</v>
      </c>
      <c r="I1466" s="268" t="s">
        <v>488</v>
      </c>
      <c r="J1466" s="299" t="s">
        <v>996</v>
      </c>
      <c r="K1466" s="259" t="str">
        <f>HYPERLINK("https://okcountyrecords.com/detail/roger+mills/2004-000582","OKCountyRecords: 2004-000582")</f>
        <v>OKCountyRecords: 2004-000582</v>
      </c>
    </row>
    <row r="1467" spans="1:11" ht="32.1" customHeight="1" x14ac:dyDescent="0.25">
      <c r="A1467" s="278" t="s">
        <v>2954</v>
      </c>
      <c r="B1467" s="266"/>
      <c r="C1467" s="266" t="s">
        <v>309</v>
      </c>
      <c r="D1467" s="283" t="s">
        <v>648</v>
      </c>
      <c r="E1467" s="291">
        <v>38027</v>
      </c>
      <c r="F1467" s="295">
        <v>38025</v>
      </c>
      <c r="G1467" s="287" t="s">
        <v>272</v>
      </c>
      <c r="H1467" s="266" t="s">
        <v>266</v>
      </c>
      <c r="I1467" s="268" t="s">
        <v>7241</v>
      </c>
      <c r="J1467" s="299" t="s">
        <v>996</v>
      </c>
      <c r="K1467" s="259" t="str">
        <f>HYPERLINK("https://okcountyrecords.com/detail/roger+mills/2004-000679","OKCountyRecords: 2004-000679")</f>
        <v>OKCountyRecords: 2004-000679</v>
      </c>
    </row>
    <row r="1468" spans="1:11" ht="32.1" customHeight="1" x14ac:dyDescent="0.25">
      <c r="A1468" s="278" t="s">
        <v>2956</v>
      </c>
      <c r="B1468" s="266"/>
      <c r="C1468" s="266" t="s">
        <v>309</v>
      </c>
      <c r="D1468" s="283" t="s">
        <v>646</v>
      </c>
      <c r="E1468" s="291">
        <v>38027</v>
      </c>
      <c r="F1468" s="295">
        <v>38019</v>
      </c>
      <c r="G1468" s="287" t="s">
        <v>372</v>
      </c>
      <c r="H1468" s="266" t="s">
        <v>266</v>
      </c>
      <c r="I1468" s="268" t="s">
        <v>502</v>
      </c>
      <c r="J1468" s="299" t="s">
        <v>996</v>
      </c>
      <c r="K1468" s="259" t="str">
        <f>HYPERLINK("https://okcountyrecords.com/detail/roger+mills/2004-000685","OKCountyRecords: 2004-000685")</f>
        <v>OKCountyRecords: 2004-000685</v>
      </c>
    </row>
    <row r="1469" spans="1:11" ht="32.1" customHeight="1" x14ac:dyDescent="0.25">
      <c r="A1469" s="278" t="s">
        <v>2958</v>
      </c>
      <c r="B1469" s="266"/>
      <c r="C1469" s="266" t="s">
        <v>309</v>
      </c>
      <c r="D1469" s="283" t="s">
        <v>644</v>
      </c>
      <c r="E1469" s="291">
        <v>38027</v>
      </c>
      <c r="F1469" s="295">
        <v>38012</v>
      </c>
      <c r="G1469" s="287" t="s">
        <v>2960</v>
      </c>
      <c r="H1469" s="266" t="s">
        <v>266</v>
      </c>
      <c r="I1469" s="268" t="s">
        <v>488</v>
      </c>
      <c r="J1469" s="299" t="s">
        <v>996</v>
      </c>
      <c r="K1469" s="259" t="str">
        <f>HYPERLINK("https://okcountyrecords.com/detail/roger+mills/2004-000690","OKCountyRecords: 2004-000690")</f>
        <v>OKCountyRecords: 2004-000690</v>
      </c>
    </row>
    <row r="1470" spans="1:11" ht="32.1" customHeight="1" x14ac:dyDescent="0.25">
      <c r="A1470" s="278" t="s">
        <v>2961</v>
      </c>
      <c r="B1470" s="266"/>
      <c r="C1470" s="266" t="s">
        <v>7314</v>
      </c>
      <c r="D1470" s="283" t="s">
        <v>7510</v>
      </c>
      <c r="E1470" s="291">
        <v>38027</v>
      </c>
      <c r="F1470" s="295">
        <v>38014</v>
      </c>
      <c r="G1470" s="287" t="s">
        <v>2963</v>
      </c>
      <c r="H1470" s="266" t="s">
        <v>1110</v>
      </c>
      <c r="I1470" s="268" t="s">
        <v>488</v>
      </c>
      <c r="J1470" s="299" t="s">
        <v>985</v>
      </c>
      <c r="K1470" s="259" t="str">
        <f>HYPERLINK("https://okcountyrecords.com/detail/roger+mills/2004-000691","OKCountyRecords: 2004-000691")</f>
        <v>OKCountyRecords: 2004-000691</v>
      </c>
    </row>
    <row r="1471" spans="1:11" ht="32.1" customHeight="1" x14ac:dyDescent="0.25">
      <c r="A1471" s="278" t="s">
        <v>2969</v>
      </c>
      <c r="B1471" s="266"/>
      <c r="C1471" s="266" t="s">
        <v>309</v>
      </c>
      <c r="D1471" s="283" t="s">
        <v>636</v>
      </c>
      <c r="E1471" s="291">
        <v>38029</v>
      </c>
      <c r="F1471" s="295">
        <v>38001</v>
      </c>
      <c r="G1471" s="287" t="s">
        <v>400</v>
      </c>
      <c r="H1471" s="266" t="s">
        <v>266</v>
      </c>
      <c r="I1471" s="268" t="s">
        <v>488</v>
      </c>
      <c r="J1471" s="299" t="s">
        <v>996</v>
      </c>
      <c r="K1471" s="259" t="str">
        <f>HYPERLINK("https://okcountyrecords.com/detail/roger+mills/2004-000721","OKCountyRecords: 2004-000721")</f>
        <v>OKCountyRecords: 2004-000721</v>
      </c>
    </row>
    <row r="1472" spans="1:11" ht="32.1" customHeight="1" x14ac:dyDescent="0.25">
      <c r="A1472" s="278" t="s">
        <v>2966</v>
      </c>
      <c r="B1472" s="266"/>
      <c r="C1472" s="266" t="s">
        <v>309</v>
      </c>
      <c r="D1472" s="283" t="s">
        <v>628</v>
      </c>
      <c r="E1472" s="291">
        <v>38029</v>
      </c>
      <c r="F1472" s="295">
        <v>37999</v>
      </c>
      <c r="G1472" s="287" t="s">
        <v>265</v>
      </c>
      <c r="H1472" s="266" t="s">
        <v>266</v>
      </c>
      <c r="I1472" s="268" t="s">
        <v>7514</v>
      </c>
      <c r="J1472" s="299" t="s">
        <v>996</v>
      </c>
      <c r="K1472" s="259" t="str">
        <f>HYPERLINK("https://okcountyrecords.com/detail/roger+mills/2004-000722","OKCountyRecords: 2004-000722")</f>
        <v>OKCountyRecords: 2004-000722</v>
      </c>
    </row>
    <row r="1473" spans="1:11" ht="32.1" customHeight="1" x14ac:dyDescent="0.25">
      <c r="A1473" s="278" t="s">
        <v>2971</v>
      </c>
      <c r="B1473" s="266"/>
      <c r="C1473" s="266" t="s">
        <v>309</v>
      </c>
      <c r="D1473" s="283" t="s">
        <v>630</v>
      </c>
      <c r="E1473" s="291">
        <v>38029</v>
      </c>
      <c r="F1473" s="295">
        <v>37999</v>
      </c>
      <c r="G1473" s="287" t="s">
        <v>482</v>
      </c>
      <c r="H1473" s="266" t="s">
        <v>266</v>
      </c>
      <c r="I1473" s="268" t="s">
        <v>7514</v>
      </c>
      <c r="J1473" s="299" t="s">
        <v>996</v>
      </c>
      <c r="K1473" s="259" t="str">
        <f>HYPERLINK("https://okcountyrecords.com/detail/roger+mills/2004-000723","OKCountyRecords: 2004-000723")</f>
        <v>OKCountyRecords: 2004-000723</v>
      </c>
    </row>
    <row r="1474" spans="1:11" ht="32.1" customHeight="1" x14ac:dyDescent="0.25">
      <c r="A1474" s="278" t="s">
        <v>2973</v>
      </c>
      <c r="B1474" s="266"/>
      <c r="C1474" s="266" t="s">
        <v>309</v>
      </c>
      <c r="D1474" s="283" t="s">
        <v>637</v>
      </c>
      <c r="E1474" s="291">
        <v>38029</v>
      </c>
      <c r="F1474" s="295">
        <v>38001</v>
      </c>
      <c r="G1474" s="287" t="s">
        <v>396</v>
      </c>
      <c r="H1474" s="266" t="s">
        <v>266</v>
      </c>
      <c r="I1474" s="268" t="s">
        <v>488</v>
      </c>
      <c r="J1474" s="299" t="s">
        <v>996</v>
      </c>
      <c r="K1474" s="259" t="str">
        <f>HYPERLINK("https://okcountyrecords.com/detail/roger+mills/2004-000724","OKCountyRecords: 2004-000724")</f>
        <v>OKCountyRecords: 2004-000724</v>
      </c>
    </row>
    <row r="1475" spans="1:11" ht="32.1" customHeight="1" x14ac:dyDescent="0.25">
      <c r="A1475" s="278" t="s">
        <v>2975</v>
      </c>
      <c r="B1475" s="266"/>
      <c r="C1475" s="266" t="s">
        <v>309</v>
      </c>
      <c r="D1475" s="283" t="s">
        <v>638</v>
      </c>
      <c r="E1475" s="291">
        <v>38029</v>
      </c>
      <c r="F1475" s="295">
        <v>38001</v>
      </c>
      <c r="G1475" s="287" t="s">
        <v>639</v>
      </c>
      <c r="H1475" s="266" t="s">
        <v>266</v>
      </c>
      <c r="I1475" s="268" t="s">
        <v>488</v>
      </c>
      <c r="J1475" s="299" t="s">
        <v>996</v>
      </c>
      <c r="K1475" s="259" t="str">
        <f>HYPERLINK("https://okcountyrecords.com/detail/roger+mills/2004-000725","OKCountyRecords: 2004-000725")</f>
        <v>OKCountyRecords: 2004-000725</v>
      </c>
    </row>
    <row r="1476" spans="1:11" ht="32.1" customHeight="1" x14ac:dyDescent="0.25">
      <c r="A1476" s="278" t="s">
        <v>2977</v>
      </c>
      <c r="B1476" s="266"/>
      <c r="C1476" s="266" t="s">
        <v>309</v>
      </c>
      <c r="D1476" s="283" t="s">
        <v>631</v>
      </c>
      <c r="E1476" s="291">
        <v>38029</v>
      </c>
      <c r="F1476" s="295">
        <v>37999</v>
      </c>
      <c r="G1476" s="287" t="s">
        <v>480</v>
      </c>
      <c r="H1476" s="266" t="s">
        <v>266</v>
      </c>
      <c r="I1476" s="268" t="s">
        <v>7514</v>
      </c>
      <c r="J1476" s="299" t="s">
        <v>996</v>
      </c>
      <c r="K1476" s="259" t="str">
        <f>HYPERLINK("https://okcountyrecords.com/detail/roger+mills/2004-000726","OKCountyRecords: 2004-000726")</f>
        <v>OKCountyRecords: 2004-000726</v>
      </c>
    </row>
    <row r="1477" spans="1:11" ht="32.1" customHeight="1" x14ac:dyDescent="0.25">
      <c r="A1477" s="278" t="s">
        <v>2979</v>
      </c>
      <c r="B1477" s="266"/>
      <c r="C1477" s="266" t="s">
        <v>309</v>
      </c>
      <c r="D1477" s="283" t="s">
        <v>632</v>
      </c>
      <c r="E1477" s="291">
        <v>38029</v>
      </c>
      <c r="F1477" s="295">
        <v>37999</v>
      </c>
      <c r="G1477" s="287" t="s">
        <v>554</v>
      </c>
      <c r="H1477" s="266" t="s">
        <v>266</v>
      </c>
      <c r="I1477" s="268" t="s">
        <v>7514</v>
      </c>
      <c r="J1477" s="299" t="s">
        <v>996</v>
      </c>
      <c r="K1477" s="259" t="str">
        <f>HYPERLINK("https://okcountyrecords.com/detail/roger+mills/2004-000727","OKCountyRecords: 2004-000727")</f>
        <v>OKCountyRecords: 2004-000727</v>
      </c>
    </row>
    <row r="1478" spans="1:11" ht="32.1" customHeight="1" x14ac:dyDescent="0.25">
      <c r="A1478" s="278" t="s">
        <v>2968</v>
      </c>
      <c r="B1478" s="266"/>
      <c r="C1478" s="266" t="s">
        <v>309</v>
      </c>
      <c r="D1478" s="283" t="s">
        <v>641</v>
      </c>
      <c r="E1478" s="291">
        <v>38029</v>
      </c>
      <c r="F1478" s="295">
        <v>38007</v>
      </c>
      <c r="G1478" s="287" t="s">
        <v>4275</v>
      </c>
      <c r="H1478" s="266" t="s">
        <v>266</v>
      </c>
      <c r="I1478" s="268" t="s">
        <v>488</v>
      </c>
      <c r="J1478" s="299" t="s">
        <v>996</v>
      </c>
      <c r="K1478" s="259" t="str">
        <f>HYPERLINK("https://okcountyrecords.com/detail/roger+mills/2004-000720","OKCountyRecords: 2004-000720")</f>
        <v>OKCountyRecords: 2004-000720</v>
      </c>
    </row>
    <row r="1479" spans="1:11" ht="32.1" customHeight="1" x14ac:dyDescent="0.25">
      <c r="A1479" s="278" t="s">
        <v>2981</v>
      </c>
      <c r="B1479" s="266"/>
      <c r="C1479" s="266" t="s">
        <v>309</v>
      </c>
      <c r="D1479" s="283" t="s">
        <v>649</v>
      </c>
      <c r="E1479" s="291">
        <v>38040</v>
      </c>
      <c r="F1479" s="295">
        <v>38032</v>
      </c>
      <c r="G1479" s="287" t="s">
        <v>531</v>
      </c>
      <c r="H1479" s="266" t="s">
        <v>650</v>
      </c>
      <c r="I1479" s="268" t="s">
        <v>7241</v>
      </c>
      <c r="J1479" s="299" t="s">
        <v>996</v>
      </c>
      <c r="K1479" s="259" t="str">
        <f>HYPERLINK("https://okcountyrecords.com/detail/roger+mills/2004-000880","OKCountyRecords: 2004-000880")</f>
        <v>OKCountyRecords: 2004-000880</v>
      </c>
    </row>
    <row r="1480" spans="1:11" ht="32.1" customHeight="1" x14ac:dyDescent="0.25">
      <c r="A1480" s="278" t="s">
        <v>2984</v>
      </c>
      <c r="B1480" s="266"/>
      <c r="C1480" s="266" t="s">
        <v>309</v>
      </c>
      <c r="D1480" s="283" t="s">
        <v>647</v>
      </c>
      <c r="E1480" s="291">
        <v>38049</v>
      </c>
      <c r="F1480" s="295">
        <v>38022</v>
      </c>
      <c r="G1480" s="287" t="s">
        <v>270</v>
      </c>
      <c r="H1480" s="266" t="s">
        <v>266</v>
      </c>
      <c r="I1480" s="268" t="s">
        <v>488</v>
      </c>
      <c r="J1480" s="299" t="s">
        <v>996</v>
      </c>
      <c r="K1480" s="259" t="str">
        <f>HYPERLINK("https://okcountyrecords.com/detail/roger+mills/2004-001053","OKCountyRecords: 2004-001053")</f>
        <v>OKCountyRecords: 2004-001053</v>
      </c>
    </row>
    <row r="1481" spans="1:11" ht="32.1" customHeight="1" x14ac:dyDescent="0.25">
      <c r="A1481" s="278" t="s">
        <v>2986</v>
      </c>
      <c r="B1481" s="266"/>
      <c r="C1481" s="266" t="s">
        <v>114</v>
      </c>
      <c r="D1481" s="283" t="s">
        <v>7526</v>
      </c>
      <c r="E1481" s="291">
        <v>38068</v>
      </c>
      <c r="F1481" s="295">
        <v>38022</v>
      </c>
      <c r="G1481" s="287" t="s">
        <v>266</v>
      </c>
      <c r="H1481" s="266" t="s">
        <v>2988</v>
      </c>
      <c r="I1481" s="268" t="s">
        <v>7528</v>
      </c>
      <c r="J1481" s="299" t="s">
        <v>996</v>
      </c>
      <c r="K1481" s="259" t="str">
        <f>HYPERLINK("https://okcountyrecords.com/detail/roger+mills/2004-001426","OKCountyRecords: 2004-001426")</f>
        <v>OKCountyRecords: 2004-001426</v>
      </c>
    </row>
    <row r="1482" spans="1:11" ht="32.1" customHeight="1" x14ac:dyDescent="0.25">
      <c r="A1482" s="278" t="s">
        <v>2990</v>
      </c>
      <c r="B1482" s="266"/>
      <c r="C1482" s="266" t="s">
        <v>114</v>
      </c>
      <c r="D1482" s="283" t="s">
        <v>7530</v>
      </c>
      <c r="E1482" s="291">
        <v>38071</v>
      </c>
      <c r="F1482" s="295">
        <v>38041</v>
      </c>
      <c r="G1482" s="287" t="s">
        <v>266</v>
      </c>
      <c r="H1482" s="266" t="s">
        <v>2992</v>
      </c>
      <c r="I1482" s="268" t="s">
        <v>502</v>
      </c>
      <c r="J1482" s="299" t="s">
        <v>996</v>
      </c>
      <c r="K1482" s="259" t="str">
        <f>HYPERLINK("https://okcountyrecords.com/detail/roger+mills/2004-001493","OKCountyRecords: 2004-001493")</f>
        <v>OKCountyRecords: 2004-001493</v>
      </c>
    </row>
    <row r="1483" spans="1:11" ht="32.1" customHeight="1" x14ac:dyDescent="0.25">
      <c r="A1483" s="278" t="s">
        <v>2993</v>
      </c>
      <c r="B1483" s="266"/>
      <c r="C1483" s="266" t="s">
        <v>1107</v>
      </c>
      <c r="D1483" s="283" t="s">
        <v>7533</v>
      </c>
      <c r="E1483" s="291">
        <v>38084</v>
      </c>
      <c r="F1483" s="295">
        <v>38078</v>
      </c>
      <c r="G1483" s="287" t="s">
        <v>280</v>
      </c>
      <c r="H1483" s="266" t="s">
        <v>1110</v>
      </c>
      <c r="I1483" s="268" t="s">
        <v>7200</v>
      </c>
      <c r="J1483" s="299" t="s">
        <v>1095</v>
      </c>
      <c r="K1483" s="259" t="str">
        <f>HYPERLINK("https://okcountyrecords.com/detail/roger+mills/2004-001735","OKCountyRecords: 2004-001735")</f>
        <v>OKCountyRecords: 2004-001735</v>
      </c>
    </row>
    <row r="1484" spans="1:11" ht="32.1" customHeight="1" x14ac:dyDescent="0.25">
      <c r="A1484" s="278" t="s">
        <v>2995</v>
      </c>
      <c r="B1484" s="266"/>
      <c r="C1484" s="266" t="s">
        <v>114</v>
      </c>
      <c r="D1484" s="283" t="s">
        <v>7536</v>
      </c>
      <c r="E1484" s="291">
        <v>38117</v>
      </c>
      <c r="F1484" s="295">
        <v>38029</v>
      </c>
      <c r="G1484" s="287" t="s">
        <v>266</v>
      </c>
      <c r="H1484" s="266" t="s">
        <v>2997</v>
      </c>
      <c r="I1484" s="268" t="s">
        <v>7538</v>
      </c>
      <c r="J1484" s="299" t="s">
        <v>996</v>
      </c>
      <c r="K1484" s="259" t="str">
        <f>HYPERLINK("https://okcountyrecords.com/detail/roger+mills/2004-002305","OKCountyRecords: 2004-002305")</f>
        <v>OKCountyRecords: 2004-002305</v>
      </c>
    </row>
    <row r="1485" spans="1:11" ht="32.1" customHeight="1" x14ac:dyDescent="0.25">
      <c r="A1485" s="278" t="s">
        <v>2999</v>
      </c>
      <c r="B1485" s="266"/>
      <c r="C1485" s="266" t="s">
        <v>1107</v>
      </c>
      <c r="D1485" s="283" t="s">
        <v>7540</v>
      </c>
      <c r="E1485" s="291">
        <v>38121</v>
      </c>
      <c r="F1485" s="295">
        <v>38112</v>
      </c>
      <c r="G1485" s="287" t="s">
        <v>3001</v>
      </c>
      <c r="H1485" s="266" t="s">
        <v>1110</v>
      </c>
      <c r="I1485" s="268" t="s">
        <v>7219</v>
      </c>
      <c r="J1485" s="299" t="s">
        <v>1095</v>
      </c>
      <c r="K1485" s="259" t="str">
        <f>HYPERLINK("https://okcountyrecords.com/detail/roger+mills/2004-002491","OKCountyRecords: 2004-002491")</f>
        <v>OKCountyRecords: 2004-002491</v>
      </c>
    </row>
    <row r="1486" spans="1:11" ht="32.1" customHeight="1" x14ac:dyDescent="0.25">
      <c r="A1486" s="278" t="s">
        <v>3002</v>
      </c>
      <c r="B1486" s="266"/>
      <c r="C1486" s="266" t="s">
        <v>114</v>
      </c>
      <c r="D1486" s="283" t="s">
        <v>7543</v>
      </c>
      <c r="E1486" s="291">
        <v>38145</v>
      </c>
      <c r="F1486" s="295">
        <v>38127</v>
      </c>
      <c r="G1486" s="287" t="s">
        <v>2997</v>
      </c>
      <c r="H1486" s="266" t="s">
        <v>266</v>
      </c>
      <c r="I1486" s="268" t="s">
        <v>7332</v>
      </c>
      <c r="J1486" s="299" t="s">
        <v>996</v>
      </c>
      <c r="K1486" s="259" t="str">
        <f>HYPERLINK("https://okcountyrecords.com/detail/roger+mills/2004-002933","OKCountyRecords: 2004-002933")</f>
        <v>OKCountyRecords: 2004-002933</v>
      </c>
    </row>
    <row r="1487" spans="1:11" ht="32.1" customHeight="1" x14ac:dyDescent="0.25">
      <c r="A1487" s="278" t="s">
        <v>3005</v>
      </c>
      <c r="B1487" s="266"/>
      <c r="C1487" s="266" t="s">
        <v>114</v>
      </c>
      <c r="D1487" s="283" t="s">
        <v>7546</v>
      </c>
      <c r="E1487" s="291">
        <v>38145</v>
      </c>
      <c r="F1487" s="295">
        <v>38139</v>
      </c>
      <c r="G1487" s="287" t="s">
        <v>266</v>
      </c>
      <c r="H1487" s="266" t="s">
        <v>3007</v>
      </c>
      <c r="I1487" s="268" t="s">
        <v>7332</v>
      </c>
      <c r="J1487" s="299" t="s">
        <v>996</v>
      </c>
      <c r="K1487" s="259" t="str">
        <f>HYPERLINK("https://okcountyrecords.com/detail/roger+mills/2004-002934","OKCountyRecords: 2004-002934")</f>
        <v>OKCountyRecords: 2004-002934</v>
      </c>
    </row>
    <row r="1488" spans="1:11" ht="32.1" customHeight="1" x14ac:dyDescent="0.25">
      <c r="A1488" s="278" t="s">
        <v>3008</v>
      </c>
      <c r="B1488" s="266"/>
      <c r="C1488" s="266" t="s">
        <v>114</v>
      </c>
      <c r="D1488" s="283" t="s">
        <v>7548</v>
      </c>
      <c r="E1488" s="291">
        <v>38168</v>
      </c>
      <c r="F1488" s="295">
        <v>38041</v>
      </c>
      <c r="G1488" s="287" t="s">
        <v>266</v>
      </c>
      <c r="H1488" s="266" t="s">
        <v>3010</v>
      </c>
      <c r="I1488" s="268" t="s">
        <v>7550</v>
      </c>
      <c r="J1488" s="299" t="s">
        <v>996</v>
      </c>
      <c r="K1488" s="259" t="str">
        <f>HYPERLINK("https://okcountyrecords.com/detail/roger+mills/2004-003392","OKCountyRecords: 2004-003392")</f>
        <v>OKCountyRecords: 2004-003392</v>
      </c>
    </row>
    <row r="1489" spans="1:11" ht="32.1" customHeight="1" x14ac:dyDescent="0.25">
      <c r="A1489" s="278" t="s">
        <v>3012</v>
      </c>
      <c r="B1489" s="266"/>
      <c r="C1489" s="266" t="s">
        <v>309</v>
      </c>
      <c r="D1489" s="283" t="s">
        <v>651</v>
      </c>
      <c r="E1489" s="291">
        <v>38272</v>
      </c>
      <c r="F1489" s="295">
        <v>38251</v>
      </c>
      <c r="G1489" s="287" t="s">
        <v>652</v>
      </c>
      <c r="H1489" s="266" t="s">
        <v>266</v>
      </c>
      <c r="I1489" s="268" t="s">
        <v>488</v>
      </c>
      <c r="J1489" s="299" t="s">
        <v>996</v>
      </c>
      <c r="K1489" s="259" t="str">
        <f>HYPERLINK("https://okcountyrecords.com/detail/roger+mills/2004-005686","OKCountyRecords: 2004-005686")</f>
        <v>OKCountyRecords: 2004-005686</v>
      </c>
    </row>
    <row r="1490" spans="1:11" ht="32.1" customHeight="1" x14ac:dyDescent="0.25">
      <c r="A1490" s="278" t="s">
        <v>3014</v>
      </c>
      <c r="B1490" s="266"/>
      <c r="C1490" s="266" t="s">
        <v>309</v>
      </c>
      <c r="D1490" s="283" t="s">
        <v>653</v>
      </c>
      <c r="E1490" s="291">
        <v>38272</v>
      </c>
      <c r="F1490" s="295">
        <v>38251</v>
      </c>
      <c r="G1490" s="287" t="s">
        <v>654</v>
      </c>
      <c r="H1490" s="266" t="s">
        <v>266</v>
      </c>
      <c r="I1490" s="268" t="s">
        <v>488</v>
      </c>
      <c r="J1490" s="299" t="s">
        <v>996</v>
      </c>
      <c r="K1490" s="259" t="str">
        <f>HYPERLINK("https://okcountyrecords.com/detail/roger+mills/2004-005687","OKCountyRecords: 2004-005687")</f>
        <v>OKCountyRecords: 2004-005687</v>
      </c>
    </row>
    <row r="1491" spans="1:11" ht="32.1" customHeight="1" x14ac:dyDescent="0.25">
      <c r="A1491" s="278" t="s">
        <v>3016</v>
      </c>
      <c r="B1491" s="266"/>
      <c r="C1491" s="266" t="s">
        <v>309</v>
      </c>
      <c r="D1491" s="283" t="s">
        <v>655</v>
      </c>
      <c r="E1491" s="291">
        <v>38272</v>
      </c>
      <c r="F1491" s="295">
        <v>38251</v>
      </c>
      <c r="G1491" s="287" t="s">
        <v>656</v>
      </c>
      <c r="H1491" s="266" t="s">
        <v>266</v>
      </c>
      <c r="I1491" s="268" t="s">
        <v>657</v>
      </c>
      <c r="J1491" s="299" t="s">
        <v>996</v>
      </c>
      <c r="K1491" s="259" t="str">
        <f>HYPERLINK("https://okcountyrecords.com/detail/roger+mills/2004-005689","OKCountyRecords: 2004-005689")</f>
        <v>OKCountyRecords: 2004-005689</v>
      </c>
    </row>
    <row r="1492" spans="1:11" ht="32.1" customHeight="1" x14ac:dyDescent="0.25">
      <c r="A1492" s="278" t="s">
        <v>3018</v>
      </c>
      <c r="B1492" s="266"/>
      <c r="C1492" s="266" t="s">
        <v>114</v>
      </c>
      <c r="D1492" s="283" t="s">
        <v>7556</v>
      </c>
      <c r="E1492" s="291">
        <v>38272</v>
      </c>
      <c r="F1492" s="295">
        <v>38266</v>
      </c>
      <c r="G1492" s="287" t="s">
        <v>266</v>
      </c>
      <c r="H1492" s="266" t="s">
        <v>407</v>
      </c>
      <c r="I1492" s="268" t="s">
        <v>488</v>
      </c>
      <c r="J1492" s="299" t="s">
        <v>996</v>
      </c>
      <c r="K1492" s="259" t="str">
        <f>HYPERLINK("https://okcountyrecords.com/detail/roger+mills/2004-005692","OKCountyRecords: 2004-005692")</f>
        <v>OKCountyRecords: 2004-005692</v>
      </c>
    </row>
    <row r="1493" spans="1:11" ht="32.1" customHeight="1" x14ac:dyDescent="0.25">
      <c r="A1493" s="278" t="s">
        <v>3020</v>
      </c>
      <c r="B1493" s="266"/>
      <c r="C1493" s="266" t="s">
        <v>1623</v>
      </c>
      <c r="D1493" s="283" t="s">
        <v>4359</v>
      </c>
      <c r="E1493" s="291">
        <v>38274</v>
      </c>
      <c r="F1493" s="295">
        <v>38260</v>
      </c>
      <c r="G1493" s="287" t="s">
        <v>3022</v>
      </c>
      <c r="H1493" s="266" t="s">
        <v>3023</v>
      </c>
      <c r="I1493" s="268" t="s">
        <v>7241</v>
      </c>
      <c r="J1493" s="299" t="s">
        <v>1625</v>
      </c>
      <c r="K1493" s="259" t="str">
        <f>HYPERLINK("https://okcountyrecords.com/detail/roger+mills/2004-005738","OKCountyRecords: 2004-005738")</f>
        <v>OKCountyRecords: 2004-005738</v>
      </c>
    </row>
    <row r="1494" spans="1:11" ht="32.1" customHeight="1" x14ac:dyDescent="0.25">
      <c r="A1494" s="278" t="s">
        <v>3024</v>
      </c>
      <c r="B1494" s="266"/>
      <c r="C1494" s="266" t="s">
        <v>1623</v>
      </c>
      <c r="D1494" s="283" t="s">
        <v>4360</v>
      </c>
      <c r="E1494" s="291">
        <v>38274</v>
      </c>
      <c r="F1494" s="295">
        <v>38267</v>
      </c>
      <c r="G1494" s="287" t="s">
        <v>3022</v>
      </c>
      <c r="H1494" s="266" t="s">
        <v>3023</v>
      </c>
      <c r="I1494" s="268" t="s">
        <v>7241</v>
      </c>
      <c r="J1494" s="299" t="s">
        <v>1625</v>
      </c>
      <c r="K1494" s="259" t="str">
        <f>HYPERLINK("https://okcountyrecords.com/detail/roger+mills/2004-005739","OKCountyRecords: 2004-005739")</f>
        <v>OKCountyRecords: 2004-005739</v>
      </c>
    </row>
    <row r="1495" spans="1:11" ht="32.1" customHeight="1" x14ac:dyDescent="0.25">
      <c r="A1495" s="278" t="s">
        <v>3026</v>
      </c>
      <c r="B1495" s="266"/>
      <c r="C1495" s="266" t="s">
        <v>1623</v>
      </c>
      <c r="D1495" s="283" t="s">
        <v>4163</v>
      </c>
      <c r="E1495" s="291">
        <v>38281</v>
      </c>
      <c r="F1495" s="295">
        <v>38275</v>
      </c>
      <c r="G1495" s="287" t="s">
        <v>3028</v>
      </c>
      <c r="H1495" s="266" t="s">
        <v>3029</v>
      </c>
      <c r="I1495" s="268" t="s">
        <v>7200</v>
      </c>
      <c r="J1495" s="299" t="s">
        <v>1625</v>
      </c>
      <c r="K1495" s="259" t="str">
        <f>HYPERLINK("https://okcountyrecords.com/detail/roger+mills/2004-005901","OKCountyRecords: 2004-005901")</f>
        <v>OKCountyRecords: 2004-005901</v>
      </c>
    </row>
    <row r="1496" spans="1:11" ht="32.1" customHeight="1" x14ac:dyDescent="0.25">
      <c r="A1496" s="278" t="s">
        <v>3030</v>
      </c>
      <c r="B1496" s="266"/>
      <c r="C1496" s="266" t="s">
        <v>1623</v>
      </c>
      <c r="D1496" s="283" t="s">
        <v>4361</v>
      </c>
      <c r="E1496" s="291">
        <v>38308</v>
      </c>
      <c r="F1496" s="295">
        <v>38292</v>
      </c>
      <c r="G1496" s="287" t="s">
        <v>3032</v>
      </c>
      <c r="H1496" s="266" t="s">
        <v>944</v>
      </c>
      <c r="I1496" s="268" t="s">
        <v>7564</v>
      </c>
      <c r="J1496" s="299" t="s">
        <v>1625</v>
      </c>
      <c r="K1496" s="259" t="str">
        <f>HYPERLINK("https://okcountyrecords.com/detail/roger+mills/2004-006577","OKCountyRecords: 2004-006577")</f>
        <v>OKCountyRecords: 2004-006577</v>
      </c>
    </row>
    <row r="1497" spans="1:11" ht="32.1" customHeight="1" x14ac:dyDescent="0.25">
      <c r="A1497" s="278" t="s">
        <v>3034</v>
      </c>
      <c r="B1497" s="266"/>
      <c r="C1497" s="266" t="s">
        <v>1623</v>
      </c>
      <c r="D1497" s="283" t="s">
        <v>4164</v>
      </c>
      <c r="E1497" s="291">
        <v>38365</v>
      </c>
      <c r="F1497" s="295">
        <v>38362</v>
      </c>
      <c r="G1497" s="287" t="s">
        <v>3036</v>
      </c>
      <c r="H1497" s="266" t="s">
        <v>3037</v>
      </c>
      <c r="I1497" s="268" t="s">
        <v>7200</v>
      </c>
      <c r="J1497" s="299" t="s">
        <v>1625</v>
      </c>
      <c r="K1497" s="259" t="str">
        <f>HYPERLINK("https://okcountyrecords.com/detail/roger+mills/2005-000158","OKCountyRecords: 2005-000158")</f>
        <v>OKCountyRecords: 2005-000158</v>
      </c>
    </row>
    <row r="1498" spans="1:11" ht="32.1" customHeight="1" x14ac:dyDescent="0.25">
      <c r="A1498" s="278" t="s">
        <v>3038</v>
      </c>
      <c r="B1498" s="266"/>
      <c r="C1498" s="266" t="s">
        <v>969</v>
      </c>
      <c r="D1498" s="283" t="s">
        <v>4239</v>
      </c>
      <c r="E1498" s="291">
        <v>38376</v>
      </c>
      <c r="F1498" s="295">
        <v>38338</v>
      </c>
      <c r="G1498" s="287" t="s">
        <v>3040</v>
      </c>
      <c r="H1498" s="266" t="s">
        <v>3041</v>
      </c>
      <c r="I1498" s="268" t="s">
        <v>7569</v>
      </c>
      <c r="J1498" s="299" t="s">
        <v>985</v>
      </c>
      <c r="K1498" s="259" t="str">
        <f>HYPERLINK("https://okcountyrecords.com/detail/roger+mills/2005-000347","OKCountyRecords: 2005-000347")</f>
        <v>OKCountyRecords: 2005-000347</v>
      </c>
    </row>
    <row r="1499" spans="1:11" ht="32.1" customHeight="1" x14ac:dyDescent="0.25">
      <c r="A1499" s="278" t="s">
        <v>3043</v>
      </c>
      <c r="B1499" s="266"/>
      <c r="C1499" s="266" t="s">
        <v>309</v>
      </c>
      <c r="D1499" s="283" t="s">
        <v>658</v>
      </c>
      <c r="E1499" s="291">
        <v>38420</v>
      </c>
      <c r="F1499" s="295">
        <v>38406</v>
      </c>
      <c r="G1499" s="287" t="s">
        <v>490</v>
      </c>
      <c r="H1499" s="266" t="s">
        <v>659</v>
      </c>
      <c r="I1499" s="268" t="s">
        <v>488</v>
      </c>
      <c r="J1499" s="299" t="s">
        <v>996</v>
      </c>
      <c r="K1499" s="259" t="str">
        <f>HYPERLINK("https://okcountyrecords.com/detail/roger+mills/2005-001365","OKCountyRecords: 2005-001365")</f>
        <v>OKCountyRecords: 2005-001365</v>
      </c>
    </row>
    <row r="1500" spans="1:11" ht="32.1" customHeight="1" x14ac:dyDescent="0.25">
      <c r="A1500" s="278" t="s">
        <v>3045</v>
      </c>
      <c r="B1500" s="266"/>
      <c r="C1500" s="266" t="s">
        <v>309</v>
      </c>
      <c r="D1500" s="283" t="s">
        <v>661</v>
      </c>
      <c r="E1500" s="291">
        <v>38426</v>
      </c>
      <c r="F1500" s="295">
        <v>38411</v>
      </c>
      <c r="G1500" s="287" t="s">
        <v>499</v>
      </c>
      <c r="H1500" s="266" t="s">
        <v>659</v>
      </c>
      <c r="I1500" s="268" t="s">
        <v>488</v>
      </c>
      <c r="J1500" s="299" t="s">
        <v>996</v>
      </c>
      <c r="K1500" s="259" t="str">
        <f>HYPERLINK("https://okcountyrecords.com/detail/roger+mills/2005-001515","OKCountyRecords: 2005-001515")</f>
        <v>OKCountyRecords: 2005-001515</v>
      </c>
    </row>
    <row r="1501" spans="1:11" ht="32.1" customHeight="1" x14ac:dyDescent="0.25">
      <c r="A1501" s="278" t="s">
        <v>3047</v>
      </c>
      <c r="B1501" s="266"/>
      <c r="C1501" s="266" t="s">
        <v>309</v>
      </c>
      <c r="D1501" s="283" t="s">
        <v>660</v>
      </c>
      <c r="E1501" s="291">
        <v>38432</v>
      </c>
      <c r="F1501" s="295">
        <v>38407</v>
      </c>
      <c r="G1501" s="287" t="s">
        <v>495</v>
      </c>
      <c r="H1501" s="266" t="s">
        <v>659</v>
      </c>
      <c r="I1501" s="268" t="s">
        <v>488</v>
      </c>
      <c r="J1501" s="299" t="s">
        <v>996</v>
      </c>
      <c r="K1501" s="259" t="str">
        <f>HYPERLINK("https://okcountyrecords.com/detail/roger+mills/2005-001688","OKCountyRecords: 2005-001688")</f>
        <v>OKCountyRecords: 2005-001688</v>
      </c>
    </row>
    <row r="1502" spans="1:11" ht="32.1" customHeight="1" x14ac:dyDescent="0.25">
      <c r="A1502" s="278" t="s">
        <v>3049</v>
      </c>
      <c r="B1502" s="266"/>
      <c r="C1502" s="266" t="s">
        <v>309</v>
      </c>
      <c r="D1502" s="283" t="s">
        <v>662</v>
      </c>
      <c r="E1502" s="291">
        <v>38432</v>
      </c>
      <c r="F1502" s="295">
        <v>38411</v>
      </c>
      <c r="G1502" s="287" t="s">
        <v>527</v>
      </c>
      <c r="H1502" s="266" t="s">
        <v>659</v>
      </c>
      <c r="I1502" s="268" t="s">
        <v>488</v>
      </c>
      <c r="J1502" s="299" t="s">
        <v>996</v>
      </c>
      <c r="K1502" s="259" t="str">
        <f>HYPERLINK("https://okcountyrecords.com/detail/roger+mills/2005-001690","OKCountyRecords: 2005-001690")</f>
        <v>OKCountyRecords: 2005-001690</v>
      </c>
    </row>
    <row r="1503" spans="1:11" ht="32.1" customHeight="1" x14ac:dyDescent="0.25">
      <c r="A1503" s="278" t="s">
        <v>3051</v>
      </c>
      <c r="B1503" s="266"/>
      <c r="C1503" s="266" t="s">
        <v>1107</v>
      </c>
      <c r="D1503" s="283" t="s">
        <v>7578</v>
      </c>
      <c r="E1503" s="291">
        <v>38440</v>
      </c>
      <c r="F1503" s="295">
        <v>38427</v>
      </c>
      <c r="G1503" s="287" t="s">
        <v>2227</v>
      </c>
      <c r="H1503" s="266" t="s">
        <v>1110</v>
      </c>
      <c r="I1503" s="268" t="s">
        <v>7213</v>
      </c>
      <c r="J1503" s="299" t="s">
        <v>1095</v>
      </c>
      <c r="K1503" s="259" t="str">
        <f>HYPERLINK("https://okcountyrecords.com/detail/roger+mills/2005-001839","OKCountyRecords: 2005-001839")</f>
        <v>OKCountyRecords: 2005-001839</v>
      </c>
    </row>
    <row r="1504" spans="1:11" ht="32.1" customHeight="1" x14ac:dyDescent="0.25">
      <c r="A1504" s="278" t="s">
        <v>3053</v>
      </c>
      <c r="B1504" s="266"/>
      <c r="C1504" s="266" t="s">
        <v>1623</v>
      </c>
      <c r="D1504" s="283" t="s">
        <v>4240</v>
      </c>
      <c r="E1504" s="291">
        <v>38446</v>
      </c>
      <c r="F1504" s="295">
        <v>38446</v>
      </c>
      <c r="G1504" s="287" t="s">
        <v>3055</v>
      </c>
      <c r="H1504" s="266" t="s">
        <v>3056</v>
      </c>
      <c r="I1504" s="268" t="s">
        <v>7219</v>
      </c>
      <c r="J1504" s="299" t="s">
        <v>1625</v>
      </c>
      <c r="K1504" s="259" t="str">
        <f>HYPERLINK("https://okcountyrecords.com/detail/roger+mills/2005-001909","OKCountyRecords: 2005-001909")</f>
        <v>OKCountyRecords: 2005-001909</v>
      </c>
    </row>
    <row r="1505" spans="1:11" ht="32.1" customHeight="1" x14ac:dyDescent="0.25">
      <c r="A1505" s="278" t="s">
        <v>3057</v>
      </c>
      <c r="B1505" s="266"/>
      <c r="C1505" s="266" t="s">
        <v>2619</v>
      </c>
      <c r="D1505" s="283" t="s">
        <v>4362</v>
      </c>
      <c r="E1505" s="291">
        <v>38455</v>
      </c>
      <c r="F1505" s="295">
        <v>38455</v>
      </c>
      <c r="G1505" s="287" t="s">
        <v>4396</v>
      </c>
      <c r="H1505" s="266" t="s">
        <v>1110</v>
      </c>
      <c r="I1505" s="268" t="s">
        <v>7584</v>
      </c>
      <c r="J1505" s="299" t="s">
        <v>985</v>
      </c>
      <c r="K1505" s="259" t="str">
        <f>HYPERLINK("https://okcountyrecords.com/detail/roger+mills/2005-002196","OKCountyRecords: 2005-002196")</f>
        <v>OKCountyRecords: 2005-002196</v>
      </c>
    </row>
    <row r="1506" spans="1:11" ht="32.1" customHeight="1" x14ac:dyDescent="0.25">
      <c r="A1506" s="278" t="s">
        <v>3061</v>
      </c>
      <c r="B1506" s="266"/>
      <c r="C1506" s="266" t="s">
        <v>309</v>
      </c>
      <c r="D1506" s="283" t="s">
        <v>663</v>
      </c>
      <c r="E1506" s="291">
        <v>38457</v>
      </c>
      <c r="F1506" s="295">
        <v>38419</v>
      </c>
      <c r="G1506" s="287" t="s">
        <v>3063</v>
      </c>
      <c r="H1506" s="266" t="s">
        <v>487</v>
      </c>
      <c r="I1506" s="268" t="s">
        <v>505</v>
      </c>
      <c r="J1506" s="299" t="s">
        <v>996</v>
      </c>
      <c r="K1506" s="259" t="str">
        <f>HYPERLINK("https://okcountyrecords.com/detail/roger+mills/2005-002326","OKCountyRecords: 2005-002326")</f>
        <v>OKCountyRecords: 2005-002326</v>
      </c>
    </row>
    <row r="1507" spans="1:11" ht="32.1" customHeight="1" x14ac:dyDescent="0.25">
      <c r="A1507" s="278" t="s">
        <v>3064</v>
      </c>
      <c r="B1507" s="266"/>
      <c r="C1507" s="266" t="s">
        <v>309</v>
      </c>
      <c r="D1507" s="283" t="s">
        <v>666</v>
      </c>
      <c r="E1507" s="291">
        <v>38457</v>
      </c>
      <c r="F1507" s="295">
        <v>38420</v>
      </c>
      <c r="G1507" s="287" t="s">
        <v>515</v>
      </c>
      <c r="H1507" s="266" t="s">
        <v>487</v>
      </c>
      <c r="I1507" s="268" t="s">
        <v>7329</v>
      </c>
      <c r="J1507" s="299" t="s">
        <v>996</v>
      </c>
      <c r="K1507" s="259" t="str">
        <f>HYPERLINK("https://okcountyrecords.com/detail/roger+mills/2005-002327","OKCountyRecords: 2005-002327")</f>
        <v>OKCountyRecords: 2005-002327</v>
      </c>
    </row>
    <row r="1508" spans="1:11" ht="32.1" customHeight="1" x14ac:dyDescent="0.25">
      <c r="A1508" s="278" t="s">
        <v>3066</v>
      </c>
      <c r="B1508" s="266"/>
      <c r="C1508" s="266" t="s">
        <v>309</v>
      </c>
      <c r="D1508" s="283" t="s">
        <v>665</v>
      </c>
      <c r="E1508" s="291">
        <v>38457</v>
      </c>
      <c r="F1508" s="295">
        <v>38419</v>
      </c>
      <c r="G1508" s="287" t="s">
        <v>2525</v>
      </c>
      <c r="H1508" s="266" t="s">
        <v>487</v>
      </c>
      <c r="I1508" s="268" t="s">
        <v>505</v>
      </c>
      <c r="J1508" s="299" t="s">
        <v>996</v>
      </c>
      <c r="K1508" s="259" t="str">
        <f>HYPERLINK("https://okcountyrecords.com/detail/roger+mills/2005-002328","OKCountyRecords: 2005-002328")</f>
        <v>OKCountyRecords: 2005-002328</v>
      </c>
    </row>
    <row r="1509" spans="1:11" ht="32.1" customHeight="1" x14ac:dyDescent="0.25">
      <c r="A1509" s="278" t="s">
        <v>3068</v>
      </c>
      <c r="B1509" s="266"/>
      <c r="C1509" s="266" t="s">
        <v>309</v>
      </c>
      <c r="D1509" s="283" t="s">
        <v>674</v>
      </c>
      <c r="E1509" s="291">
        <v>38462</v>
      </c>
      <c r="F1509" s="295">
        <v>38447</v>
      </c>
      <c r="G1509" s="287" t="s">
        <v>675</v>
      </c>
      <c r="H1509" s="266" t="s">
        <v>3070</v>
      </c>
      <c r="I1509" s="268" t="s">
        <v>584</v>
      </c>
      <c r="J1509" s="299" t="s">
        <v>996</v>
      </c>
      <c r="K1509" s="259" t="str">
        <f>HYPERLINK("https://okcountyrecords.com/detail/roger+mills/2005-002552","OKCountyRecords: 2005-002552")</f>
        <v>OKCountyRecords: 2005-002552</v>
      </c>
    </row>
    <row r="1510" spans="1:11" ht="32.1" customHeight="1" x14ac:dyDescent="0.25">
      <c r="A1510" s="278" t="s">
        <v>3071</v>
      </c>
      <c r="B1510" s="266"/>
      <c r="C1510" s="266" t="s">
        <v>309</v>
      </c>
      <c r="D1510" s="283" t="s">
        <v>667</v>
      </c>
      <c r="E1510" s="291">
        <v>38464</v>
      </c>
      <c r="F1510" s="295">
        <v>38435</v>
      </c>
      <c r="G1510" s="287" t="s">
        <v>3073</v>
      </c>
      <c r="H1510" s="266" t="s">
        <v>659</v>
      </c>
      <c r="I1510" s="268" t="s">
        <v>502</v>
      </c>
      <c r="J1510" s="299" t="s">
        <v>996</v>
      </c>
      <c r="K1510" s="259" t="str">
        <f>HYPERLINK("https://okcountyrecords.com/detail/roger+mills/2005-002646","OKCountyRecords: 2005-002646")</f>
        <v>OKCountyRecords: 2005-002646</v>
      </c>
    </row>
    <row r="1511" spans="1:11" ht="32.1" customHeight="1" x14ac:dyDescent="0.25">
      <c r="A1511" s="278" t="s">
        <v>3074</v>
      </c>
      <c r="B1511" s="266"/>
      <c r="C1511" s="266" t="s">
        <v>309</v>
      </c>
      <c r="D1511" s="283" t="s">
        <v>677</v>
      </c>
      <c r="E1511" s="291">
        <v>38474</v>
      </c>
      <c r="F1511" s="295">
        <v>38457</v>
      </c>
      <c r="G1511" s="287" t="s">
        <v>944</v>
      </c>
      <c r="H1511" s="266" t="s">
        <v>3076</v>
      </c>
      <c r="I1511" s="268" t="s">
        <v>505</v>
      </c>
      <c r="J1511" s="299" t="s">
        <v>996</v>
      </c>
      <c r="K1511" s="259" t="str">
        <f>HYPERLINK("https://okcountyrecords.com/detail/roger+mills/2005-002831","OKCountyRecords: 2005-002831")</f>
        <v>OKCountyRecords: 2005-002831</v>
      </c>
    </row>
    <row r="1512" spans="1:11" ht="32.1" customHeight="1" x14ac:dyDescent="0.25">
      <c r="A1512" s="278" t="s">
        <v>3077</v>
      </c>
      <c r="B1512" s="266"/>
      <c r="C1512" s="266" t="s">
        <v>1623</v>
      </c>
      <c r="D1512" s="283" t="s">
        <v>4241</v>
      </c>
      <c r="E1512" s="291">
        <v>38490</v>
      </c>
      <c r="F1512" s="295">
        <v>38483</v>
      </c>
      <c r="G1512" s="287" t="s">
        <v>3079</v>
      </c>
      <c r="H1512" s="266" t="s">
        <v>3080</v>
      </c>
      <c r="I1512" s="268" t="s">
        <v>7219</v>
      </c>
      <c r="J1512" s="299" t="s">
        <v>1625</v>
      </c>
      <c r="K1512" s="259" t="str">
        <f>HYPERLINK("https://okcountyrecords.com/detail/roger+mills/2005-003389","OKCountyRecords: 2005-003389")</f>
        <v>OKCountyRecords: 2005-003389</v>
      </c>
    </row>
    <row r="1513" spans="1:11" ht="32.1" customHeight="1" x14ac:dyDescent="0.25">
      <c r="A1513" s="278" t="s">
        <v>3081</v>
      </c>
      <c r="B1513" s="266"/>
      <c r="C1513" s="266" t="s">
        <v>3082</v>
      </c>
      <c r="D1513" s="283" t="s">
        <v>7598</v>
      </c>
      <c r="E1513" s="291">
        <v>38499</v>
      </c>
      <c r="F1513" s="295">
        <v>38497</v>
      </c>
      <c r="G1513" s="287" t="s">
        <v>659</v>
      </c>
      <c r="H1513" s="266" t="s">
        <v>3084</v>
      </c>
      <c r="I1513" s="268" t="s">
        <v>7600</v>
      </c>
      <c r="J1513" s="299" t="s">
        <v>996</v>
      </c>
      <c r="K1513" s="259" t="str">
        <f>HYPERLINK("https://okcountyrecords.com/detail/roger+mills/2005-003691","OKCountyRecords: 2005-003691")</f>
        <v>OKCountyRecords: 2005-003691</v>
      </c>
    </row>
    <row r="1514" spans="1:11" ht="32.1" customHeight="1" x14ac:dyDescent="0.25">
      <c r="A1514" s="278" t="s">
        <v>3087</v>
      </c>
      <c r="B1514" s="266"/>
      <c r="C1514" s="266" t="s">
        <v>309</v>
      </c>
      <c r="D1514" s="283" t="s">
        <v>669</v>
      </c>
      <c r="E1514" s="291">
        <v>38504</v>
      </c>
      <c r="F1514" s="295">
        <v>38440</v>
      </c>
      <c r="G1514" s="287" t="s">
        <v>274</v>
      </c>
      <c r="H1514" s="266" t="s">
        <v>487</v>
      </c>
      <c r="I1514" s="268" t="s">
        <v>505</v>
      </c>
      <c r="J1514" s="299" t="s">
        <v>996</v>
      </c>
      <c r="K1514" s="259" t="str">
        <f>HYPERLINK("https://okcountyrecords.com/detail/roger+mills/2005-003756","OKCountyRecords: 2005-003756")</f>
        <v>OKCountyRecords: 2005-003756</v>
      </c>
    </row>
    <row r="1515" spans="1:11" ht="32.1" customHeight="1" x14ac:dyDescent="0.25">
      <c r="A1515" s="278" t="s">
        <v>3089</v>
      </c>
      <c r="B1515" s="266"/>
      <c r="C1515" s="266" t="s">
        <v>615</v>
      </c>
      <c r="D1515" s="283" t="s">
        <v>670</v>
      </c>
      <c r="E1515" s="291">
        <v>38511</v>
      </c>
      <c r="F1515" s="295">
        <v>38441</v>
      </c>
      <c r="G1515" s="287" t="s">
        <v>671</v>
      </c>
      <c r="H1515" s="266" t="s">
        <v>487</v>
      </c>
      <c r="I1515" s="268" t="s">
        <v>505</v>
      </c>
      <c r="J1515" s="299" t="s">
        <v>996</v>
      </c>
      <c r="K1515" s="259" t="str">
        <f>HYPERLINK("https://okcountyrecords.com/detail/roger+mills/2005-003939","OKCountyRecords: 2005-003939")</f>
        <v>OKCountyRecords: 2005-003939</v>
      </c>
    </row>
    <row r="1516" spans="1:11" ht="32.1" customHeight="1" x14ac:dyDescent="0.25">
      <c r="A1516" s="278" t="s">
        <v>3091</v>
      </c>
      <c r="B1516" s="266"/>
      <c r="C1516" s="266" t="s">
        <v>615</v>
      </c>
      <c r="D1516" s="283" t="s">
        <v>672</v>
      </c>
      <c r="E1516" s="291">
        <v>38511</v>
      </c>
      <c r="F1516" s="295">
        <v>38441</v>
      </c>
      <c r="G1516" s="287" t="s">
        <v>673</v>
      </c>
      <c r="H1516" s="266" t="s">
        <v>487</v>
      </c>
      <c r="I1516" s="268" t="s">
        <v>505</v>
      </c>
      <c r="J1516" s="299" t="s">
        <v>996</v>
      </c>
      <c r="K1516" s="259" t="str">
        <f>HYPERLINK("https://okcountyrecords.com/detail/roger+mills/2005-003940","OKCountyRecords: 2005-003940")</f>
        <v>OKCountyRecords: 2005-003940</v>
      </c>
    </row>
    <row r="1517" spans="1:11" ht="32.1" customHeight="1" x14ac:dyDescent="0.25">
      <c r="A1517" s="278" t="s">
        <v>3094</v>
      </c>
      <c r="B1517" s="266"/>
      <c r="C1517" s="266" t="s">
        <v>1623</v>
      </c>
      <c r="D1517" s="283" t="s">
        <v>4363</v>
      </c>
      <c r="E1517" s="291">
        <v>38517</v>
      </c>
      <c r="F1517" s="295">
        <v>38516</v>
      </c>
      <c r="G1517" s="287" t="s">
        <v>3096</v>
      </c>
      <c r="H1517" s="266" t="s">
        <v>3097</v>
      </c>
      <c r="I1517" s="268" t="s">
        <v>7550</v>
      </c>
      <c r="J1517" s="299" t="s">
        <v>1625</v>
      </c>
      <c r="K1517" s="259" t="str">
        <f>HYPERLINK("https://okcountyrecords.com/detail/roger+mills/2005-004044","OKCountyRecords: 2005-004044")</f>
        <v>OKCountyRecords: 2005-004044</v>
      </c>
    </row>
    <row r="1518" spans="1:11" ht="32.1" customHeight="1" x14ac:dyDescent="0.25">
      <c r="A1518" s="278" t="s">
        <v>3099</v>
      </c>
      <c r="B1518" s="266"/>
      <c r="C1518" s="266" t="s">
        <v>309</v>
      </c>
      <c r="D1518" s="283" t="s">
        <v>690</v>
      </c>
      <c r="E1518" s="291">
        <v>38541</v>
      </c>
      <c r="F1518" s="295">
        <v>38482</v>
      </c>
      <c r="G1518" s="287" t="s">
        <v>278</v>
      </c>
      <c r="H1518" s="266" t="s">
        <v>487</v>
      </c>
      <c r="I1518" s="268" t="s">
        <v>488</v>
      </c>
      <c r="J1518" s="299" t="s">
        <v>996</v>
      </c>
      <c r="K1518" s="259" t="str">
        <f>HYPERLINK("https://okcountyrecords.com/detail/roger+mills/2005-004681","OKCountyRecords: 2005-004681")</f>
        <v>OKCountyRecords: 2005-004681</v>
      </c>
    </row>
    <row r="1519" spans="1:11" ht="32.1" customHeight="1" x14ac:dyDescent="0.25">
      <c r="A1519" s="278" t="s">
        <v>3101</v>
      </c>
      <c r="B1519" s="266"/>
      <c r="C1519" s="266" t="s">
        <v>1623</v>
      </c>
      <c r="D1519" s="283" t="s">
        <v>4364</v>
      </c>
      <c r="E1519" s="291">
        <v>38548</v>
      </c>
      <c r="F1519" s="295">
        <v>38473</v>
      </c>
      <c r="G1519" s="287" t="s">
        <v>944</v>
      </c>
      <c r="H1519" s="266" t="s">
        <v>3103</v>
      </c>
      <c r="I1519" s="268" t="s">
        <v>7612</v>
      </c>
      <c r="J1519" s="299" t="s">
        <v>1625</v>
      </c>
      <c r="K1519" s="259" t="str">
        <f>HYPERLINK("https://okcountyrecords.com/detail/roger+mills/2005-004793","OKCountyRecords: 2005-004793")</f>
        <v>OKCountyRecords: 2005-004793</v>
      </c>
    </row>
    <row r="1520" spans="1:11" ht="32.1" customHeight="1" x14ac:dyDescent="0.25">
      <c r="A1520" s="278" t="s">
        <v>3106</v>
      </c>
      <c r="B1520" s="266"/>
      <c r="C1520" s="266" t="s">
        <v>309</v>
      </c>
      <c r="D1520" s="283" t="s">
        <v>680</v>
      </c>
      <c r="E1520" s="291">
        <v>38551</v>
      </c>
      <c r="F1520" s="295">
        <v>38468</v>
      </c>
      <c r="G1520" s="287" t="s">
        <v>7615</v>
      </c>
      <c r="H1520" s="266" t="s">
        <v>7616</v>
      </c>
      <c r="I1520" s="268" t="s">
        <v>488</v>
      </c>
      <c r="J1520" s="299" t="s">
        <v>996</v>
      </c>
      <c r="K1520" s="259" t="str">
        <f>HYPERLINK("https://okcountyrecords.com/detail/roger+mills/2005-004816","OKCountyRecords: 2005-004816")</f>
        <v>OKCountyRecords: 2005-004816</v>
      </c>
    </row>
    <row r="1521" spans="1:11" ht="32.1" customHeight="1" x14ac:dyDescent="0.25">
      <c r="A1521" s="278" t="s">
        <v>3108</v>
      </c>
      <c r="B1521" s="266"/>
      <c r="C1521" s="266" t="s">
        <v>309</v>
      </c>
      <c r="D1521" s="283" t="s">
        <v>683</v>
      </c>
      <c r="E1521" s="291">
        <v>38551</v>
      </c>
      <c r="F1521" s="295">
        <v>38468</v>
      </c>
      <c r="G1521" s="287" t="s">
        <v>513</v>
      </c>
      <c r="H1521" s="266" t="s">
        <v>3070</v>
      </c>
      <c r="I1521" s="268" t="s">
        <v>488</v>
      </c>
      <c r="J1521" s="299" t="s">
        <v>996</v>
      </c>
      <c r="K1521" s="259" t="str">
        <f>HYPERLINK("https://okcountyrecords.com/detail/roger+mills/2005-004817","OKCountyRecords: 2005-004817")</f>
        <v>OKCountyRecords: 2005-004817</v>
      </c>
    </row>
    <row r="1522" spans="1:11" ht="32.1" customHeight="1" x14ac:dyDescent="0.25">
      <c r="A1522" s="278" t="s">
        <v>3110</v>
      </c>
      <c r="B1522" s="266"/>
      <c r="C1522" s="266" t="s">
        <v>309</v>
      </c>
      <c r="D1522" s="283" t="s">
        <v>684</v>
      </c>
      <c r="E1522" s="291">
        <v>38551</v>
      </c>
      <c r="F1522" s="295">
        <v>38468</v>
      </c>
      <c r="G1522" s="287" t="s">
        <v>3112</v>
      </c>
      <c r="H1522" s="266" t="s">
        <v>3070</v>
      </c>
      <c r="I1522" s="268" t="s">
        <v>7213</v>
      </c>
      <c r="J1522" s="299" t="s">
        <v>996</v>
      </c>
      <c r="K1522" s="259" t="str">
        <f>HYPERLINK("https://okcountyrecords.com/detail/roger+mills/2005-004818","OKCountyRecords: 2005-004818")</f>
        <v>OKCountyRecords: 2005-004818</v>
      </c>
    </row>
    <row r="1523" spans="1:11" ht="32.1" customHeight="1" x14ac:dyDescent="0.25">
      <c r="A1523" s="278" t="s">
        <v>3113</v>
      </c>
      <c r="B1523" s="266"/>
      <c r="C1523" s="266" t="s">
        <v>309</v>
      </c>
      <c r="D1523" s="283" t="s">
        <v>687</v>
      </c>
      <c r="E1523" s="291">
        <v>38552</v>
      </c>
      <c r="F1523" s="295">
        <v>38468</v>
      </c>
      <c r="G1523" s="287" t="s">
        <v>2586</v>
      </c>
      <c r="H1523" s="266" t="s">
        <v>3115</v>
      </c>
      <c r="I1523" s="268" t="s">
        <v>488</v>
      </c>
      <c r="J1523" s="299" t="s">
        <v>996</v>
      </c>
      <c r="K1523" s="259" t="str">
        <f>HYPERLINK("https://okcountyrecords.com/detail/roger+mills/2005-004863","OKCountyRecords: 2005-004863")</f>
        <v>OKCountyRecords: 2005-004863</v>
      </c>
    </row>
    <row r="1524" spans="1:11" ht="32.1" customHeight="1" x14ac:dyDescent="0.25">
      <c r="A1524" s="278" t="s">
        <v>3116</v>
      </c>
      <c r="B1524" s="266"/>
      <c r="C1524" s="266" t="s">
        <v>309</v>
      </c>
      <c r="D1524" s="283" t="s">
        <v>691</v>
      </c>
      <c r="E1524" s="291">
        <v>38554</v>
      </c>
      <c r="F1524" s="295">
        <v>38482</v>
      </c>
      <c r="G1524" s="287" t="s">
        <v>692</v>
      </c>
      <c r="H1524" s="266" t="s">
        <v>487</v>
      </c>
      <c r="I1524" s="268" t="s">
        <v>488</v>
      </c>
      <c r="J1524" s="299" t="s">
        <v>996</v>
      </c>
      <c r="K1524" s="259" t="str">
        <f>HYPERLINK("https://okcountyrecords.com/detail/roger+mills/2005-004938","OKCountyRecords: 2005-004938")</f>
        <v>OKCountyRecords: 2005-004938</v>
      </c>
    </row>
    <row r="1525" spans="1:11" ht="32.1" customHeight="1" x14ac:dyDescent="0.25">
      <c r="A1525" s="278" t="s">
        <v>3118</v>
      </c>
      <c r="B1525" s="266"/>
      <c r="C1525" s="266" t="s">
        <v>309</v>
      </c>
      <c r="D1525" s="283" t="s">
        <v>693</v>
      </c>
      <c r="E1525" s="291">
        <v>38554</v>
      </c>
      <c r="F1525" s="295">
        <v>38482</v>
      </c>
      <c r="G1525" s="287" t="s">
        <v>622</v>
      </c>
      <c r="H1525" s="266" t="s">
        <v>487</v>
      </c>
      <c r="I1525" s="268" t="s">
        <v>488</v>
      </c>
      <c r="J1525" s="299" t="s">
        <v>996</v>
      </c>
      <c r="K1525" s="259" t="str">
        <f>HYPERLINK("https://okcountyrecords.com/detail/roger+mills/2005-004939","OKCountyRecords: 2005-004939")</f>
        <v>OKCountyRecords: 2005-004939</v>
      </c>
    </row>
    <row r="1526" spans="1:11" ht="32.1" customHeight="1" x14ac:dyDescent="0.25">
      <c r="A1526" s="278" t="s">
        <v>3120</v>
      </c>
      <c r="B1526" s="266"/>
      <c r="C1526" s="266" t="s">
        <v>309</v>
      </c>
      <c r="D1526" s="283" t="s">
        <v>694</v>
      </c>
      <c r="E1526" s="291">
        <v>38554</v>
      </c>
      <c r="F1526" s="295">
        <v>38482</v>
      </c>
      <c r="G1526" s="287" t="s">
        <v>695</v>
      </c>
      <c r="H1526" s="266" t="s">
        <v>487</v>
      </c>
      <c r="I1526" s="268" t="s">
        <v>488</v>
      </c>
      <c r="J1526" s="299" t="s">
        <v>996</v>
      </c>
      <c r="K1526" s="259" t="str">
        <f>HYPERLINK("https://okcountyrecords.com/detail/roger+mills/2005-004940","OKCountyRecords: 2005-004940")</f>
        <v>OKCountyRecords: 2005-004940</v>
      </c>
    </row>
    <row r="1527" spans="1:11" ht="32.1" customHeight="1" x14ac:dyDescent="0.25">
      <c r="A1527" s="278" t="s">
        <v>3122</v>
      </c>
      <c r="B1527" s="266"/>
      <c r="C1527" s="266" t="s">
        <v>309</v>
      </c>
      <c r="D1527" s="283" t="s">
        <v>696</v>
      </c>
      <c r="E1527" s="291">
        <v>38554</v>
      </c>
      <c r="F1527" s="295">
        <v>38482</v>
      </c>
      <c r="G1527" s="287" t="s">
        <v>626</v>
      </c>
      <c r="H1527" s="266" t="s">
        <v>487</v>
      </c>
      <c r="I1527" s="268" t="s">
        <v>488</v>
      </c>
      <c r="J1527" s="299" t="s">
        <v>996</v>
      </c>
      <c r="K1527" s="259" t="str">
        <f>HYPERLINK("https://okcountyrecords.com/detail/roger+mills/2005-004941","OKCountyRecords: 2005-004941")</f>
        <v>OKCountyRecords: 2005-004941</v>
      </c>
    </row>
    <row r="1528" spans="1:11" ht="32.1" customHeight="1" x14ac:dyDescent="0.25">
      <c r="A1528" s="278" t="s">
        <v>3124</v>
      </c>
      <c r="B1528" s="266"/>
      <c r="C1528" s="266" t="s">
        <v>309</v>
      </c>
      <c r="D1528" s="283" t="s">
        <v>697</v>
      </c>
      <c r="E1528" s="291">
        <v>38555</v>
      </c>
      <c r="F1528" s="295">
        <v>38482</v>
      </c>
      <c r="G1528" s="287" t="s">
        <v>698</v>
      </c>
      <c r="H1528" s="266" t="s">
        <v>487</v>
      </c>
      <c r="I1528" s="268" t="s">
        <v>488</v>
      </c>
      <c r="J1528" s="299" t="s">
        <v>996</v>
      </c>
      <c r="K1528" s="259" t="str">
        <f>HYPERLINK("https://okcountyrecords.com/detail/roger+mills/2005-004951","OKCountyRecords: 2005-004951")</f>
        <v>OKCountyRecords: 2005-004951</v>
      </c>
    </row>
    <row r="1529" spans="1:11" ht="32.1" customHeight="1" x14ac:dyDescent="0.25">
      <c r="A1529" s="278" t="s">
        <v>3126</v>
      </c>
      <c r="B1529" s="266"/>
      <c r="C1529" s="266" t="s">
        <v>1623</v>
      </c>
      <c r="D1529" s="283" t="s">
        <v>4365</v>
      </c>
      <c r="E1529" s="291">
        <v>38573</v>
      </c>
      <c r="F1529" s="295">
        <v>38473</v>
      </c>
      <c r="G1529" s="287" t="s">
        <v>944</v>
      </c>
      <c r="H1529" s="266" t="s">
        <v>3128</v>
      </c>
      <c r="I1529" s="268" t="s">
        <v>505</v>
      </c>
      <c r="J1529" s="299" t="s">
        <v>1625</v>
      </c>
      <c r="K1529" s="259" t="str">
        <f>HYPERLINK("https://okcountyrecords.com/detail/roger+mills/2005-005251","OKCountyRecords: 2005-005251")</f>
        <v>OKCountyRecords: 2005-005251</v>
      </c>
    </row>
    <row r="1530" spans="1:11" ht="32.1" customHeight="1" x14ac:dyDescent="0.25">
      <c r="A1530" s="278" t="s">
        <v>3129</v>
      </c>
      <c r="B1530" s="266"/>
      <c r="C1530" s="266" t="s">
        <v>3082</v>
      </c>
      <c r="D1530" s="283" t="s">
        <v>7631</v>
      </c>
      <c r="E1530" s="291">
        <v>38579</v>
      </c>
      <c r="F1530" s="295">
        <v>38523</v>
      </c>
      <c r="G1530" s="287" t="s">
        <v>659</v>
      </c>
      <c r="H1530" s="266" t="s">
        <v>3131</v>
      </c>
      <c r="I1530" s="268" t="s">
        <v>7600</v>
      </c>
      <c r="J1530" s="299" t="s">
        <v>996</v>
      </c>
      <c r="K1530" s="259" t="str">
        <f>HYPERLINK("https://okcountyrecords.com/detail/roger+mills/2005-005406","OKCountyRecords: 2005-005406")</f>
        <v>OKCountyRecords: 2005-005406</v>
      </c>
    </row>
    <row r="1531" spans="1:11" ht="32.1" customHeight="1" x14ac:dyDescent="0.25">
      <c r="A1531" s="278" t="s">
        <v>3132</v>
      </c>
      <c r="B1531" s="266"/>
      <c r="C1531" s="266" t="s">
        <v>114</v>
      </c>
      <c r="D1531" s="283" t="s">
        <v>7634</v>
      </c>
      <c r="E1531" s="291">
        <v>38632</v>
      </c>
      <c r="F1531" s="295">
        <v>38629</v>
      </c>
      <c r="G1531" s="287" t="s">
        <v>3134</v>
      </c>
      <c r="H1531" s="266" t="s">
        <v>3135</v>
      </c>
      <c r="I1531" s="268" t="s">
        <v>7200</v>
      </c>
      <c r="J1531" s="299" t="s">
        <v>996</v>
      </c>
      <c r="K1531" s="259" t="str">
        <f>HYPERLINK("https://okcountyrecords.com/detail/roger+mills/2005-006992","OKCountyRecords: 2005-006992")</f>
        <v>OKCountyRecords: 2005-006992</v>
      </c>
    </row>
    <row r="1532" spans="1:11" ht="32.1" customHeight="1" x14ac:dyDescent="0.25">
      <c r="A1532" s="278" t="s">
        <v>3136</v>
      </c>
      <c r="B1532" s="266"/>
      <c r="C1532" s="266" t="s">
        <v>1623</v>
      </c>
      <c r="D1532" s="283" t="s">
        <v>4243</v>
      </c>
      <c r="E1532" s="291">
        <v>38642</v>
      </c>
      <c r="F1532" s="295">
        <v>38625</v>
      </c>
      <c r="G1532" s="287" t="s">
        <v>278</v>
      </c>
      <c r="H1532" s="266" t="s">
        <v>3138</v>
      </c>
      <c r="I1532" s="268" t="s">
        <v>488</v>
      </c>
      <c r="J1532" s="299" t="s">
        <v>1625</v>
      </c>
      <c r="K1532" s="259" t="str">
        <f>HYPERLINK("https://okcountyrecords.com/detail/roger+mills/2005-007116","OKCountyRecords: 2005-007116")</f>
        <v>OKCountyRecords: 2005-007116</v>
      </c>
    </row>
    <row r="1533" spans="1:11" ht="32.1" customHeight="1" x14ac:dyDescent="0.25">
      <c r="A1533" s="278" t="s">
        <v>3139</v>
      </c>
      <c r="B1533" s="266"/>
      <c r="C1533" s="266" t="s">
        <v>1623</v>
      </c>
      <c r="D1533" s="283" t="s">
        <v>4242</v>
      </c>
      <c r="E1533" s="291">
        <v>38642</v>
      </c>
      <c r="F1533" s="295">
        <v>38624</v>
      </c>
      <c r="G1533" s="287" t="s">
        <v>695</v>
      </c>
      <c r="H1533" s="266" t="s">
        <v>3138</v>
      </c>
      <c r="I1533" s="268" t="s">
        <v>488</v>
      </c>
      <c r="J1533" s="299" t="s">
        <v>1625</v>
      </c>
      <c r="K1533" s="259" t="str">
        <f>HYPERLINK("https://okcountyrecords.com/detail/roger+mills/2005-007117","OKCountyRecords: 2005-007117")</f>
        <v>OKCountyRecords: 2005-007117</v>
      </c>
    </row>
    <row r="1534" spans="1:11" ht="32.1" customHeight="1" x14ac:dyDescent="0.25">
      <c r="A1534" s="278" t="s">
        <v>3141</v>
      </c>
      <c r="B1534" s="266"/>
      <c r="C1534" s="266" t="s">
        <v>1623</v>
      </c>
      <c r="D1534" s="283" t="s">
        <v>4244</v>
      </c>
      <c r="E1534" s="291">
        <v>38642</v>
      </c>
      <c r="F1534" s="295">
        <v>38626</v>
      </c>
      <c r="G1534" s="287" t="s">
        <v>620</v>
      </c>
      <c r="H1534" s="266" t="s">
        <v>3138</v>
      </c>
      <c r="I1534" s="268" t="s">
        <v>488</v>
      </c>
      <c r="J1534" s="299" t="s">
        <v>1625</v>
      </c>
      <c r="K1534" s="259" t="str">
        <f>HYPERLINK("https://okcountyrecords.com/detail/roger+mills/2005-007119","OKCountyRecords: 2005-007119")</f>
        <v>OKCountyRecords: 2005-007119</v>
      </c>
    </row>
    <row r="1535" spans="1:11" ht="32.1" customHeight="1" x14ac:dyDescent="0.25">
      <c r="A1535" s="278" t="s">
        <v>3143</v>
      </c>
      <c r="B1535" s="266"/>
      <c r="C1535" s="266" t="s">
        <v>1623</v>
      </c>
      <c r="D1535" s="283" t="s">
        <v>4245</v>
      </c>
      <c r="E1535" s="291">
        <v>38642</v>
      </c>
      <c r="F1535" s="295">
        <v>38626</v>
      </c>
      <c r="G1535" s="287" t="s">
        <v>620</v>
      </c>
      <c r="H1535" s="266" t="s">
        <v>3138</v>
      </c>
      <c r="I1535" s="268" t="s">
        <v>488</v>
      </c>
      <c r="J1535" s="299" t="s">
        <v>1625</v>
      </c>
      <c r="K1535" s="259" t="str">
        <f>HYPERLINK("https://okcountyrecords.com/detail/roger+mills/2005-007120","OKCountyRecords: 2005-007120")</f>
        <v>OKCountyRecords: 2005-007120</v>
      </c>
    </row>
    <row r="1536" spans="1:11" ht="32.1" customHeight="1" x14ac:dyDescent="0.25">
      <c r="A1536" s="278" t="s">
        <v>3145</v>
      </c>
      <c r="B1536" s="266"/>
      <c r="C1536" s="266" t="s">
        <v>309</v>
      </c>
      <c r="D1536" s="283" t="s">
        <v>702</v>
      </c>
      <c r="E1536" s="291">
        <v>38644</v>
      </c>
      <c r="F1536" s="295">
        <v>38632</v>
      </c>
      <c r="G1536" s="287" t="s">
        <v>3147</v>
      </c>
      <c r="H1536" s="266" t="s">
        <v>611</v>
      </c>
      <c r="I1536" s="268" t="s">
        <v>502</v>
      </c>
      <c r="J1536" s="299" t="s">
        <v>996</v>
      </c>
      <c r="K1536" s="259" t="str">
        <f>HYPERLINK("https://okcountyrecords.com/detail/roger+mills/2005-007202","OKCountyRecords: 2005-007202")</f>
        <v>OKCountyRecords: 2005-007202</v>
      </c>
    </row>
    <row r="1537" spans="1:11" ht="32.1" customHeight="1" x14ac:dyDescent="0.25">
      <c r="A1537" s="278" t="s">
        <v>3148</v>
      </c>
      <c r="B1537" s="266"/>
      <c r="C1537" s="266" t="s">
        <v>1623</v>
      </c>
      <c r="D1537" s="283" t="s">
        <v>4246</v>
      </c>
      <c r="E1537" s="291">
        <v>38658</v>
      </c>
      <c r="F1537" s="295">
        <v>38608</v>
      </c>
      <c r="G1537" s="287" t="s">
        <v>626</v>
      </c>
      <c r="H1537" s="266" t="s">
        <v>3150</v>
      </c>
      <c r="I1537" s="268" t="s">
        <v>7219</v>
      </c>
      <c r="J1537" s="299" t="s">
        <v>1625</v>
      </c>
      <c r="K1537" s="259" t="str">
        <f>HYPERLINK("https://okcountyrecords.com/detail/roger+mills/2005-007540","OKCountyRecords: 2005-007540")</f>
        <v>OKCountyRecords: 2005-007540</v>
      </c>
    </row>
    <row r="1538" spans="1:11" ht="32.1" customHeight="1" x14ac:dyDescent="0.25">
      <c r="A1538" s="278" t="s">
        <v>3151</v>
      </c>
      <c r="B1538" s="266"/>
      <c r="C1538" s="266" t="s">
        <v>1623</v>
      </c>
      <c r="D1538" s="283" t="s">
        <v>4247</v>
      </c>
      <c r="E1538" s="291">
        <v>38658</v>
      </c>
      <c r="F1538" s="295">
        <v>38655</v>
      </c>
      <c r="G1538" s="287" t="s">
        <v>3150</v>
      </c>
      <c r="H1538" s="266" t="s">
        <v>3153</v>
      </c>
      <c r="I1538" s="268" t="s">
        <v>7219</v>
      </c>
      <c r="J1538" s="299" t="s">
        <v>1625</v>
      </c>
      <c r="K1538" s="259" t="str">
        <f>HYPERLINK("https://okcountyrecords.com/detail/roger+mills/2005-007541","OKCountyRecords: 2005-007541")</f>
        <v>OKCountyRecords: 2005-007541</v>
      </c>
    </row>
    <row r="1539" spans="1:11" ht="32.1" customHeight="1" x14ac:dyDescent="0.25">
      <c r="A1539" s="278" t="s">
        <v>3154</v>
      </c>
      <c r="B1539" s="266"/>
      <c r="C1539" s="266" t="s">
        <v>1623</v>
      </c>
      <c r="D1539" s="283" t="s">
        <v>4165</v>
      </c>
      <c r="E1539" s="291">
        <v>38658</v>
      </c>
      <c r="F1539" s="295">
        <v>38650</v>
      </c>
      <c r="G1539" s="287" t="s">
        <v>2518</v>
      </c>
      <c r="H1539" s="266" t="s">
        <v>3037</v>
      </c>
      <c r="I1539" s="268" t="s">
        <v>7200</v>
      </c>
      <c r="J1539" s="299" t="s">
        <v>1625</v>
      </c>
      <c r="K1539" s="259" t="str">
        <f>HYPERLINK("https://okcountyrecords.com/detail/roger+mills/2005-007551","OKCountyRecords: 2005-007551")</f>
        <v>OKCountyRecords: 2005-007551</v>
      </c>
    </row>
    <row r="1540" spans="1:11" ht="32.1" customHeight="1" x14ac:dyDescent="0.25">
      <c r="A1540" s="278" t="s">
        <v>3156</v>
      </c>
      <c r="B1540" s="266"/>
      <c r="C1540" s="266" t="s">
        <v>114</v>
      </c>
      <c r="D1540" s="283" t="s">
        <v>7648</v>
      </c>
      <c r="E1540" s="291">
        <v>38692</v>
      </c>
      <c r="F1540" s="295">
        <v>38657</v>
      </c>
      <c r="G1540" s="287" t="s">
        <v>3158</v>
      </c>
      <c r="H1540" s="266" t="s">
        <v>3159</v>
      </c>
      <c r="I1540" s="268" t="s">
        <v>7200</v>
      </c>
      <c r="J1540" s="299" t="s">
        <v>996</v>
      </c>
      <c r="K1540" s="259" t="str">
        <f>HYPERLINK("https://okcountyrecords.com/detail/roger+mills/2005-008247","OKCountyRecords: 2005-008247")</f>
        <v>OKCountyRecords: 2005-008247</v>
      </c>
    </row>
    <row r="1541" spans="1:11" ht="32.1" customHeight="1" x14ac:dyDescent="0.25">
      <c r="A1541" s="278" t="s">
        <v>3160</v>
      </c>
      <c r="B1541" s="266"/>
      <c r="C1541" s="266" t="s">
        <v>1274</v>
      </c>
      <c r="D1541" s="283" t="s">
        <v>4166</v>
      </c>
      <c r="E1541" s="291">
        <v>38695</v>
      </c>
      <c r="F1541" s="295">
        <v>12655</v>
      </c>
      <c r="G1541" s="287" t="s">
        <v>4196</v>
      </c>
      <c r="H1541" s="266" t="s">
        <v>1110</v>
      </c>
      <c r="I1541" s="268" t="s">
        <v>7652</v>
      </c>
      <c r="J1541" s="299" t="s">
        <v>985</v>
      </c>
      <c r="K1541" s="259" t="str">
        <f>HYPERLINK("https://okcountyrecords.com/detail/roger+mills/2005-008386","OKCountyRecords: 2005-008386")</f>
        <v>OKCountyRecords: 2005-008386</v>
      </c>
    </row>
    <row r="1542" spans="1:11" ht="32.1" customHeight="1" x14ac:dyDescent="0.25">
      <c r="A1542" s="278" t="s">
        <v>3168</v>
      </c>
      <c r="B1542" s="266"/>
      <c r="C1542" s="266" t="s">
        <v>309</v>
      </c>
      <c r="D1542" s="283" t="s">
        <v>704</v>
      </c>
      <c r="E1542" s="291">
        <v>38701</v>
      </c>
      <c r="F1542" s="295">
        <v>38636</v>
      </c>
      <c r="G1542" s="287" t="s">
        <v>283</v>
      </c>
      <c r="H1542" s="266" t="s">
        <v>756</v>
      </c>
      <c r="I1542" s="268" t="s">
        <v>505</v>
      </c>
      <c r="J1542" s="299" t="s">
        <v>996</v>
      </c>
      <c r="K1542" s="259" t="str">
        <f>HYPERLINK("https://okcountyrecords.com/detail/roger+mills/2005-008515","OKCountyRecords: 2005-008515")</f>
        <v>OKCountyRecords: 2005-008515</v>
      </c>
    </row>
    <row r="1543" spans="1:11" ht="32.1" customHeight="1" x14ac:dyDescent="0.25">
      <c r="A1543" s="278" t="s">
        <v>3170</v>
      </c>
      <c r="B1543" s="266"/>
      <c r="C1543" s="266" t="s">
        <v>309</v>
      </c>
      <c r="D1543" s="283" t="s">
        <v>705</v>
      </c>
      <c r="E1543" s="291">
        <v>38701</v>
      </c>
      <c r="F1543" s="295">
        <v>38636</v>
      </c>
      <c r="G1543" s="287" t="s">
        <v>286</v>
      </c>
      <c r="H1543" s="266" t="s">
        <v>756</v>
      </c>
      <c r="I1543" s="268" t="s">
        <v>7241</v>
      </c>
      <c r="J1543" s="299" t="s">
        <v>996</v>
      </c>
      <c r="K1543" s="259" t="str">
        <f>HYPERLINK("https://okcountyrecords.com/detail/roger+mills/2005-008517","OKCountyRecords: 2005-008517")</f>
        <v>OKCountyRecords: 2005-008517</v>
      </c>
    </row>
    <row r="1544" spans="1:11" ht="32.1" customHeight="1" x14ac:dyDescent="0.25">
      <c r="A1544" s="278" t="s">
        <v>3172</v>
      </c>
      <c r="B1544" s="266"/>
      <c r="C1544" s="266" t="s">
        <v>309</v>
      </c>
      <c r="D1544" s="283" t="s">
        <v>714</v>
      </c>
      <c r="E1544" s="291">
        <v>38701</v>
      </c>
      <c r="F1544" s="295">
        <v>38670</v>
      </c>
      <c r="G1544" s="287" t="s">
        <v>292</v>
      </c>
      <c r="H1544" s="266" t="s">
        <v>756</v>
      </c>
      <c r="I1544" s="268" t="s">
        <v>7657</v>
      </c>
      <c r="J1544" s="299" t="s">
        <v>996</v>
      </c>
      <c r="K1544" s="259" t="str">
        <f>HYPERLINK("https://okcountyrecords.com/detail/roger+mills/2005-008522","OKCountyRecords: 2005-008522")</f>
        <v>OKCountyRecords: 2005-008522</v>
      </c>
    </row>
    <row r="1545" spans="1:11" ht="32.1" customHeight="1" x14ac:dyDescent="0.25">
      <c r="A1545" s="278" t="s">
        <v>3173</v>
      </c>
      <c r="B1545" s="266"/>
      <c r="C1545" s="266" t="s">
        <v>309</v>
      </c>
      <c r="D1545" s="283" t="s">
        <v>709</v>
      </c>
      <c r="E1545" s="291">
        <v>38701</v>
      </c>
      <c r="F1545" s="295">
        <v>38657</v>
      </c>
      <c r="G1545" s="287" t="s">
        <v>1958</v>
      </c>
      <c r="H1545" s="266" t="s">
        <v>756</v>
      </c>
      <c r="I1545" s="268" t="s">
        <v>497</v>
      </c>
      <c r="J1545" s="299" t="s">
        <v>996</v>
      </c>
      <c r="K1545" s="259" t="str">
        <f>HYPERLINK("https://okcountyrecords.com/detail/roger+mills/2005-008523","OKCountyRecords: 2005-008523")</f>
        <v>OKCountyRecords: 2005-008523</v>
      </c>
    </row>
    <row r="1546" spans="1:11" ht="32.1" customHeight="1" x14ac:dyDescent="0.25">
      <c r="A1546" s="278" t="s">
        <v>3171</v>
      </c>
      <c r="B1546" s="266"/>
      <c r="C1546" s="266" t="s">
        <v>309</v>
      </c>
      <c r="D1546" s="283" t="s">
        <v>706</v>
      </c>
      <c r="E1546" s="291">
        <v>38701</v>
      </c>
      <c r="F1546" s="295">
        <v>38637</v>
      </c>
      <c r="G1546" s="287" t="s">
        <v>288</v>
      </c>
      <c r="H1546" s="266" t="s">
        <v>756</v>
      </c>
      <c r="I1546" s="268" t="s">
        <v>497</v>
      </c>
      <c r="J1546" s="299" t="s">
        <v>996</v>
      </c>
      <c r="K1546" s="259" t="str">
        <f>HYPERLINK("https://okcountyrecords.com/detail/roger+mills/2005-008528","OKCountyRecords: 2005-008528")</f>
        <v>OKCountyRecords: 2005-008528</v>
      </c>
    </row>
    <row r="1547" spans="1:11" ht="32.1" customHeight="1" x14ac:dyDescent="0.25">
      <c r="A1547" s="278" t="s">
        <v>3175</v>
      </c>
      <c r="B1547" s="266"/>
      <c r="C1547" s="266" t="s">
        <v>309</v>
      </c>
      <c r="D1547" s="283" t="s">
        <v>707</v>
      </c>
      <c r="E1547" s="291">
        <v>38701</v>
      </c>
      <c r="F1547" s="295">
        <v>38653</v>
      </c>
      <c r="G1547" s="287" t="s">
        <v>708</v>
      </c>
      <c r="H1547" s="266" t="s">
        <v>756</v>
      </c>
      <c r="I1547" s="268" t="s">
        <v>497</v>
      </c>
      <c r="J1547" s="299" t="s">
        <v>996</v>
      </c>
      <c r="K1547" s="259" t="str">
        <f>HYPERLINK("https://okcountyrecords.com/detail/roger+mills/2005-008530","OKCountyRecords: 2005-008530")</f>
        <v>OKCountyRecords: 2005-008530</v>
      </c>
    </row>
    <row r="1548" spans="1:11" ht="32.1" customHeight="1" x14ac:dyDescent="0.25">
      <c r="A1548" s="278" t="s">
        <v>3178</v>
      </c>
      <c r="B1548" s="266"/>
      <c r="C1548" s="266" t="s">
        <v>309</v>
      </c>
      <c r="D1548" s="283" t="s">
        <v>699</v>
      </c>
      <c r="E1548" s="291">
        <v>38709</v>
      </c>
      <c r="F1548" s="295">
        <v>38621</v>
      </c>
      <c r="G1548" s="287" t="s">
        <v>280</v>
      </c>
      <c r="H1548" s="266" t="s">
        <v>755</v>
      </c>
      <c r="I1548" s="268" t="s">
        <v>502</v>
      </c>
      <c r="J1548" s="299" t="s">
        <v>996</v>
      </c>
      <c r="K1548" s="259" t="str">
        <f>HYPERLINK("https://okcountyrecords.com/detail/roger+mills/2005-008721","OKCountyRecords: 2005-008721")</f>
        <v>OKCountyRecords: 2005-008721</v>
      </c>
    </row>
    <row r="1549" spans="1:11" ht="32.1" customHeight="1" x14ac:dyDescent="0.25">
      <c r="A1549" s="278" t="s">
        <v>3180</v>
      </c>
      <c r="B1549" s="266"/>
      <c r="C1549" s="266" t="s">
        <v>309</v>
      </c>
      <c r="D1549" s="283" t="s">
        <v>700</v>
      </c>
      <c r="E1549" s="291">
        <v>38709</v>
      </c>
      <c r="F1549" s="295">
        <v>38621</v>
      </c>
      <c r="G1549" s="287" t="s">
        <v>701</v>
      </c>
      <c r="H1549" s="266" t="s">
        <v>755</v>
      </c>
      <c r="I1549" s="268" t="s">
        <v>488</v>
      </c>
      <c r="J1549" s="299" t="s">
        <v>996</v>
      </c>
      <c r="K1549" s="259" t="str">
        <f>HYPERLINK("https://okcountyrecords.com/detail/roger+mills/2005-008722","OKCountyRecords: 2005-008722")</f>
        <v>OKCountyRecords: 2005-008722</v>
      </c>
    </row>
    <row r="1550" spans="1:11" ht="32.1" customHeight="1" x14ac:dyDescent="0.25">
      <c r="A1550" s="278" t="s">
        <v>3182</v>
      </c>
      <c r="B1550" s="266"/>
      <c r="C1550" s="266" t="s">
        <v>2913</v>
      </c>
      <c r="D1550" s="283" t="s">
        <v>7665</v>
      </c>
      <c r="E1550" s="291">
        <v>38727</v>
      </c>
      <c r="F1550" s="295">
        <v>38698</v>
      </c>
      <c r="G1550" s="287" t="s">
        <v>3184</v>
      </c>
      <c r="H1550" s="266" t="s">
        <v>3185</v>
      </c>
      <c r="I1550" s="268" t="s">
        <v>7219</v>
      </c>
      <c r="J1550" s="299" t="s">
        <v>1095</v>
      </c>
      <c r="K1550" s="259" t="str">
        <f>HYPERLINK("https://okcountyrecords.com/detail/roger+mills/2006-000151","OKCountyRecords: 2006-000151")</f>
        <v>OKCountyRecords: 2006-000151</v>
      </c>
    </row>
    <row r="1551" spans="1:11" ht="32.1" customHeight="1" x14ac:dyDescent="0.25">
      <c r="A1551" s="278" t="s">
        <v>3186</v>
      </c>
      <c r="B1551" s="266"/>
      <c r="C1551" s="266" t="s">
        <v>2913</v>
      </c>
      <c r="D1551" s="283" t="s">
        <v>7668</v>
      </c>
      <c r="E1551" s="291">
        <v>38727</v>
      </c>
      <c r="F1551" s="295">
        <v>38694</v>
      </c>
      <c r="G1551" s="287" t="s">
        <v>286</v>
      </c>
      <c r="H1551" s="266" t="s">
        <v>1110</v>
      </c>
      <c r="I1551" s="268" t="s">
        <v>7584</v>
      </c>
      <c r="J1551" s="299" t="s">
        <v>1095</v>
      </c>
      <c r="K1551" s="259" t="str">
        <f>HYPERLINK("https://okcountyrecords.com/detail/roger+mills/2006-000153","OKCountyRecords: 2006-000153")</f>
        <v>OKCountyRecords: 2006-000153</v>
      </c>
    </row>
    <row r="1552" spans="1:11" ht="32.1" customHeight="1" x14ac:dyDescent="0.25">
      <c r="A1552" s="278" t="s">
        <v>3189</v>
      </c>
      <c r="B1552" s="266"/>
      <c r="C1552" s="266" t="s">
        <v>2913</v>
      </c>
      <c r="D1552" s="283" t="s">
        <v>7670</v>
      </c>
      <c r="E1552" s="291">
        <v>38727</v>
      </c>
      <c r="F1552" s="295">
        <v>38699</v>
      </c>
      <c r="G1552" s="287" t="s">
        <v>3191</v>
      </c>
      <c r="H1552" s="266" t="s">
        <v>1110</v>
      </c>
      <c r="I1552" s="268" t="s">
        <v>502</v>
      </c>
      <c r="J1552" s="299" t="s">
        <v>1095</v>
      </c>
      <c r="K1552" s="259" t="str">
        <f>HYPERLINK("https://okcountyrecords.com/detail/roger+mills/2006-000154","OKCountyRecords: 2006-000154")</f>
        <v>OKCountyRecords: 2006-000154</v>
      </c>
    </row>
    <row r="1553" spans="1:11" ht="32.1" customHeight="1" x14ac:dyDescent="0.25">
      <c r="A1553" s="278" t="s">
        <v>3193</v>
      </c>
      <c r="B1553" s="266"/>
      <c r="C1553" s="266" t="s">
        <v>309</v>
      </c>
      <c r="D1553" s="283" t="s">
        <v>719</v>
      </c>
      <c r="E1553" s="291">
        <v>38733</v>
      </c>
      <c r="F1553" s="295">
        <v>38708</v>
      </c>
      <c r="G1553" s="287" t="s">
        <v>240</v>
      </c>
      <c r="H1553" s="266" t="s">
        <v>720</v>
      </c>
      <c r="I1553" s="268" t="s">
        <v>488</v>
      </c>
      <c r="J1553" s="299" t="s">
        <v>996</v>
      </c>
      <c r="K1553" s="259" t="str">
        <f>HYPERLINK("https://okcountyrecords.com/detail/roger+mills/2006-000321","OKCountyRecords: 2006-000321")</f>
        <v>OKCountyRecords: 2006-000321</v>
      </c>
    </row>
    <row r="1554" spans="1:11" ht="32.1" customHeight="1" x14ac:dyDescent="0.25">
      <c r="A1554" s="278" t="s">
        <v>3196</v>
      </c>
      <c r="B1554" s="266"/>
      <c r="C1554" s="266" t="s">
        <v>309</v>
      </c>
      <c r="D1554" s="283" t="s">
        <v>723</v>
      </c>
      <c r="E1554" s="291">
        <v>38742</v>
      </c>
      <c r="F1554" s="295">
        <v>38725</v>
      </c>
      <c r="G1554" s="287" t="s">
        <v>298</v>
      </c>
      <c r="H1554" s="266" t="s">
        <v>3241</v>
      </c>
      <c r="I1554" s="268" t="s">
        <v>488</v>
      </c>
      <c r="J1554" s="299" t="s">
        <v>996</v>
      </c>
      <c r="K1554" s="259" t="str">
        <f>HYPERLINK("https://okcountyrecords.com/detail/roger+mills/2006-000583","OKCountyRecords: 2006-000583")</f>
        <v>OKCountyRecords: 2006-000583</v>
      </c>
    </row>
    <row r="1555" spans="1:11" ht="32.1" customHeight="1" x14ac:dyDescent="0.25">
      <c r="A1555" s="278" t="s">
        <v>3199</v>
      </c>
      <c r="B1555" s="266"/>
      <c r="C1555" s="266" t="s">
        <v>309</v>
      </c>
      <c r="D1555" s="283" t="s">
        <v>724</v>
      </c>
      <c r="E1555" s="291">
        <v>38747</v>
      </c>
      <c r="F1555" s="295">
        <v>38732</v>
      </c>
      <c r="G1555" s="287" t="s">
        <v>725</v>
      </c>
      <c r="H1555" s="266" t="s">
        <v>3241</v>
      </c>
      <c r="I1555" s="268" t="s">
        <v>488</v>
      </c>
      <c r="J1555" s="299" t="s">
        <v>996</v>
      </c>
      <c r="K1555" s="259" t="str">
        <f>HYPERLINK("https://okcountyrecords.com/detail/roger+mills/2006-000702","OKCountyRecords: 2006-000702")</f>
        <v>OKCountyRecords: 2006-000702</v>
      </c>
    </row>
    <row r="1556" spans="1:11" ht="32.1" customHeight="1" x14ac:dyDescent="0.25">
      <c r="A1556" s="278" t="s">
        <v>3201</v>
      </c>
      <c r="B1556" s="266"/>
      <c r="C1556" s="266" t="s">
        <v>114</v>
      </c>
      <c r="D1556" s="283" t="s">
        <v>7678</v>
      </c>
      <c r="E1556" s="291">
        <v>38749</v>
      </c>
      <c r="F1556" s="295">
        <v>38723</v>
      </c>
      <c r="G1556" s="287" t="s">
        <v>650</v>
      </c>
      <c r="H1556" s="266" t="s">
        <v>3007</v>
      </c>
      <c r="I1556" s="268" t="s">
        <v>7241</v>
      </c>
      <c r="J1556" s="299" t="s">
        <v>996</v>
      </c>
      <c r="K1556" s="259" t="str">
        <f>HYPERLINK("https://okcountyrecords.com/detail/roger+mills/2006-000762","OKCountyRecords: 2006-000762")</f>
        <v>OKCountyRecords: 2006-000762</v>
      </c>
    </row>
    <row r="1557" spans="1:11" ht="32.1" customHeight="1" x14ac:dyDescent="0.25">
      <c r="A1557" s="278" t="s">
        <v>3204</v>
      </c>
      <c r="B1557" s="266"/>
      <c r="C1557" s="266" t="s">
        <v>114</v>
      </c>
      <c r="D1557" s="283" t="s">
        <v>7681</v>
      </c>
      <c r="E1557" s="291">
        <v>38749</v>
      </c>
      <c r="F1557" s="295">
        <v>38677</v>
      </c>
      <c r="G1557" s="287" t="s">
        <v>756</v>
      </c>
      <c r="H1557" s="266" t="s">
        <v>3007</v>
      </c>
      <c r="I1557" s="268" t="s">
        <v>505</v>
      </c>
      <c r="J1557" s="299" t="s">
        <v>996</v>
      </c>
      <c r="K1557" s="259" t="str">
        <f>HYPERLINK("https://okcountyrecords.com/detail/roger+mills/2006-000766","OKCountyRecords: 2006-000766")</f>
        <v>OKCountyRecords: 2006-000766</v>
      </c>
    </row>
    <row r="1558" spans="1:11" ht="32.1" customHeight="1" x14ac:dyDescent="0.25">
      <c r="A1558" s="278" t="s">
        <v>3206</v>
      </c>
      <c r="B1558" s="266"/>
      <c r="C1558" s="266" t="s">
        <v>114</v>
      </c>
      <c r="D1558" s="283" t="s">
        <v>7683</v>
      </c>
      <c r="E1558" s="291">
        <v>38749</v>
      </c>
      <c r="F1558" s="295">
        <v>38651</v>
      </c>
      <c r="G1558" s="287" t="s">
        <v>756</v>
      </c>
      <c r="H1558" s="266" t="s">
        <v>3007</v>
      </c>
      <c r="I1558" s="268" t="s">
        <v>7584</v>
      </c>
      <c r="J1558" s="299" t="s">
        <v>996</v>
      </c>
      <c r="K1558" s="259" t="str">
        <f>HYPERLINK("https://okcountyrecords.com/detail/roger+mills/2006-000767","OKCountyRecords: 2006-000767")</f>
        <v>OKCountyRecords: 2006-000767</v>
      </c>
    </row>
    <row r="1559" spans="1:11" ht="32.1" customHeight="1" x14ac:dyDescent="0.25">
      <c r="A1559" s="278" t="s">
        <v>3208</v>
      </c>
      <c r="B1559" s="266"/>
      <c r="C1559" s="266" t="s">
        <v>114</v>
      </c>
      <c r="D1559" s="283" t="s">
        <v>7685</v>
      </c>
      <c r="E1559" s="291">
        <v>38749</v>
      </c>
      <c r="F1559" s="295">
        <v>38686</v>
      </c>
      <c r="G1559" s="287" t="s">
        <v>756</v>
      </c>
      <c r="H1559" s="266" t="s">
        <v>3007</v>
      </c>
      <c r="I1559" s="268" t="s">
        <v>7686</v>
      </c>
      <c r="J1559" s="299" t="s">
        <v>996</v>
      </c>
      <c r="K1559" s="259" t="str">
        <f>HYPERLINK("https://okcountyrecords.com/detail/roger+mills/2006-000770","OKCountyRecords: 2006-000770")</f>
        <v>OKCountyRecords: 2006-000770</v>
      </c>
    </row>
    <row r="1560" spans="1:11" ht="32.1" customHeight="1" x14ac:dyDescent="0.25">
      <c r="A1560" s="278" t="s">
        <v>3211</v>
      </c>
      <c r="B1560" s="266"/>
      <c r="C1560" s="266" t="s">
        <v>114</v>
      </c>
      <c r="D1560" s="283" t="s">
        <v>7688</v>
      </c>
      <c r="E1560" s="291">
        <v>38749</v>
      </c>
      <c r="F1560" s="295">
        <v>38666</v>
      </c>
      <c r="G1560" s="287" t="s">
        <v>756</v>
      </c>
      <c r="H1560" s="266" t="s">
        <v>3213</v>
      </c>
      <c r="I1560" s="268" t="s">
        <v>497</v>
      </c>
      <c r="J1560" s="299" t="s">
        <v>996</v>
      </c>
      <c r="K1560" s="259" t="str">
        <f>HYPERLINK("https://okcountyrecords.com/detail/roger+mills/2006-000776","OKCountyRecords: 2006-000776")</f>
        <v>OKCountyRecords: 2006-000776</v>
      </c>
    </row>
    <row r="1561" spans="1:11" ht="32.1" customHeight="1" x14ac:dyDescent="0.25">
      <c r="A1561" s="278" t="s">
        <v>3214</v>
      </c>
      <c r="B1561" s="266"/>
      <c r="C1561" s="266" t="s">
        <v>114</v>
      </c>
      <c r="D1561" s="283" t="s">
        <v>7690</v>
      </c>
      <c r="E1561" s="291">
        <v>38749</v>
      </c>
      <c r="F1561" s="295">
        <v>38666</v>
      </c>
      <c r="G1561" s="287" t="s">
        <v>756</v>
      </c>
      <c r="H1561" s="266" t="s">
        <v>3007</v>
      </c>
      <c r="I1561" s="268" t="s">
        <v>497</v>
      </c>
      <c r="J1561" s="299" t="s">
        <v>996</v>
      </c>
      <c r="K1561" s="259" t="str">
        <f>HYPERLINK("https://okcountyrecords.com/detail/roger+mills/2006-000778","OKCountyRecords: 2006-000778")</f>
        <v>OKCountyRecords: 2006-000778</v>
      </c>
    </row>
    <row r="1562" spans="1:11" ht="32.1" customHeight="1" x14ac:dyDescent="0.25">
      <c r="A1562" s="278" t="s">
        <v>3216</v>
      </c>
      <c r="B1562" s="266"/>
      <c r="C1562" s="266" t="s">
        <v>2441</v>
      </c>
      <c r="D1562" s="283" t="s">
        <v>7692</v>
      </c>
      <c r="E1562" s="291">
        <v>38751</v>
      </c>
      <c r="F1562" s="295">
        <v>38733</v>
      </c>
      <c r="G1562" s="287" t="s">
        <v>944</v>
      </c>
      <c r="H1562" s="266" t="s">
        <v>3103</v>
      </c>
      <c r="I1562" s="268" t="s">
        <v>505</v>
      </c>
      <c r="J1562" s="299" t="s">
        <v>1095</v>
      </c>
      <c r="K1562" s="259" t="str">
        <f>HYPERLINK("https://okcountyrecords.com/detail/roger+mills/2006-000870","OKCountyRecords: 2006-000870")</f>
        <v>OKCountyRecords: 2006-000870</v>
      </c>
    </row>
    <row r="1563" spans="1:11" ht="32.1" customHeight="1" x14ac:dyDescent="0.25">
      <c r="A1563" s="278" t="s">
        <v>3221</v>
      </c>
      <c r="B1563" s="266"/>
      <c r="C1563" s="266" t="s">
        <v>309</v>
      </c>
      <c r="D1563" s="283" t="s">
        <v>718</v>
      </c>
      <c r="E1563" s="291">
        <v>38754</v>
      </c>
      <c r="F1563" s="295">
        <v>38693</v>
      </c>
      <c r="G1563" s="287" t="s">
        <v>294</v>
      </c>
      <c r="H1563" s="266" t="s">
        <v>756</v>
      </c>
      <c r="I1563" s="268" t="s">
        <v>717</v>
      </c>
      <c r="J1563" s="299" t="s">
        <v>996</v>
      </c>
      <c r="K1563" s="259" t="str">
        <f>HYPERLINK("https://okcountyrecords.com/detail/roger+mills/2006-000931","OKCountyRecords: 2006-000931")</f>
        <v>OKCountyRecords: 2006-000931</v>
      </c>
    </row>
    <row r="1564" spans="1:11" ht="32.1" customHeight="1" x14ac:dyDescent="0.25">
      <c r="A1564" s="278" t="s">
        <v>3219</v>
      </c>
      <c r="B1564" s="266"/>
      <c r="C1564" s="266" t="s">
        <v>309</v>
      </c>
      <c r="D1564" s="283" t="s">
        <v>710</v>
      </c>
      <c r="E1564" s="291">
        <v>38754</v>
      </c>
      <c r="F1564" s="295">
        <v>38657</v>
      </c>
      <c r="G1564" s="287" t="s">
        <v>249</v>
      </c>
      <c r="H1564" s="266" t="s">
        <v>756</v>
      </c>
      <c r="I1564" s="268" t="s">
        <v>497</v>
      </c>
      <c r="J1564" s="299" t="s">
        <v>996</v>
      </c>
      <c r="K1564" s="259" t="str">
        <f>HYPERLINK("https://okcountyrecords.com/detail/roger+mills/2006-000936","OKCountyRecords: 2006-000936")</f>
        <v>OKCountyRecords: 2006-000936</v>
      </c>
    </row>
    <row r="1565" spans="1:11" ht="32.1" customHeight="1" x14ac:dyDescent="0.25">
      <c r="A1565" s="278" t="s">
        <v>3222</v>
      </c>
      <c r="B1565" s="266"/>
      <c r="C1565" s="266" t="s">
        <v>309</v>
      </c>
      <c r="D1565" s="283" t="s">
        <v>711</v>
      </c>
      <c r="E1565" s="291">
        <v>38754</v>
      </c>
      <c r="F1565" s="295">
        <v>38657</v>
      </c>
      <c r="G1565" s="287" t="s">
        <v>712</v>
      </c>
      <c r="H1565" s="266" t="s">
        <v>756</v>
      </c>
      <c r="I1565" s="268" t="s">
        <v>497</v>
      </c>
      <c r="J1565" s="299" t="s">
        <v>996</v>
      </c>
      <c r="K1565" s="259" t="str">
        <f>HYPERLINK("https://okcountyrecords.com/detail/roger+mills/2006-000937","OKCountyRecords: 2006-000937")</f>
        <v>OKCountyRecords: 2006-000937</v>
      </c>
    </row>
    <row r="1566" spans="1:11" ht="32.1" customHeight="1" x14ac:dyDescent="0.25">
      <c r="A1566" s="278" t="s">
        <v>3224</v>
      </c>
      <c r="B1566" s="266"/>
      <c r="C1566" s="266" t="s">
        <v>309</v>
      </c>
      <c r="D1566" s="283" t="s">
        <v>716</v>
      </c>
      <c r="E1566" s="291">
        <v>38754</v>
      </c>
      <c r="F1566" s="295">
        <v>38677</v>
      </c>
      <c r="G1566" s="287" t="s">
        <v>535</v>
      </c>
      <c r="H1566" s="266" t="s">
        <v>756</v>
      </c>
      <c r="I1566" s="268" t="s">
        <v>717</v>
      </c>
      <c r="J1566" s="299" t="s">
        <v>996</v>
      </c>
      <c r="K1566" s="259" t="str">
        <f>HYPERLINK("https://okcountyrecords.com/detail/roger+mills/2006-000938","OKCountyRecords: 2006-000938")</f>
        <v>OKCountyRecords: 2006-000938</v>
      </c>
    </row>
    <row r="1567" spans="1:11" ht="32.1" customHeight="1" x14ac:dyDescent="0.25">
      <c r="A1567" s="278" t="s">
        <v>3226</v>
      </c>
      <c r="B1567" s="266"/>
      <c r="C1567" s="266" t="s">
        <v>309</v>
      </c>
      <c r="D1567" s="283" t="s">
        <v>713</v>
      </c>
      <c r="E1567" s="291">
        <v>38754</v>
      </c>
      <c r="F1567" s="295">
        <v>38657</v>
      </c>
      <c r="G1567" s="287" t="s">
        <v>252</v>
      </c>
      <c r="H1567" s="266" t="s">
        <v>756</v>
      </c>
      <c r="I1567" s="268" t="s">
        <v>497</v>
      </c>
      <c r="J1567" s="299" t="s">
        <v>996</v>
      </c>
      <c r="K1567" s="259" t="str">
        <f>HYPERLINK("https://okcountyrecords.com/detail/roger+mills/2006-000939","OKCountyRecords: 2006-000939")</f>
        <v>OKCountyRecords: 2006-000939</v>
      </c>
    </row>
    <row r="1568" spans="1:11" ht="32.1" customHeight="1" x14ac:dyDescent="0.25">
      <c r="A1568" s="278" t="s">
        <v>3228</v>
      </c>
      <c r="B1568" s="266"/>
      <c r="C1568" s="266" t="s">
        <v>309</v>
      </c>
      <c r="D1568" s="283" t="s">
        <v>640</v>
      </c>
      <c r="E1568" s="291">
        <v>38762</v>
      </c>
      <c r="F1568" s="295">
        <v>38001</v>
      </c>
      <c r="G1568" s="287" t="s">
        <v>392</v>
      </c>
      <c r="H1568" s="266" t="s">
        <v>266</v>
      </c>
      <c r="I1568" s="268" t="s">
        <v>488</v>
      </c>
      <c r="J1568" s="299" t="s">
        <v>996</v>
      </c>
      <c r="K1568" s="259" t="str">
        <f>HYPERLINK("https://okcountyrecords.com/detail/roger+mills/2006-001223","OKCountyRecords: 2006-001223")</f>
        <v>OKCountyRecords: 2006-001223</v>
      </c>
    </row>
    <row r="1569" spans="1:11" ht="32.1" customHeight="1" x14ac:dyDescent="0.25">
      <c r="A1569" s="278" t="s">
        <v>3230</v>
      </c>
      <c r="B1569" s="266"/>
      <c r="C1569" s="266" t="s">
        <v>114</v>
      </c>
      <c r="D1569" s="283" t="s">
        <v>7703</v>
      </c>
      <c r="E1569" s="291">
        <v>38765</v>
      </c>
      <c r="F1569" s="295">
        <v>38748</v>
      </c>
      <c r="G1569" s="287" t="s">
        <v>755</v>
      </c>
      <c r="H1569" s="266" t="s">
        <v>3232</v>
      </c>
      <c r="I1569" s="268" t="s">
        <v>3233</v>
      </c>
      <c r="J1569" s="299" t="s">
        <v>996</v>
      </c>
      <c r="K1569" s="259" t="str">
        <f>HYPERLINK("https://okcountyrecords.com/detail/roger+mills/2006-001349","OKCountyRecords: 2006-001349")</f>
        <v>OKCountyRecords: 2006-001349</v>
      </c>
    </row>
    <row r="1570" spans="1:11" ht="32.1" customHeight="1" x14ac:dyDescent="0.25">
      <c r="A1570" s="278" t="s">
        <v>3234</v>
      </c>
      <c r="B1570" s="266"/>
      <c r="C1570" s="266" t="s">
        <v>309</v>
      </c>
      <c r="D1570" s="283" t="s">
        <v>721</v>
      </c>
      <c r="E1570" s="291">
        <v>38785</v>
      </c>
      <c r="F1570" s="295">
        <v>38720</v>
      </c>
      <c r="G1570" s="287" t="s">
        <v>3236</v>
      </c>
      <c r="H1570" s="266" t="s">
        <v>756</v>
      </c>
      <c r="I1570" s="268" t="s">
        <v>502</v>
      </c>
      <c r="J1570" s="299" t="s">
        <v>996</v>
      </c>
      <c r="K1570" s="259" t="str">
        <f>HYPERLINK("https://okcountyrecords.com/detail/roger+mills/2006-001886","OKCountyRecords: 2006-001886")</f>
        <v>OKCountyRecords: 2006-001886</v>
      </c>
    </row>
    <row r="1571" spans="1:11" ht="32.1" customHeight="1" x14ac:dyDescent="0.25">
      <c r="A1571" s="278" t="s">
        <v>3237</v>
      </c>
      <c r="B1571" s="266"/>
      <c r="C1571" s="266" t="s">
        <v>114</v>
      </c>
      <c r="D1571" s="283" t="s">
        <v>7708</v>
      </c>
      <c r="E1571" s="291">
        <v>38789</v>
      </c>
      <c r="F1571" s="295">
        <v>38737</v>
      </c>
      <c r="G1571" s="287" t="s">
        <v>3239</v>
      </c>
      <c r="H1571" s="266" t="s">
        <v>3007</v>
      </c>
      <c r="I1571" s="268" t="s">
        <v>717</v>
      </c>
      <c r="J1571" s="299" t="s">
        <v>996</v>
      </c>
      <c r="K1571" s="259" t="str">
        <f>HYPERLINK("https://okcountyrecords.com/detail/roger+mills/2006-001930","OKCountyRecords: 2006-001930")</f>
        <v>OKCountyRecords: 2006-001930</v>
      </c>
    </row>
    <row r="1572" spans="1:11" ht="32.1" customHeight="1" x14ac:dyDescent="0.25">
      <c r="A1572" s="278" t="s">
        <v>3240</v>
      </c>
      <c r="B1572" s="266"/>
      <c r="C1572" s="266" t="s">
        <v>309</v>
      </c>
      <c r="D1572" s="283" t="s">
        <v>731</v>
      </c>
      <c r="E1572" s="291">
        <v>38792</v>
      </c>
      <c r="F1572" s="295">
        <v>38760</v>
      </c>
      <c r="G1572" s="287" t="s">
        <v>304</v>
      </c>
      <c r="H1572" s="266" t="s">
        <v>3241</v>
      </c>
      <c r="I1572" s="268" t="s">
        <v>502</v>
      </c>
      <c r="J1572" s="299" t="s">
        <v>996</v>
      </c>
      <c r="K1572" s="259" t="str">
        <f>HYPERLINK("https://okcountyrecords.com/detail/roger+mills/2006-002044","OKCountyRecords: 2006-002044")</f>
        <v>OKCountyRecords: 2006-002044</v>
      </c>
    </row>
    <row r="1573" spans="1:11" ht="32.1" customHeight="1" x14ac:dyDescent="0.25">
      <c r="A1573" s="278" t="s">
        <v>3242</v>
      </c>
      <c r="B1573" s="266"/>
      <c r="C1573" s="266" t="s">
        <v>114</v>
      </c>
      <c r="D1573" s="283" t="s">
        <v>7713</v>
      </c>
      <c r="E1573" s="291">
        <v>38804</v>
      </c>
      <c r="F1573" s="295">
        <v>38757</v>
      </c>
      <c r="G1573" s="287" t="s">
        <v>2988</v>
      </c>
      <c r="H1573" s="266" t="s">
        <v>487</v>
      </c>
      <c r="I1573" s="268" t="s">
        <v>488</v>
      </c>
      <c r="J1573" s="299" t="s">
        <v>996</v>
      </c>
      <c r="K1573" s="259" t="str">
        <f>HYPERLINK("https://okcountyrecords.com/detail/roger+mills/2006-002339","OKCountyRecords: 2006-002339")</f>
        <v>OKCountyRecords: 2006-002339</v>
      </c>
    </row>
    <row r="1574" spans="1:11" ht="32.1" customHeight="1" x14ac:dyDescent="0.25">
      <c r="A1574" s="278" t="s">
        <v>3244</v>
      </c>
      <c r="B1574" s="266"/>
      <c r="C1574" s="266" t="s">
        <v>114</v>
      </c>
      <c r="D1574" s="283" t="s">
        <v>7716</v>
      </c>
      <c r="E1574" s="291">
        <v>38806</v>
      </c>
      <c r="F1574" s="295">
        <v>38687</v>
      </c>
      <c r="G1574" s="287" t="s">
        <v>3239</v>
      </c>
      <c r="H1574" s="266" t="s">
        <v>3246</v>
      </c>
      <c r="I1574" s="268" t="s">
        <v>3247</v>
      </c>
      <c r="J1574" s="299" t="s">
        <v>996</v>
      </c>
      <c r="K1574" s="259" t="str">
        <f>HYPERLINK("https://okcountyrecords.com/detail/roger+mills/2006-002436","OKCountyRecords: 2006-002436")</f>
        <v>OKCountyRecords: 2006-002436</v>
      </c>
    </row>
    <row r="1575" spans="1:11" ht="32.1" customHeight="1" x14ac:dyDescent="0.25">
      <c r="A1575" s="278" t="s">
        <v>3248</v>
      </c>
      <c r="B1575" s="266"/>
      <c r="C1575" s="266" t="s">
        <v>114</v>
      </c>
      <c r="D1575" s="283" t="s">
        <v>7719</v>
      </c>
      <c r="E1575" s="291">
        <v>38806</v>
      </c>
      <c r="F1575" s="295">
        <v>38687</v>
      </c>
      <c r="G1575" s="287" t="s">
        <v>3239</v>
      </c>
      <c r="H1575" s="266" t="s">
        <v>3246</v>
      </c>
      <c r="I1575" s="268" t="s">
        <v>3247</v>
      </c>
      <c r="J1575" s="299" t="s">
        <v>996</v>
      </c>
      <c r="K1575" s="259" t="str">
        <f>HYPERLINK("https://okcountyrecords.com/detail/roger+mills/2006-002437","OKCountyRecords: 2006-002437")</f>
        <v>OKCountyRecords: 2006-002437</v>
      </c>
    </row>
    <row r="1576" spans="1:11" ht="32.1" customHeight="1" x14ac:dyDescent="0.25">
      <c r="A1576" s="278" t="s">
        <v>3250</v>
      </c>
      <c r="B1576" s="266"/>
      <c r="C1576" s="266" t="s">
        <v>114</v>
      </c>
      <c r="D1576" s="283" t="s">
        <v>7721</v>
      </c>
      <c r="E1576" s="291">
        <v>38806</v>
      </c>
      <c r="F1576" s="295">
        <v>38702</v>
      </c>
      <c r="G1576" s="287" t="s">
        <v>3239</v>
      </c>
      <c r="H1576" s="266" t="s">
        <v>3246</v>
      </c>
      <c r="I1576" s="268" t="s">
        <v>717</v>
      </c>
      <c r="J1576" s="299" t="s">
        <v>996</v>
      </c>
      <c r="K1576" s="259" t="str">
        <f>HYPERLINK("https://okcountyrecords.com/detail/roger+mills/2006-002438","OKCountyRecords: 2006-002438")</f>
        <v>OKCountyRecords: 2006-002438</v>
      </c>
    </row>
    <row r="1577" spans="1:11" ht="32.1" customHeight="1" x14ac:dyDescent="0.25">
      <c r="A1577" s="278" t="s">
        <v>3252</v>
      </c>
      <c r="B1577" s="266"/>
      <c r="C1577" s="266" t="s">
        <v>1196</v>
      </c>
      <c r="D1577" s="283" t="s">
        <v>7723</v>
      </c>
      <c r="E1577" s="291">
        <v>38807</v>
      </c>
      <c r="F1577" s="295">
        <v>38691</v>
      </c>
      <c r="G1577" s="287" t="s">
        <v>535</v>
      </c>
      <c r="H1577" s="266" t="s">
        <v>3239</v>
      </c>
      <c r="I1577" s="268" t="s">
        <v>242</v>
      </c>
      <c r="J1577" s="299" t="s">
        <v>1095</v>
      </c>
      <c r="K1577" s="259" t="str">
        <f>HYPERLINK("https://okcountyrecords.com/detail/roger+mills/2006-002508","OKCountyRecords: 2006-002508")</f>
        <v>OKCountyRecords: 2006-002508</v>
      </c>
    </row>
    <row r="1578" spans="1:11" ht="32.1" customHeight="1" x14ac:dyDescent="0.25">
      <c r="A1578" s="278" t="s">
        <v>3255</v>
      </c>
      <c r="B1578" s="266"/>
      <c r="C1578" s="266" t="s">
        <v>726</v>
      </c>
      <c r="D1578" s="283" t="s">
        <v>727</v>
      </c>
      <c r="E1578" s="291">
        <v>38810</v>
      </c>
      <c r="F1578" s="295">
        <v>38748</v>
      </c>
      <c r="G1578" s="287" t="s">
        <v>611</v>
      </c>
      <c r="H1578" s="266" t="s">
        <v>950</v>
      </c>
      <c r="I1578" s="268" t="s">
        <v>502</v>
      </c>
      <c r="J1578" s="299" t="s">
        <v>996</v>
      </c>
      <c r="K1578" s="259" t="str">
        <f>HYPERLINK("https://okcountyrecords.com/detail/roger+mills/2006-002590","OKCountyRecords: 2006-002590")</f>
        <v>OKCountyRecords: 2006-002590</v>
      </c>
    </row>
    <row r="1579" spans="1:11" ht="32.1" customHeight="1" x14ac:dyDescent="0.25">
      <c r="A1579" s="278" t="s">
        <v>3257</v>
      </c>
      <c r="B1579" s="266"/>
      <c r="C1579" s="266" t="s">
        <v>3082</v>
      </c>
      <c r="D1579" s="283" t="s">
        <v>7728</v>
      </c>
      <c r="E1579" s="291">
        <v>38813</v>
      </c>
      <c r="F1579" s="295">
        <v>38798</v>
      </c>
      <c r="G1579" s="287" t="s">
        <v>487</v>
      </c>
      <c r="H1579" s="266" t="s">
        <v>3259</v>
      </c>
      <c r="I1579" s="268" t="s">
        <v>488</v>
      </c>
      <c r="J1579" s="299" t="s">
        <v>996</v>
      </c>
      <c r="K1579" s="259" t="str">
        <f>HYPERLINK("https://okcountyrecords.com/detail/roger+mills/2006-002685","OKCountyRecords: 2006-002685")</f>
        <v>OKCountyRecords: 2006-002685</v>
      </c>
    </row>
    <row r="1580" spans="1:11" ht="32.1" customHeight="1" x14ac:dyDescent="0.25">
      <c r="A1580" s="278" t="s">
        <v>3260</v>
      </c>
      <c r="B1580" s="266"/>
      <c r="C1580" s="266" t="s">
        <v>309</v>
      </c>
      <c r="D1580" s="283" t="s">
        <v>729</v>
      </c>
      <c r="E1580" s="291">
        <v>38824</v>
      </c>
      <c r="F1580" s="295">
        <v>38748</v>
      </c>
      <c r="G1580" s="287" t="s">
        <v>730</v>
      </c>
      <c r="H1580" s="266" t="s">
        <v>756</v>
      </c>
      <c r="I1580" s="268" t="s">
        <v>7241</v>
      </c>
      <c r="J1580" s="299" t="s">
        <v>996</v>
      </c>
      <c r="K1580" s="259" t="str">
        <f>HYPERLINK("https://okcountyrecords.com/detail/roger+mills/2006-002915","OKCountyRecords: 2006-002915")</f>
        <v>OKCountyRecords: 2006-002915</v>
      </c>
    </row>
    <row r="1581" spans="1:11" ht="32.1" customHeight="1" x14ac:dyDescent="0.25">
      <c r="A1581" s="278" t="s">
        <v>3262</v>
      </c>
      <c r="B1581" s="266"/>
      <c r="C1581" s="266" t="s">
        <v>1623</v>
      </c>
      <c r="D1581" s="283" t="s">
        <v>4248</v>
      </c>
      <c r="E1581" s="291">
        <v>38856</v>
      </c>
      <c r="F1581" s="295">
        <v>38855</v>
      </c>
      <c r="G1581" s="287" t="s">
        <v>3056</v>
      </c>
      <c r="H1581" s="266" t="s">
        <v>3264</v>
      </c>
      <c r="I1581" s="268" t="s">
        <v>7219</v>
      </c>
      <c r="J1581" s="299" t="s">
        <v>1625</v>
      </c>
      <c r="K1581" s="259" t="str">
        <f>HYPERLINK("https://okcountyrecords.com/detail/roger+mills/2006-003765","OKCountyRecords: 2006-003765")</f>
        <v>OKCountyRecords: 2006-003765</v>
      </c>
    </row>
    <row r="1582" spans="1:11" ht="32.1" customHeight="1" x14ac:dyDescent="0.25">
      <c r="A1582" s="278" t="s">
        <v>3265</v>
      </c>
      <c r="B1582" s="266"/>
      <c r="C1582" s="266" t="s">
        <v>114</v>
      </c>
      <c r="D1582" s="283" t="s">
        <v>7735</v>
      </c>
      <c r="E1582" s="291">
        <v>38863</v>
      </c>
      <c r="F1582" s="295">
        <v>38769</v>
      </c>
      <c r="G1582" s="287" t="s">
        <v>3239</v>
      </c>
      <c r="H1582" s="266" t="s">
        <v>950</v>
      </c>
      <c r="I1582" s="268" t="s">
        <v>502</v>
      </c>
      <c r="J1582" s="299" t="s">
        <v>996</v>
      </c>
      <c r="K1582" s="259" t="str">
        <f>HYPERLINK("https://okcountyrecords.com/detail/roger+mills/2006-003963","OKCountyRecords: 2006-003963")</f>
        <v>OKCountyRecords: 2006-003963</v>
      </c>
    </row>
    <row r="1583" spans="1:11" ht="32.1" customHeight="1" x14ac:dyDescent="0.25">
      <c r="A1583" s="278" t="s">
        <v>3267</v>
      </c>
      <c r="B1583" s="266"/>
      <c r="C1583" s="266" t="s">
        <v>3082</v>
      </c>
      <c r="D1583" s="283" t="s">
        <v>7738</v>
      </c>
      <c r="E1583" s="291">
        <v>38867</v>
      </c>
      <c r="F1583" s="295">
        <v>38862</v>
      </c>
      <c r="G1583" s="287" t="s">
        <v>3269</v>
      </c>
      <c r="H1583" s="266" t="s">
        <v>3270</v>
      </c>
      <c r="I1583" s="268" t="s">
        <v>488</v>
      </c>
      <c r="J1583" s="299" t="s">
        <v>996</v>
      </c>
      <c r="K1583" s="259" t="str">
        <f>HYPERLINK("https://okcountyrecords.com/detail/roger+mills/2006-003993","OKCountyRecords: 2006-003993")</f>
        <v>OKCountyRecords: 2006-003993</v>
      </c>
    </row>
    <row r="1584" spans="1:11" ht="32.1" customHeight="1" x14ac:dyDescent="0.25">
      <c r="A1584" s="278" t="s">
        <v>3271</v>
      </c>
      <c r="B1584" s="266"/>
      <c r="C1584" s="266" t="s">
        <v>3082</v>
      </c>
      <c r="D1584" s="283" t="s">
        <v>7741</v>
      </c>
      <c r="E1584" s="291">
        <v>38897</v>
      </c>
      <c r="F1584" s="295">
        <v>38890</v>
      </c>
      <c r="G1584" s="287" t="s">
        <v>3273</v>
      </c>
      <c r="H1584" s="266" t="s">
        <v>3274</v>
      </c>
      <c r="I1584" s="268" t="s">
        <v>488</v>
      </c>
      <c r="J1584" s="299" t="s">
        <v>996</v>
      </c>
      <c r="K1584" s="259" t="str">
        <f>HYPERLINK("https://okcountyrecords.com/detail/roger+mills/2006-004747","OKCountyRecords: 2006-004747")</f>
        <v>OKCountyRecords: 2006-004747</v>
      </c>
    </row>
    <row r="1585" spans="1:11" ht="32.1" customHeight="1" x14ac:dyDescent="0.25">
      <c r="A1585" s="278" t="s">
        <v>3275</v>
      </c>
      <c r="B1585" s="266"/>
      <c r="C1585" s="266" t="s">
        <v>114</v>
      </c>
      <c r="D1585" s="283" t="s">
        <v>7744</v>
      </c>
      <c r="E1585" s="291">
        <v>38911</v>
      </c>
      <c r="F1585" s="295">
        <v>38905</v>
      </c>
      <c r="G1585" s="287" t="s">
        <v>3277</v>
      </c>
      <c r="H1585" s="266" t="s">
        <v>3278</v>
      </c>
      <c r="I1585" s="268" t="s">
        <v>488</v>
      </c>
      <c r="J1585" s="299" t="s">
        <v>996</v>
      </c>
      <c r="K1585" s="259" t="str">
        <f>HYPERLINK("https://okcountyrecords.com/detail/roger+mills/2006-005043","OKCountyRecords: 2006-005043")</f>
        <v>OKCountyRecords: 2006-005043</v>
      </c>
    </row>
    <row r="1586" spans="1:11" ht="32.1" customHeight="1" x14ac:dyDescent="0.25">
      <c r="A1586" s="278" t="s">
        <v>3279</v>
      </c>
      <c r="B1586" s="266"/>
      <c r="C1586" s="266" t="s">
        <v>114</v>
      </c>
      <c r="D1586" s="283" t="s">
        <v>7747</v>
      </c>
      <c r="E1586" s="291">
        <v>38912</v>
      </c>
      <c r="F1586" s="295">
        <v>38909</v>
      </c>
      <c r="G1586" s="287" t="s">
        <v>3281</v>
      </c>
      <c r="H1586" s="266" t="s">
        <v>3282</v>
      </c>
      <c r="I1586" s="268" t="s">
        <v>488</v>
      </c>
      <c r="J1586" s="299" t="s">
        <v>996</v>
      </c>
      <c r="K1586" s="259" t="str">
        <f>HYPERLINK("https://okcountyrecords.com/detail/roger+mills/2006-005081","OKCountyRecords: 2006-005081")</f>
        <v>OKCountyRecords: 2006-005081</v>
      </c>
    </row>
    <row r="1587" spans="1:11" ht="32.1" customHeight="1" x14ac:dyDescent="0.25">
      <c r="A1587" s="278" t="s">
        <v>3283</v>
      </c>
      <c r="B1587" s="266"/>
      <c r="C1587" s="266" t="s">
        <v>3284</v>
      </c>
      <c r="D1587" s="283" t="s">
        <v>7750</v>
      </c>
      <c r="E1587" s="291">
        <v>38915</v>
      </c>
      <c r="F1587" s="295">
        <v>38869</v>
      </c>
      <c r="G1587" s="287" t="s">
        <v>3286</v>
      </c>
      <c r="H1587" s="266" t="s">
        <v>1110</v>
      </c>
      <c r="I1587" s="268" t="s">
        <v>6713</v>
      </c>
      <c r="J1587" s="299" t="s">
        <v>996</v>
      </c>
      <c r="K1587" s="259" t="str">
        <f>HYPERLINK("https://okcountyrecords.com/detail/roger+mills/2006-005146","OKCountyRecords: 2006-005146")</f>
        <v>OKCountyRecords: 2006-005146</v>
      </c>
    </row>
    <row r="1588" spans="1:11" ht="32.1" customHeight="1" x14ac:dyDescent="0.25">
      <c r="A1588" s="278" t="s">
        <v>3287</v>
      </c>
      <c r="B1588" s="266"/>
      <c r="C1588" s="266" t="s">
        <v>2441</v>
      </c>
      <c r="D1588" s="283" t="s">
        <v>7753</v>
      </c>
      <c r="E1588" s="291">
        <v>38961</v>
      </c>
      <c r="F1588" s="295">
        <v>38861</v>
      </c>
      <c r="G1588" s="287" t="s">
        <v>3289</v>
      </c>
      <c r="H1588" s="266" t="s">
        <v>3290</v>
      </c>
      <c r="I1588" s="268" t="s">
        <v>7219</v>
      </c>
      <c r="J1588" s="299" t="s">
        <v>1095</v>
      </c>
      <c r="K1588" s="259" t="str">
        <f>HYPERLINK("https://okcountyrecords.com/detail/roger+mills/2006-006122","OKCountyRecords: 2006-006122")</f>
        <v>OKCountyRecords: 2006-006122</v>
      </c>
    </row>
    <row r="1589" spans="1:11" ht="32.1" customHeight="1" x14ac:dyDescent="0.25">
      <c r="A1589" s="278" t="s">
        <v>3291</v>
      </c>
      <c r="B1589" s="266"/>
      <c r="C1589" s="266" t="s">
        <v>2902</v>
      </c>
      <c r="D1589" s="283" t="s">
        <v>7756</v>
      </c>
      <c r="E1589" s="291">
        <v>38982</v>
      </c>
      <c r="F1589" s="295">
        <v>38717</v>
      </c>
      <c r="G1589" s="287" t="s">
        <v>3293</v>
      </c>
      <c r="H1589" s="266" t="s">
        <v>3294</v>
      </c>
      <c r="I1589" s="268" t="s">
        <v>717</v>
      </c>
      <c r="J1589" s="299" t="s">
        <v>996</v>
      </c>
      <c r="K1589" s="259" t="str">
        <f>HYPERLINK("https://okcountyrecords.com/detail/roger+mills/2006-006475","OKCountyRecords: 2006-006475")</f>
        <v>OKCountyRecords: 2006-006475</v>
      </c>
    </row>
    <row r="1590" spans="1:11" ht="32.1" customHeight="1" x14ac:dyDescent="0.25">
      <c r="A1590" s="278" t="s">
        <v>3296</v>
      </c>
      <c r="B1590" s="266"/>
      <c r="C1590" s="266" t="s">
        <v>3082</v>
      </c>
      <c r="D1590" s="283" t="s">
        <v>7759</v>
      </c>
      <c r="E1590" s="291">
        <v>39029</v>
      </c>
      <c r="F1590" s="295">
        <v>39009</v>
      </c>
      <c r="G1590" s="287" t="s">
        <v>3298</v>
      </c>
      <c r="H1590" s="266" t="s">
        <v>3299</v>
      </c>
      <c r="I1590" s="268" t="s">
        <v>488</v>
      </c>
      <c r="J1590" s="299" t="s">
        <v>996</v>
      </c>
      <c r="K1590" s="259" t="str">
        <f>HYPERLINK("https://okcountyrecords.com/detail/roger+mills/2006-007198","OKCountyRecords: 2006-007198")</f>
        <v>OKCountyRecords: 2006-007198</v>
      </c>
    </row>
    <row r="1591" spans="1:11" ht="32.1" customHeight="1" x14ac:dyDescent="0.25">
      <c r="A1591" s="278" t="s">
        <v>3300</v>
      </c>
      <c r="B1591" s="266"/>
      <c r="C1591" s="266" t="s">
        <v>114</v>
      </c>
      <c r="D1591" s="283" t="s">
        <v>7762</v>
      </c>
      <c r="E1591" s="291">
        <v>39104</v>
      </c>
      <c r="F1591" s="295">
        <v>39052</v>
      </c>
      <c r="G1591" s="287" t="s">
        <v>3302</v>
      </c>
      <c r="H1591" s="266" t="s">
        <v>3303</v>
      </c>
      <c r="I1591" s="268" t="s">
        <v>488</v>
      </c>
      <c r="J1591" s="299" t="s">
        <v>996</v>
      </c>
      <c r="K1591" s="259" t="str">
        <f>HYPERLINK("https://okcountyrecords.com/detail/roger+mills/2007-000328","OKCountyRecords: 2007-000328")</f>
        <v>OKCountyRecords: 2007-000328</v>
      </c>
    </row>
    <row r="1592" spans="1:11" ht="32.1" customHeight="1" x14ac:dyDescent="0.25">
      <c r="A1592" s="278" t="s">
        <v>3304</v>
      </c>
      <c r="B1592" s="266"/>
      <c r="C1592" s="266" t="s">
        <v>2746</v>
      </c>
      <c r="D1592" s="283" t="s">
        <v>7765</v>
      </c>
      <c r="E1592" s="291">
        <v>39133</v>
      </c>
      <c r="F1592" s="295">
        <v>36835</v>
      </c>
      <c r="G1592" s="287" t="s">
        <v>7767</v>
      </c>
      <c r="H1592" s="266" t="s">
        <v>1110</v>
      </c>
      <c r="I1592" s="268" t="s">
        <v>7768</v>
      </c>
      <c r="J1592" s="299" t="s">
        <v>1095</v>
      </c>
      <c r="K1592" s="259" t="str">
        <f>HYPERLINK("https://okcountyrecords.com/detail/roger+mills/2007-000723","OKCountyRecords: 2007-000723")</f>
        <v>OKCountyRecords: 2007-000723</v>
      </c>
    </row>
    <row r="1593" spans="1:11" ht="32.1" customHeight="1" x14ac:dyDescent="0.25">
      <c r="A1593" s="278" t="s">
        <v>3308</v>
      </c>
      <c r="B1593" s="266"/>
      <c r="C1593" s="266" t="s">
        <v>114</v>
      </c>
      <c r="D1593" s="283" t="s">
        <v>7770</v>
      </c>
      <c r="E1593" s="291">
        <v>39162</v>
      </c>
      <c r="F1593" s="295">
        <v>38861</v>
      </c>
      <c r="G1593" s="287" t="s">
        <v>3310</v>
      </c>
      <c r="H1593" s="266" t="s">
        <v>3311</v>
      </c>
      <c r="I1593" s="268" t="s">
        <v>3312</v>
      </c>
      <c r="J1593" s="299" t="s">
        <v>996</v>
      </c>
      <c r="K1593" s="259" t="str">
        <f>HYPERLINK("https://okcountyrecords.com/detail/roger+mills/2007-001310","OKCountyRecords: 2007-001310")</f>
        <v>OKCountyRecords: 2007-001310</v>
      </c>
    </row>
    <row r="1594" spans="1:11" ht="32.1" customHeight="1" x14ac:dyDescent="0.25">
      <c r="A1594" s="278" t="s">
        <v>3313</v>
      </c>
      <c r="B1594" s="266"/>
      <c r="C1594" s="266" t="s">
        <v>1623</v>
      </c>
      <c r="D1594" s="283" t="s">
        <v>4249</v>
      </c>
      <c r="E1594" s="291">
        <v>39167</v>
      </c>
      <c r="F1594" s="295">
        <v>39160</v>
      </c>
      <c r="G1594" s="287" t="s">
        <v>3315</v>
      </c>
      <c r="H1594" s="266" t="s">
        <v>944</v>
      </c>
      <c r="I1594" s="268" t="s">
        <v>7219</v>
      </c>
      <c r="J1594" s="299" t="s">
        <v>1625</v>
      </c>
      <c r="K1594" s="259" t="str">
        <f>HYPERLINK("https://okcountyrecords.com/detail/roger+mills/2007-001374","OKCountyRecords: 2007-001374")</f>
        <v>OKCountyRecords: 2007-001374</v>
      </c>
    </row>
    <row r="1595" spans="1:11" ht="32.1" customHeight="1" x14ac:dyDescent="0.25">
      <c r="A1595" s="278" t="s">
        <v>3317</v>
      </c>
      <c r="B1595" s="266"/>
      <c r="C1595" s="266" t="s">
        <v>2506</v>
      </c>
      <c r="D1595" s="283" t="s">
        <v>4167</v>
      </c>
      <c r="E1595" s="291">
        <v>39197</v>
      </c>
      <c r="F1595" s="295">
        <v>39162</v>
      </c>
      <c r="G1595" s="287" t="s">
        <v>3319</v>
      </c>
      <c r="H1595" s="266" t="s">
        <v>3320</v>
      </c>
      <c r="I1595" s="268" t="s">
        <v>7776</v>
      </c>
      <c r="J1595" s="299" t="s">
        <v>985</v>
      </c>
      <c r="K1595" s="259" t="str">
        <f>HYPERLINK("https://okcountyrecords.com/detail/roger+mills/2007-001848","OKCountyRecords: 2007-001848")</f>
        <v>OKCountyRecords: 2007-001848</v>
      </c>
    </row>
    <row r="1596" spans="1:11" ht="32.1" customHeight="1" x14ac:dyDescent="0.25">
      <c r="A1596" s="278" t="s">
        <v>3322</v>
      </c>
      <c r="B1596" s="266"/>
      <c r="C1596" s="266" t="s">
        <v>2441</v>
      </c>
      <c r="D1596" s="283" t="s">
        <v>7778</v>
      </c>
      <c r="E1596" s="291">
        <v>39262</v>
      </c>
      <c r="F1596" s="295">
        <v>38798</v>
      </c>
      <c r="G1596" s="287" t="s">
        <v>487</v>
      </c>
      <c r="H1596" s="266" t="s">
        <v>3324</v>
      </c>
      <c r="I1596" s="268" t="s">
        <v>488</v>
      </c>
      <c r="J1596" s="299" t="s">
        <v>1095</v>
      </c>
      <c r="K1596" s="259" t="str">
        <f>HYPERLINK("https://okcountyrecords.com/detail/roger+mills/2007-002804","OKCountyRecords: 2007-002804")</f>
        <v>OKCountyRecords: 2007-002804</v>
      </c>
    </row>
    <row r="1597" spans="1:11" ht="32.1" customHeight="1" x14ac:dyDescent="0.25">
      <c r="A1597" s="278" t="s">
        <v>3325</v>
      </c>
      <c r="B1597" s="266"/>
      <c r="C1597" s="266" t="s">
        <v>2441</v>
      </c>
      <c r="D1597" s="283" t="s">
        <v>7781</v>
      </c>
      <c r="E1597" s="291">
        <v>39269</v>
      </c>
      <c r="F1597" s="295">
        <v>39268</v>
      </c>
      <c r="G1597" s="287" t="s">
        <v>2988</v>
      </c>
      <c r="H1597" s="266" t="s">
        <v>487</v>
      </c>
      <c r="I1597" s="268" t="s">
        <v>7783</v>
      </c>
      <c r="J1597" s="299" t="s">
        <v>1095</v>
      </c>
      <c r="K1597" s="259" t="str">
        <f>HYPERLINK("https://okcountyrecords.com/detail/roger+mills/2007-002874","OKCountyRecords: 2007-002874")</f>
        <v>OKCountyRecords: 2007-002874</v>
      </c>
    </row>
    <row r="1598" spans="1:11" ht="32.1" customHeight="1" x14ac:dyDescent="0.25">
      <c r="A1598" s="278" t="s">
        <v>3328</v>
      </c>
      <c r="B1598" s="266"/>
      <c r="C1598" s="266" t="s">
        <v>3284</v>
      </c>
      <c r="D1598" s="283" t="s">
        <v>7785</v>
      </c>
      <c r="E1598" s="291">
        <v>39325</v>
      </c>
      <c r="F1598" s="295">
        <v>39145</v>
      </c>
      <c r="G1598" s="287" t="s">
        <v>2552</v>
      </c>
      <c r="H1598" s="266" t="s">
        <v>3330</v>
      </c>
      <c r="I1598" s="268" t="s">
        <v>7787</v>
      </c>
      <c r="J1598" s="299" t="s">
        <v>996</v>
      </c>
      <c r="K1598" s="259" t="str">
        <f>HYPERLINK("https://okcountyrecords.com/detail/roger+mills/2007-003914","OKCountyRecords: 2007-003914")</f>
        <v>OKCountyRecords: 2007-003914</v>
      </c>
    </row>
    <row r="1599" spans="1:11" ht="32.1" customHeight="1" x14ac:dyDescent="0.25">
      <c r="A1599" s="278" t="s">
        <v>3332</v>
      </c>
      <c r="B1599" s="266"/>
      <c r="C1599" s="266" t="s">
        <v>7789</v>
      </c>
      <c r="D1599" s="283" t="s">
        <v>7790</v>
      </c>
      <c r="E1599" s="291">
        <v>39329</v>
      </c>
      <c r="F1599" s="295">
        <v>39315</v>
      </c>
      <c r="G1599" s="287" t="s">
        <v>3335</v>
      </c>
      <c r="H1599" s="266" t="s">
        <v>1110</v>
      </c>
      <c r="I1599" s="268" t="s">
        <v>6193</v>
      </c>
      <c r="J1599" s="299" t="s">
        <v>1095</v>
      </c>
      <c r="K1599" s="259" t="str">
        <f>HYPERLINK("https://okcountyrecords.com/detail/roger+mills/2007-004018","OKCountyRecords: 2007-004018")</f>
        <v>OKCountyRecords: 2007-004018</v>
      </c>
    </row>
    <row r="1600" spans="1:11" ht="32.1" customHeight="1" x14ac:dyDescent="0.25">
      <c r="A1600" s="278" t="s">
        <v>3340</v>
      </c>
      <c r="B1600" s="266"/>
      <c r="C1600" s="266" t="s">
        <v>114</v>
      </c>
      <c r="D1600" s="283" t="s">
        <v>4444</v>
      </c>
      <c r="E1600" s="291"/>
      <c r="F1600" s="295">
        <v>39336</v>
      </c>
      <c r="G1600" s="287" t="s">
        <v>3338</v>
      </c>
      <c r="H1600" s="266" t="s">
        <v>3339</v>
      </c>
      <c r="I1600" s="268" t="s">
        <v>7794</v>
      </c>
      <c r="J1600" s="299" t="s">
        <v>996</v>
      </c>
      <c r="K1600" s="259" t="str">
        <f>HYPERLINK("https://okcountyrecords.com/detail/roger+mills/1998-000843","OKCountyRecords: 1998-000843")</f>
        <v>OKCountyRecords: 1998-000843</v>
      </c>
    </row>
    <row r="1601" spans="1:11" ht="32.1" customHeight="1" x14ac:dyDescent="0.25">
      <c r="A1601" s="278" t="s">
        <v>3342</v>
      </c>
      <c r="B1601" s="266"/>
      <c r="C1601" s="266" t="s">
        <v>1274</v>
      </c>
      <c r="D1601" s="283" t="s">
        <v>4250</v>
      </c>
      <c r="E1601" s="291">
        <v>39400</v>
      </c>
      <c r="F1601" s="295">
        <v>39400</v>
      </c>
      <c r="G1601" s="287" t="s">
        <v>433</v>
      </c>
      <c r="H1601" s="266" t="s">
        <v>1110</v>
      </c>
      <c r="I1601" s="268" t="s">
        <v>7219</v>
      </c>
      <c r="J1601" s="299" t="s">
        <v>985</v>
      </c>
      <c r="K1601" s="259" t="str">
        <f>HYPERLINK("https://okcountyrecords.com/detail/roger+mills/2007-005167","OKCountyRecords: 2007-005167")</f>
        <v>OKCountyRecords: 2007-005167</v>
      </c>
    </row>
    <row r="1602" spans="1:11" ht="32.1" customHeight="1" x14ac:dyDescent="0.25">
      <c r="A1602" s="278" t="s">
        <v>3344</v>
      </c>
      <c r="B1602" s="266"/>
      <c r="C1602" s="266" t="s">
        <v>2827</v>
      </c>
      <c r="D1602" s="283" t="s">
        <v>4168</v>
      </c>
      <c r="E1602" s="291">
        <v>39612</v>
      </c>
      <c r="F1602" s="295">
        <v>39609</v>
      </c>
      <c r="G1602" s="287" t="s">
        <v>3346</v>
      </c>
      <c r="H1602" s="266" t="s">
        <v>3347</v>
      </c>
      <c r="I1602" s="268" t="s">
        <v>3348</v>
      </c>
      <c r="J1602" s="299" t="s">
        <v>985</v>
      </c>
      <c r="K1602" s="259" t="str">
        <f>HYPERLINK("https://okcountyrecords.com/detail/roger+mills/2008-003157","OKCountyRecords: 2008-003157")</f>
        <v>OKCountyRecords: 2008-003157</v>
      </c>
    </row>
    <row r="1603" spans="1:11" ht="32.1" customHeight="1" x14ac:dyDescent="0.25">
      <c r="A1603" s="278" t="s">
        <v>3349</v>
      </c>
      <c r="B1603" s="266"/>
      <c r="C1603" s="266" t="s">
        <v>82</v>
      </c>
      <c r="D1603" s="283" t="s">
        <v>4366</v>
      </c>
      <c r="E1603" s="291">
        <v>39652</v>
      </c>
      <c r="F1603" s="295">
        <v>39645</v>
      </c>
      <c r="G1603" s="287" t="s">
        <v>3351</v>
      </c>
      <c r="H1603" s="266" t="s">
        <v>3352</v>
      </c>
      <c r="I1603" s="268" t="s">
        <v>7208</v>
      </c>
      <c r="J1603" s="299" t="s">
        <v>1625</v>
      </c>
      <c r="K1603" s="259" t="str">
        <f>HYPERLINK("https://okcountyrecords.com/detail/roger+mills/2008-004060","OKCountyRecords: 2008-004060")</f>
        <v>OKCountyRecords: 2008-004060</v>
      </c>
    </row>
    <row r="1604" spans="1:11" ht="32.1" customHeight="1" x14ac:dyDescent="0.25">
      <c r="A1604" s="278" t="s">
        <v>3353</v>
      </c>
      <c r="B1604" s="266"/>
      <c r="C1604" s="266" t="s">
        <v>1623</v>
      </c>
      <c r="D1604" s="283" t="s">
        <v>4367</v>
      </c>
      <c r="E1604" s="291">
        <v>39748</v>
      </c>
      <c r="F1604" s="295">
        <v>38286</v>
      </c>
      <c r="G1604" s="287" t="s">
        <v>3355</v>
      </c>
      <c r="H1604" s="266" t="s">
        <v>611</v>
      </c>
      <c r="I1604" s="268" t="s">
        <v>7803</v>
      </c>
      <c r="J1604" s="299" t="s">
        <v>1625</v>
      </c>
      <c r="K1604" s="259" t="str">
        <f>HYPERLINK("https://okcountyrecords.com/detail/roger+mills/2008-006536","OKCountyRecords: 2008-006536")</f>
        <v>OKCountyRecords: 2008-006536</v>
      </c>
    </row>
    <row r="1605" spans="1:11" ht="32.1" customHeight="1" x14ac:dyDescent="0.25">
      <c r="A1605" s="278" t="s">
        <v>3357</v>
      </c>
      <c r="B1605" s="266"/>
      <c r="C1605" s="266" t="s">
        <v>3284</v>
      </c>
      <c r="D1605" s="283" t="s">
        <v>7805</v>
      </c>
      <c r="E1605" s="291">
        <v>39770</v>
      </c>
      <c r="F1605" s="295">
        <v>39756</v>
      </c>
      <c r="G1605" s="287" t="s">
        <v>3351</v>
      </c>
      <c r="H1605" s="266" t="s">
        <v>3352</v>
      </c>
      <c r="I1605" s="268" t="s">
        <v>7208</v>
      </c>
      <c r="J1605" s="299" t="s">
        <v>996</v>
      </c>
      <c r="K1605" s="259" t="str">
        <f>HYPERLINK("https://okcountyrecords.com/detail/roger+mills/2008-007080","OKCountyRecords: 2008-007080")</f>
        <v>OKCountyRecords: 2008-007080</v>
      </c>
    </row>
    <row r="1606" spans="1:11" ht="32.1" customHeight="1" x14ac:dyDescent="0.25">
      <c r="A1606" s="278" t="s">
        <v>3359</v>
      </c>
      <c r="B1606" s="266"/>
      <c r="C1606" s="266" t="s">
        <v>1623</v>
      </c>
      <c r="D1606" s="283" t="s">
        <v>4251</v>
      </c>
      <c r="E1606" s="291">
        <v>39783</v>
      </c>
      <c r="F1606" s="295">
        <v>39751</v>
      </c>
      <c r="G1606" s="287" t="s">
        <v>3361</v>
      </c>
      <c r="H1606" s="266" t="s">
        <v>7809</v>
      </c>
      <c r="I1606" s="268" t="s">
        <v>7219</v>
      </c>
      <c r="J1606" s="299" t="s">
        <v>1625</v>
      </c>
      <c r="K1606" s="259" t="str">
        <f>HYPERLINK("https://okcountyrecords.com/detail/roger+mills/2008-007325","OKCountyRecords: 2008-007325")</f>
        <v>OKCountyRecords: 2008-007325</v>
      </c>
    </row>
    <row r="1607" spans="1:11" ht="32.1" customHeight="1" x14ac:dyDescent="0.25">
      <c r="A1607" s="278" t="s">
        <v>3363</v>
      </c>
      <c r="B1607" s="266"/>
      <c r="C1607" s="266" t="s">
        <v>114</v>
      </c>
      <c r="D1607" s="283" t="s">
        <v>7811</v>
      </c>
      <c r="E1607" s="291">
        <v>39828</v>
      </c>
      <c r="F1607" s="295">
        <v>39815</v>
      </c>
      <c r="G1607" s="287" t="s">
        <v>3365</v>
      </c>
      <c r="H1607" s="266" t="s">
        <v>3366</v>
      </c>
      <c r="I1607" s="268" t="s">
        <v>7200</v>
      </c>
      <c r="J1607" s="299" t="s">
        <v>996</v>
      </c>
      <c r="K1607" s="259" t="str">
        <f>HYPERLINK("https://okcountyrecords.com/detail/roger+mills/2009-000222","OKCountyRecords: 2009-000222")</f>
        <v>OKCountyRecords: 2009-000222</v>
      </c>
    </row>
    <row r="1608" spans="1:11" ht="32.1" customHeight="1" x14ac:dyDescent="0.25">
      <c r="A1608" s="278" t="s">
        <v>3367</v>
      </c>
      <c r="B1608" s="266"/>
      <c r="C1608" s="266" t="s">
        <v>114</v>
      </c>
      <c r="D1608" s="283" t="s">
        <v>7814</v>
      </c>
      <c r="E1608" s="291">
        <v>39833</v>
      </c>
      <c r="F1608" s="295">
        <v>38701</v>
      </c>
      <c r="G1608" s="287" t="s">
        <v>3369</v>
      </c>
      <c r="H1608" s="266" t="s">
        <v>3370</v>
      </c>
      <c r="I1608" s="268" t="s">
        <v>497</v>
      </c>
      <c r="J1608" s="299" t="s">
        <v>996</v>
      </c>
      <c r="K1608" s="259" t="str">
        <f>HYPERLINK("https://okcountyrecords.com/detail/roger+mills/2009-000272","OKCountyRecords: 2009-000272")</f>
        <v>OKCountyRecords: 2009-000272</v>
      </c>
    </row>
    <row r="1609" spans="1:11" ht="32.1" customHeight="1" x14ac:dyDescent="0.25">
      <c r="A1609" s="278" t="s">
        <v>3371</v>
      </c>
      <c r="B1609" s="266"/>
      <c r="C1609" s="266" t="s">
        <v>114</v>
      </c>
      <c r="D1609" s="283" t="s">
        <v>7817</v>
      </c>
      <c r="E1609" s="291">
        <v>39833</v>
      </c>
      <c r="F1609" s="295">
        <v>38760</v>
      </c>
      <c r="G1609" s="287" t="s">
        <v>3369</v>
      </c>
      <c r="H1609" s="266" t="s">
        <v>3370</v>
      </c>
      <c r="I1609" s="268" t="s">
        <v>7241</v>
      </c>
      <c r="J1609" s="299" t="s">
        <v>996</v>
      </c>
      <c r="K1609" s="259" t="str">
        <f>HYPERLINK("https://okcountyrecords.com/detail/roger+mills/2009-000273","OKCountyRecords: 2009-000273")</f>
        <v>OKCountyRecords: 2009-000273</v>
      </c>
    </row>
    <row r="1610" spans="1:11" ht="32.1" customHeight="1" x14ac:dyDescent="0.25">
      <c r="A1610" s="278" t="s">
        <v>3374</v>
      </c>
      <c r="B1610" s="266"/>
      <c r="C1610" s="266" t="s">
        <v>993</v>
      </c>
      <c r="D1610" s="283" t="s">
        <v>7819</v>
      </c>
      <c r="E1610" s="291">
        <v>39846</v>
      </c>
      <c r="F1610" s="295">
        <v>39811</v>
      </c>
      <c r="G1610" s="287" t="s">
        <v>3376</v>
      </c>
      <c r="H1610" s="266" t="s">
        <v>3377</v>
      </c>
      <c r="I1610" s="268" t="s">
        <v>7200</v>
      </c>
      <c r="J1610" s="299" t="s">
        <v>996</v>
      </c>
      <c r="K1610" s="259" t="str">
        <f>HYPERLINK("https://okcountyrecords.com/detail/roger+mills/2009-000477","OKCountyRecords: 2009-000477")</f>
        <v>OKCountyRecords: 2009-000477</v>
      </c>
    </row>
    <row r="1611" spans="1:11" ht="32.1" customHeight="1" x14ac:dyDescent="0.25">
      <c r="A1611" s="278" t="s">
        <v>3378</v>
      </c>
      <c r="B1611" s="266"/>
      <c r="C1611" s="266" t="s">
        <v>7822</v>
      </c>
      <c r="D1611" s="283" t="s">
        <v>7823</v>
      </c>
      <c r="E1611" s="291">
        <v>39861</v>
      </c>
      <c r="F1611" s="295">
        <v>39854</v>
      </c>
      <c r="G1611" s="287" t="s">
        <v>3381</v>
      </c>
      <c r="H1611" s="266" t="s">
        <v>1110</v>
      </c>
      <c r="I1611" s="268" t="s">
        <v>313</v>
      </c>
      <c r="J1611" s="299" t="s">
        <v>985</v>
      </c>
      <c r="K1611" s="259" t="str">
        <f>HYPERLINK("https://okcountyrecords.com/detail/roger+mills/2009-000702","OKCountyRecords: 2009-000702")</f>
        <v>OKCountyRecords: 2009-000702</v>
      </c>
    </row>
    <row r="1612" spans="1:11" ht="32.1" customHeight="1" x14ac:dyDescent="0.25">
      <c r="A1612" s="278" t="s">
        <v>3382</v>
      </c>
      <c r="B1612" s="266"/>
      <c r="C1612" s="266" t="s">
        <v>1623</v>
      </c>
      <c r="D1612" s="283" t="s">
        <v>4252</v>
      </c>
      <c r="E1612" s="291">
        <v>39874</v>
      </c>
      <c r="F1612" s="295">
        <v>39871</v>
      </c>
      <c r="G1612" s="287" t="s">
        <v>3384</v>
      </c>
      <c r="H1612" s="266" t="s">
        <v>3385</v>
      </c>
      <c r="I1612" s="268" t="s">
        <v>7219</v>
      </c>
      <c r="J1612" s="299" t="s">
        <v>1625</v>
      </c>
      <c r="K1612" s="259" t="str">
        <f>HYPERLINK("https://okcountyrecords.com/detail/roger+mills/2009-000895","OKCountyRecords: 2009-000895")</f>
        <v>OKCountyRecords: 2009-000895</v>
      </c>
    </row>
    <row r="1613" spans="1:11" ht="32.1" customHeight="1" x14ac:dyDescent="0.25">
      <c r="A1613" s="278" t="s">
        <v>3386</v>
      </c>
      <c r="B1613" s="266"/>
      <c r="C1613" s="266" t="s">
        <v>2430</v>
      </c>
      <c r="D1613" s="283" t="s">
        <v>4368</v>
      </c>
      <c r="E1613" s="291">
        <v>39941</v>
      </c>
      <c r="F1613" s="295">
        <v>39939</v>
      </c>
      <c r="G1613" s="287" t="s">
        <v>3388</v>
      </c>
      <c r="H1613" s="266" t="s">
        <v>7829</v>
      </c>
      <c r="I1613" s="268" t="s">
        <v>7830</v>
      </c>
      <c r="J1613" s="299" t="s">
        <v>985</v>
      </c>
      <c r="K1613" s="259" t="str">
        <f>HYPERLINK("https://okcountyrecords.com/detail/roger+mills/2009-002005","OKCountyRecords: 2009-002005")</f>
        <v>OKCountyRecords: 2009-002005</v>
      </c>
    </row>
    <row r="1614" spans="1:11" ht="32.1" customHeight="1" x14ac:dyDescent="0.25">
      <c r="A1614" s="278" t="s">
        <v>3391</v>
      </c>
      <c r="B1614" s="266"/>
      <c r="C1614" s="266" t="s">
        <v>3392</v>
      </c>
      <c r="D1614" s="283" t="s">
        <v>4369</v>
      </c>
      <c r="E1614" s="291">
        <v>39947</v>
      </c>
      <c r="F1614" s="295">
        <v>39945</v>
      </c>
      <c r="G1614" s="287" t="s">
        <v>3394</v>
      </c>
      <c r="H1614" s="266" t="s">
        <v>3395</v>
      </c>
      <c r="I1614" s="268" t="s">
        <v>7241</v>
      </c>
      <c r="J1614" s="299" t="s">
        <v>985</v>
      </c>
      <c r="K1614" s="259" t="str">
        <f>HYPERLINK("https://okcountyrecords.com/detail/roger+mills/2009-002096","OKCountyRecords: 2009-002096")</f>
        <v>OKCountyRecords: 2009-002096</v>
      </c>
    </row>
    <row r="1615" spans="1:11" ht="32.1" customHeight="1" x14ac:dyDescent="0.25">
      <c r="A1615" s="278" t="s">
        <v>3397</v>
      </c>
      <c r="B1615" s="266"/>
      <c r="C1615" s="266" t="s">
        <v>2506</v>
      </c>
      <c r="D1615" s="283" t="s">
        <v>4370</v>
      </c>
      <c r="E1615" s="291">
        <v>40001</v>
      </c>
      <c r="F1615" s="295">
        <v>39981</v>
      </c>
      <c r="G1615" s="287" t="s">
        <v>3399</v>
      </c>
      <c r="H1615" s="266" t="s">
        <v>3400</v>
      </c>
      <c r="I1615" s="268" t="s">
        <v>7835</v>
      </c>
      <c r="J1615" s="299" t="s">
        <v>985</v>
      </c>
      <c r="K1615" s="259" t="str">
        <f>HYPERLINK("https://okcountyrecords.com/detail/roger+mills/2009-002872","OKCountyRecords: 2009-002872")</f>
        <v>OKCountyRecords: 2009-002872</v>
      </c>
    </row>
    <row r="1616" spans="1:11" ht="32.1" customHeight="1" x14ac:dyDescent="0.25">
      <c r="A1616" s="278" t="s">
        <v>3402</v>
      </c>
      <c r="B1616" s="266"/>
      <c r="C1616" s="266" t="s">
        <v>2430</v>
      </c>
      <c r="D1616" s="283" t="s">
        <v>4371</v>
      </c>
      <c r="E1616" s="291">
        <v>40011</v>
      </c>
      <c r="F1616" s="295">
        <v>40009</v>
      </c>
      <c r="G1616" s="287" t="s">
        <v>7838</v>
      </c>
      <c r="H1616" s="266" t="s">
        <v>3405</v>
      </c>
      <c r="I1616" s="268" t="s">
        <v>7830</v>
      </c>
      <c r="J1616" s="299" t="s">
        <v>985</v>
      </c>
      <c r="K1616" s="259" t="str">
        <f>HYPERLINK("https://okcountyrecords.com/detail/roger+mills/2009-002996","OKCountyRecords: 2009-002996")</f>
        <v>OKCountyRecords: 2009-002996</v>
      </c>
    </row>
    <row r="1617" spans="1:11" ht="32.1" customHeight="1" x14ac:dyDescent="0.25">
      <c r="A1617" s="278" t="s">
        <v>3406</v>
      </c>
      <c r="B1617" s="266"/>
      <c r="C1617" s="266" t="s">
        <v>7789</v>
      </c>
      <c r="D1617" s="283" t="s">
        <v>7840</v>
      </c>
      <c r="E1617" s="291">
        <v>40094</v>
      </c>
      <c r="F1617" s="295">
        <v>40059</v>
      </c>
      <c r="G1617" s="287" t="s">
        <v>3408</v>
      </c>
      <c r="H1617" s="266" t="s">
        <v>3409</v>
      </c>
      <c r="I1617" s="268" t="s">
        <v>5812</v>
      </c>
      <c r="J1617" s="299" t="s">
        <v>1095</v>
      </c>
      <c r="K1617" s="259" t="str">
        <f>HYPERLINK("https://okcountyrecords.com/detail/roger+mills/2009-004292","OKCountyRecords: 2009-004292")</f>
        <v>OKCountyRecords: 2009-004292</v>
      </c>
    </row>
    <row r="1618" spans="1:11" ht="32.1" customHeight="1" x14ac:dyDescent="0.25">
      <c r="A1618" s="278" t="s">
        <v>3411</v>
      </c>
      <c r="B1618" s="266"/>
      <c r="C1618" s="266" t="s">
        <v>2902</v>
      </c>
      <c r="D1618" s="283" t="s">
        <v>7843</v>
      </c>
      <c r="E1618" s="291">
        <v>40158</v>
      </c>
      <c r="F1618" s="295">
        <v>40133</v>
      </c>
      <c r="G1618" s="287" t="s">
        <v>944</v>
      </c>
      <c r="H1618" s="266" t="s">
        <v>2856</v>
      </c>
      <c r="I1618" s="268" t="s">
        <v>6193</v>
      </c>
      <c r="J1618" s="299" t="s">
        <v>996</v>
      </c>
      <c r="K1618" s="259" t="str">
        <f>HYPERLINK("https://okcountyrecords.com/detail/roger+mills/2009-006282","OKCountyRecords: 2009-006282")</f>
        <v>OKCountyRecords: 2009-006282</v>
      </c>
    </row>
    <row r="1619" spans="1:11" ht="32.1" customHeight="1" x14ac:dyDescent="0.25">
      <c r="A1619" s="278" t="s">
        <v>3413</v>
      </c>
      <c r="B1619" s="266"/>
      <c r="C1619" s="266" t="s">
        <v>82</v>
      </c>
      <c r="D1619" s="283" t="s">
        <v>4253</v>
      </c>
      <c r="E1619" s="291">
        <v>40238</v>
      </c>
      <c r="F1619" s="295">
        <v>40067</v>
      </c>
      <c r="G1619" s="287" t="s">
        <v>3415</v>
      </c>
      <c r="H1619" s="266" t="s">
        <v>3416</v>
      </c>
      <c r="I1619" s="268" t="s">
        <v>7219</v>
      </c>
      <c r="J1619" s="299" t="s">
        <v>1625</v>
      </c>
      <c r="K1619" s="259" t="str">
        <f>HYPERLINK("https://okcountyrecords.com/detail/roger+mills/2010-002337","OKCountyRecords: 2010-002337")</f>
        <v>OKCountyRecords: 2010-002337</v>
      </c>
    </row>
    <row r="1620" spans="1:11" ht="32.1" customHeight="1" x14ac:dyDescent="0.25">
      <c r="A1620" s="278" t="s">
        <v>3417</v>
      </c>
      <c r="B1620" s="266"/>
      <c r="C1620" s="266" t="s">
        <v>3418</v>
      </c>
      <c r="D1620" s="283" t="s">
        <v>7848</v>
      </c>
      <c r="E1620" s="291">
        <v>40315</v>
      </c>
      <c r="F1620" s="295">
        <v>40298</v>
      </c>
      <c r="G1620" s="287" t="s">
        <v>3420</v>
      </c>
      <c r="H1620" s="266" t="s">
        <v>1110</v>
      </c>
      <c r="I1620" s="268" t="s">
        <v>5812</v>
      </c>
      <c r="J1620" s="299" t="s">
        <v>1095</v>
      </c>
      <c r="K1620" s="259" t="str">
        <f>HYPERLINK("https://okcountyrecords.com/detail/roger+mills/2010-005367","OKCountyRecords: 2010-005367")</f>
        <v>OKCountyRecords: 2010-005367</v>
      </c>
    </row>
    <row r="1621" spans="1:11" ht="32.1" customHeight="1" x14ac:dyDescent="0.25">
      <c r="A1621" s="278" t="s">
        <v>3421</v>
      </c>
      <c r="B1621" s="266"/>
      <c r="C1621" s="266" t="s">
        <v>1623</v>
      </c>
      <c r="D1621" s="283" t="s">
        <v>4254</v>
      </c>
      <c r="E1621" s="291">
        <v>40336</v>
      </c>
      <c r="F1621" s="295">
        <v>40333</v>
      </c>
      <c r="G1621" s="287" t="s">
        <v>3423</v>
      </c>
      <c r="H1621" s="266" t="s">
        <v>3424</v>
      </c>
      <c r="I1621" s="268" t="s">
        <v>7219</v>
      </c>
      <c r="J1621" s="299" t="s">
        <v>1625</v>
      </c>
      <c r="K1621" s="259" t="str">
        <f>HYPERLINK("https://okcountyrecords.com/detail/roger+mills/2010-005993","OKCountyRecords: 2010-005993")</f>
        <v>OKCountyRecords: 2010-005993</v>
      </c>
    </row>
    <row r="1622" spans="1:11" ht="32.1" customHeight="1" x14ac:dyDescent="0.25">
      <c r="A1622" s="278" t="s">
        <v>3425</v>
      </c>
      <c r="B1622" s="266"/>
      <c r="C1622" s="266" t="s">
        <v>114</v>
      </c>
      <c r="D1622" s="283" t="s">
        <v>7853</v>
      </c>
      <c r="E1622" s="291">
        <v>40345</v>
      </c>
      <c r="F1622" s="295">
        <v>40338</v>
      </c>
      <c r="G1622" s="287" t="s">
        <v>2522</v>
      </c>
      <c r="H1622" s="266" t="s">
        <v>3427</v>
      </c>
      <c r="I1622" s="268" t="s">
        <v>6713</v>
      </c>
      <c r="J1622" s="299" t="s">
        <v>996</v>
      </c>
      <c r="K1622" s="259" t="str">
        <f>HYPERLINK("https://okcountyrecords.com/detail/roger+mills/2010-006265","OKCountyRecords: 2010-006265")</f>
        <v>OKCountyRecords: 2010-006265</v>
      </c>
    </row>
    <row r="1623" spans="1:11" ht="32.1" customHeight="1" x14ac:dyDescent="0.25">
      <c r="A1623" s="278" t="s">
        <v>3428</v>
      </c>
      <c r="B1623" s="266"/>
      <c r="C1623" s="266" t="s">
        <v>114</v>
      </c>
      <c r="D1623" s="283" t="s">
        <v>7856</v>
      </c>
      <c r="E1623" s="291">
        <v>40345</v>
      </c>
      <c r="F1623" s="295">
        <v>40338</v>
      </c>
      <c r="G1623" s="287" t="s">
        <v>3430</v>
      </c>
      <c r="H1623" s="266" t="s">
        <v>3431</v>
      </c>
      <c r="I1623" s="268" t="s">
        <v>6713</v>
      </c>
      <c r="J1623" s="299" t="s">
        <v>996</v>
      </c>
      <c r="K1623" s="259" t="str">
        <f>HYPERLINK("https://okcountyrecords.com/detail/roger+mills/2010-006266","OKCountyRecords: 2010-006266")</f>
        <v>OKCountyRecords: 2010-006266</v>
      </c>
    </row>
    <row r="1624" spans="1:11" ht="32.1" customHeight="1" x14ac:dyDescent="0.25">
      <c r="A1624" s="278" t="s">
        <v>3432</v>
      </c>
      <c r="B1624" s="266"/>
      <c r="C1624" s="266" t="s">
        <v>2441</v>
      </c>
      <c r="D1624" s="283" t="s">
        <v>7858</v>
      </c>
      <c r="E1624" s="291">
        <v>40357</v>
      </c>
      <c r="F1624" s="295">
        <v>40318</v>
      </c>
      <c r="G1624" s="287" t="s">
        <v>3434</v>
      </c>
      <c r="H1624" s="266" t="s">
        <v>3362</v>
      </c>
      <c r="I1624" s="268" t="s">
        <v>7219</v>
      </c>
      <c r="J1624" s="299" t="s">
        <v>1095</v>
      </c>
      <c r="K1624" s="259" t="str">
        <f>HYPERLINK("https://okcountyrecords.com/detail/roger+mills/2010-006561","OKCountyRecords: 2010-006561")</f>
        <v>OKCountyRecords: 2010-006561</v>
      </c>
    </row>
    <row r="1625" spans="1:11" ht="32.1" customHeight="1" x14ac:dyDescent="0.25">
      <c r="A1625" s="278" t="s">
        <v>3435</v>
      </c>
      <c r="B1625" s="266"/>
      <c r="C1625" s="266" t="s">
        <v>1623</v>
      </c>
      <c r="D1625" s="283" t="s">
        <v>4255</v>
      </c>
      <c r="E1625" s="291">
        <v>40374</v>
      </c>
      <c r="F1625" s="295">
        <v>40357</v>
      </c>
      <c r="G1625" s="287" t="s">
        <v>620</v>
      </c>
      <c r="H1625" s="266" t="s">
        <v>3138</v>
      </c>
      <c r="I1625" s="268" t="s">
        <v>488</v>
      </c>
      <c r="J1625" s="299" t="s">
        <v>1625</v>
      </c>
      <c r="K1625" s="259" t="str">
        <f>HYPERLINK("https://okcountyrecords.com/detail/roger+mills/2010-007125","OKCountyRecords: 2010-007125")</f>
        <v>OKCountyRecords: 2010-007125</v>
      </c>
    </row>
    <row r="1626" spans="1:11" ht="32.1" customHeight="1" x14ac:dyDescent="0.25">
      <c r="A1626" s="278" t="s">
        <v>3437</v>
      </c>
      <c r="B1626" s="266"/>
      <c r="C1626" s="266" t="s">
        <v>114</v>
      </c>
      <c r="D1626" s="283" t="s">
        <v>7863</v>
      </c>
      <c r="E1626" s="291">
        <v>40403</v>
      </c>
      <c r="F1626" s="295">
        <v>40396</v>
      </c>
      <c r="G1626" s="287" t="s">
        <v>3330</v>
      </c>
      <c r="H1626" s="266" t="s">
        <v>3439</v>
      </c>
      <c r="I1626" s="268" t="s">
        <v>7787</v>
      </c>
      <c r="J1626" s="299" t="s">
        <v>996</v>
      </c>
      <c r="K1626" s="259" t="str">
        <f>HYPERLINK("https://okcountyrecords.com/detail/roger+mills/2010-007953","OKCountyRecords: 2010-007953")</f>
        <v>OKCountyRecords: 2010-007953</v>
      </c>
    </row>
    <row r="1627" spans="1:11" ht="32.1" customHeight="1" x14ac:dyDescent="0.25">
      <c r="A1627" s="278" t="s">
        <v>3440</v>
      </c>
      <c r="B1627" s="266"/>
      <c r="C1627" s="266" t="s">
        <v>1623</v>
      </c>
      <c r="D1627" s="283" t="s">
        <v>4256</v>
      </c>
      <c r="E1627" s="291">
        <v>40438</v>
      </c>
      <c r="F1627" s="295">
        <v>40416</v>
      </c>
      <c r="G1627" s="287" t="s">
        <v>3442</v>
      </c>
      <c r="H1627" s="266" t="s">
        <v>3443</v>
      </c>
      <c r="I1627" s="268" t="s">
        <v>7219</v>
      </c>
      <c r="J1627" s="299" t="s">
        <v>1625</v>
      </c>
      <c r="K1627" s="259" t="str">
        <f>HYPERLINK("https://okcountyrecords.com/detail/roger+mills/2010-008922","OKCountyRecords: 2010-008922")</f>
        <v>OKCountyRecords: 2010-008922</v>
      </c>
    </row>
    <row r="1628" spans="1:11" ht="32.1" customHeight="1" x14ac:dyDescent="0.25">
      <c r="A1628" s="278" t="s">
        <v>3444</v>
      </c>
      <c r="B1628" s="266"/>
      <c r="C1628" s="266" t="s">
        <v>1623</v>
      </c>
      <c r="D1628" s="283" t="s">
        <v>4342</v>
      </c>
      <c r="E1628" s="291">
        <v>40441</v>
      </c>
      <c r="F1628" s="295">
        <v>40437</v>
      </c>
      <c r="G1628" s="287" t="s">
        <v>3446</v>
      </c>
      <c r="H1628" s="266" t="s">
        <v>3447</v>
      </c>
      <c r="I1628" s="268" t="s">
        <v>6713</v>
      </c>
      <c r="J1628" s="299" t="s">
        <v>1625</v>
      </c>
      <c r="K1628" s="259" t="str">
        <f>HYPERLINK("https://okcountyrecords.com/detail/roger+mills/2010-008934","OKCountyRecords: 2010-008934")</f>
        <v>OKCountyRecords: 2010-008934</v>
      </c>
    </row>
    <row r="1629" spans="1:11" ht="32.1" customHeight="1" x14ac:dyDescent="0.25">
      <c r="A1629" s="278" t="s">
        <v>3448</v>
      </c>
      <c r="B1629" s="266"/>
      <c r="C1629" s="266" t="s">
        <v>3449</v>
      </c>
      <c r="D1629" s="283" t="s">
        <v>7870</v>
      </c>
      <c r="E1629" s="291">
        <v>40483</v>
      </c>
      <c r="F1629" s="295">
        <v>40360</v>
      </c>
      <c r="G1629" s="287" t="s">
        <v>3330</v>
      </c>
      <c r="H1629" s="266" t="s">
        <v>3347</v>
      </c>
      <c r="I1629" s="268" t="s">
        <v>3348</v>
      </c>
      <c r="J1629" s="299" t="s">
        <v>1095</v>
      </c>
      <c r="K1629" s="259" t="str">
        <f>HYPERLINK("https://okcountyrecords.com/detail/roger+mills/2010-010052","OKCountyRecords: 2010-010052")</f>
        <v>OKCountyRecords: 2010-010052</v>
      </c>
    </row>
    <row r="1630" spans="1:11" ht="32.1" customHeight="1" x14ac:dyDescent="0.25">
      <c r="A1630" s="278" t="s">
        <v>3451</v>
      </c>
      <c r="B1630" s="266"/>
      <c r="C1630" s="266" t="s">
        <v>3392</v>
      </c>
      <c r="D1630" s="283" t="s">
        <v>7873</v>
      </c>
      <c r="E1630" s="291">
        <v>40549</v>
      </c>
      <c r="F1630" s="295">
        <v>40513</v>
      </c>
      <c r="G1630" s="287" t="s">
        <v>3453</v>
      </c>
      <c r="H1630" s="266" t="s">
        <v>3454</v>
      </c>
      <c r="I1630" s="268" t="s">
        <v>5812</v>
      </c>
      <c r="J1630" s="299" t="s">
        <v>985</v>
      </c>
      <c r="K1630" s="259" t="str">
        <f>HYPERLINK("https://okcountyrecords.com/detail/roger+mills/2011-000110","OKCountyRecords: 2011-000110")</f>
        <v>OKCountyRecords: 2011-000110</v>
      </c>
    </row>
    <row r="1631" spans="1:11" ht="32.1" customHeight="1" x14ac:dyDescent="0.25">
      <c r="A1631" s="278" t="s">
        <v>3455</v>
      </c>
      <c r="B1631" s="266"/>
      <c r="C1631" s="266" t="s">
        <v>3456</v>
      </c>
      <c r="D1631" s="283" t="s">
        <v>4169</v>
      </c>
      <c r="E1631" s="291">
        <v>40592</v>
      </c>
      <c r="F1631" s="295">
        <v>40577</v>
      </c>
      <c r="G1631" s="287" t="s">
        <v>3458</v>
      </c>
      <c r="H1631" s="266" t="s">
        <v>3459</v>
      </c>
      <c r="I1631" s="268" t="s">
        <v>7478</v>
      </c>
      <c r="J1631" s="299" t="s">
        <v>1625</v>
      </c>
      <c r="K1631" s="259" t="str">
        <f>HYPERLINK("https://okcountyrecords.com/detail/roger+mills/2011-001007","OKCountyRecords: 2011-001007")</f>
        <v>OKCountyRecords: 2011-001007</v>
      </c>
    </row>
    <row r="1632" spans="1:11" ht="32.1" customHeight="1" x14ac:dyDescent="0.25">
      <c r="A1632" s="278" t="s">
        <v>3460</v>
      </c>
      <c r="B1632" s="266"/>
      <c r="C1632" s="266" t="s">
        <v>3456</v>
      </c>
      <c r="D1632" s="283" t="s">
        <v>4170</v>
      </c>
      <c r="E1632" s="291">
        <v>40592</v>
      </c>
      <c r="F1632" s="295">
        <v>40577</v>
      </c>
      <c r="G1632" s="287" t="s">
        <v>3462</v>
      </c>
      <c r="H1632" s="266" t="s">
        <v>3463</v>
      </c>
      <c r="I1632" s="268" t="s">
        <v>7478</v>
      </c>
      <c r="J1632" s="299" t="s">
        <v>1625</v>
      </c>
      <c r="K1632" s="259" t="str">
        <f>HYPERLINK("https://okcountyrecords.com/detail/roger+mills/2011-001008","OKCountyRecords: 2011-001008")</f>
        <v>OKCountyRecords: 2011-001008</v>
      </c>
    </row>
    <row r="1633" spans="1:11" ht="32.1" customHeight="1" x14ac:dyDescent="0.25">
      <c r="A1633" s="278" t="s">
        <v>3464</v>
      </c>
      <c r="B1633" s="266"/>
      <c r="C1633" s="266" t="s">
        <v>3456</v>
      </c>
      <c r="D1633" s="283" t="s">
        <v>4171</v>
      </c>
      <c r="E1633" s="291">
        <v>40592</v>
      </c>
      <c r="F1633" s="295">
        <v>40583</v>
      </c>
      <c r="G1633" s="287" t="s">
        <v>3466</v>
      </c>
      <c r="H1633" s="266" t="s">
        <v>3467</v>
      </c>
      <c r="I1633" s="268" t="s">
        <v>7478</v>
      </c>
      <c r="J1633" s="299" t="s">
        <v>1625</v>
      </c>
      <c r="K1633" s="259" t="str">
        <f>HYPERLINK("https://okcountyrecords.com/detail/roger+mills/2011-001009","OKCountyRecords: 2011-001009")</f>
        <v>OKCountyRecords: 2011-001009</v>
      </c>
    </row>
    <row r="1634" spans="1:11" ht="32.1" customHeight="1" x14ac:dyDescent="0.25">
      <c r="A1634" s="278" t="s">
        <v>3468</v>
      </c>
      <c r="B1634" s="266"/>
      <c r="C1634" s="266" t="s">
        <v>1623</v>
      </c>
      <c r="D1634" s="283" t="s">
        <v>4257</v>
      </c>
      <c r="E1634" s="291">
        <v>40665</v>
      </c>
      <c r="F1634" s="295">
        <v>40661</v>
      </c>
      <c r="G1634" s="287" t="s">
        <v>3470</v>
      </c>
      <c r="H1634" s="266" t="s">
        <v>7881</v>
      </c>
      <c r="I1634" s="268" t="s">
        <v>7219</v>
      </c>
      <c r="J1634" s="299" t="s">
        <v>1625</v>
      </c>
      <c r="K1634" s="259" t="str">
        <f>HYPERLINK("https://okcountyrecords.com/detail/roger+mills/2011-003023","OKCountyRecords: 2011-003023")</f>
        <v>OKCountyRecords: 2011-003023</v>
      </c>
    </row>
    <row r="1635" spans="1:11" ht="32.1" customHeight="1" x14ac:dyDescent="0.25">
      <c r="A1635" s="278" t="s">
        <v>3472</v>
      </c>
      <c r="B1635" s="266"/>
      <c r="C1635" s="266" t="s">
        <v>1623</v>
      </c>
      <c r="D1635" s="283" t="s">
        <v>7883</v>
      </c>
      <c r="E1635" s="291">
        <v>40781</v>
      </c>
      <c r="F1635" s="295">
        <v>40778</v>
      </c>
      <c r="G1635" s="287" t="s">
        <v>3474</v>
      </c>
      <c r="H1635" s="266" t="s">
        <v>7885</v>
      </c>
      <c r="I1635" s="268" t="s">
        <v>242</v>
      </c>
      <c r="J1635" s="299" t="s">
        <v>1625</v>
      </c>
      <c r="K1635" s="259" t="str">
        <f>HYPERLINK("https://okcountyrecords.com/detail/roger+mills/2011-005695","OKCountyRecords: 2011-005695")</f>
        <v>OKCountyRecords: 2011-005695</v>
      </c>
    </row>
    <row r="1636" spans="1:11" ht="32.1" customHeight="1" x14ac:dyDescent="0.25">
      <c r="A1636" s="278" t="s">
        <v>3477</v>
      </c>
      <c r="B1636" s="266"/>
      <c r="C1636" s="266" t="s">
        <v>2506</v>
      </c>
      <c r="D1636" s="283" t="s">
        <v>7887</v>
      </c>
      <c r="E1636" s="291">
        <v>40793</v>
      </c>
      <c r="F1636" s="295">
        <v>40788</v>
      </c>
      <c r="G1636" s="287" t="s">
        <v>3479</v>
      </c>
      <c r="H1636" s="266" t="s">
        <v>3480</v>
      </c>
      <c r="I1636" s="268" t="s">
        <v>6193</v>
      </c>
      <c r="J1636" s="299" t="s">
        <v>985</v>
      </c>
      <c r="K1636" s="259" t="str">
        <f>HYPERLINK("https://okcountyrecords.com/detail/roger+mills/2011-005926","OKCountyRecords: 2011-005926")</f>
        <v>OKCountyRecords: 2011-005926</v>
      </c>
    </row>
    <row r="1637" spans="1:11" ht="32.1" customHeight="1" x14ac:dyDescent="0.25">
      <c r="A1637" s="278" t="s">
        <v>3481</v>
      </c>
      <c r="B1637" s="266"/>
      <c r="C1637" s="266" t="s">
        <v>969</v>
      </c>
      <c r="D1637" s="283" t="s">
        <v>4258</v>
      </c>
      <c r="E1637" s="291">
        <v>40869</v>
      </c>
      <c r="F1637" s="295">
        <v>40839</v>
      </c>
      <c r="G1637" s="287" t="s">
        <v>3483</v>
      </c>
      <c r="H1637" s="266" t="s">
        <v>3484</v>
      </c>
      <c r="I1637" s="268" t="s">
        <v>7350</v>
      </c>
      <c r="J1637" s="299" t="s">
        <v>985</v>
      </c>
      <c r="K1637" s="259" t="str">
        <f>HYPERLINK("https://okcountyrecords.com/detail/roger+mills/2011-007728","OKCountyRecords: 2011-007728")</f>
        <v>OKCountyRecords: 2011-007728</v>
      </c>
    </row>
    <row r="1638" spans="1:11" ht="32.1" customHeight="1" x14ac:dyDescent="0.25">
      <c r="A1638" s="278" t="s">
        <v>3485</v>
      </c>
      <c r="B1638" s="266"/>
      <c r="C1638" s="266" t="s">
        <v>1623</v>
      </c>
      <c r="D1638" s="283" t="s">
        <v>4259</v>
      </c>
      <c r="E1638" s="291">
        <v>40869</v>
      </c>
      <c r="F1638" s="295">
        <v>40839</v>
      </c>
      <c r="G1638" s="287" t="s">
        <v>3483</v>
      </c>
      <c r="H1638" s="266" t="s">
        <v>3484</v>
      </c>
      <c r="I1638" s="268" t="s">
        <v>7219</v>
      </c>
      <c r="J1638" s="299" t="s">
        <v>1625</v>
      </c>
      <c r="K1638" s="259" t="str">
        <f>HYPERLINK("https://okcountyrecords.com/detail/roger+mills/2011-007729","OKCountyRecords: 2011-007729")</f>
        <v>OKCountyRecords: 2011-007729</v>
      </c>
    </row>
    <row r="1639" spans="1:11" ht="32.1" customHeight="1" x14ac:dyDescent="0.25">
      <c r="A1639" s="278" t="s">
        <v>3487</v>
      </c>
      <c r="B1639" s="266"/>
      <c r="C1639" s="266" t="s">
        <v>1107</v>
      </c>
      <c r="D1639" s="283" t="s">
        <v>7893</v>
      </c>
      <c r="E1639" s="291">
        <v>40869</v>
      </c>
      <c r="F1639" s="295">
        <v>40839</v>
      </c>
      <c r="G1639" s="287" t="s">
        <v>3489</v>
      </c>
      <c r="H1639" s="266" t="s">
        <v>1110</v>
      </c>
      <c r="I1639" s="268" t="s">
        <v>7219</v>
      </c>
      <c r="J1639" s="299" t="s">
        <v>1095</v>
      </c>
      <c r="K1639" s="259" t="str">
        <f>HYPERLINK("https://okcountyrecords.com/detail/roger+mills/2011-007727","OKCountyRecords: 2011-007727")</f>
        <v>OKCountyRecords: 2011-007727</v>
      </c>
    </row>
    <row r="1640" spans="1:11" ht="32.1" customHeight="1" x14ac:dyDescent="0.25">
      <c r="A1640" s="278" t="s">
        <v>3490</v>
      </c>
      <c r="B1640" s="266"/>
      <c r="C1640" s="266" t="s">
        <v>1623</v>
      </c>
      <c r="D1640" s="283" t="s">
        <v>4372</v>
      </c>
      <c r="E1640" s="291">
        <v>40876</v>
      </c>
      <c r="F1640" s="295">
        <v>40855</v>
      </c>
      <c r="G1640" s="287" t="s">
        <v>3492</v>
      </c>
      <c r="H1640" s="266" t="s">
        <v>3493</v>
      </c>
      <c r="I1640" s="268" t="s">
        <v>7896</v>
      </c>
      <c r="J1640" s="299" t="s">
        <v>1625</v>
      </c>
      <c r="K1640" s="259" t="str">
        <f>HYPERLINK("https://okcountyrecords.com/detail/roger+mills/2011-007826","OKCountyRecords: 2011-007826")</f>
        <v>OKCountyRecords: 2011-007826</v>
      </c>
    </row>
    <row r="1641" spans="1:11" ht="32.1" customHeight="1" x14ac:dyDescent="0.25">
      <c r="A1641" s="278" t="s">
        <v>3495</v>
      </c>
      <c r="B1641" s="266"/>
      <c r="C1641" s="266" t="s">
        <v>1623</v>
      </c>
      <c r="D1641" s="283" t="s">
        <v>4328</v>
      </c>
      <c r="E1641" s="291">
        <v>40886</v>
      </c>
      <c r="F1641" s="295">
        <v>40876</v>
      </c>
      <c r="G1641" s="287" t="s">
        <v>240</v>
      </c>
      <c r="H1641" s="266" t="s">
        <v>3497</v>
      </c>
      <c r="I1641" s="268" t="s">
        <v>7899</v>
      </c>
      <c r="J1641" s="299" t="s">
        <v>1625</v>
      </c>
      <c r="K1641" s="259" t="str">
        <f>HYPERLINK("https://okcountyrecords.com/detail/roger+mills/2011-008134","OKCountyRecords: 2011-008134")</f>
        <v>OKCountyRecords: 2011-008134</v>
      </c>
    </row>
    <row r="1642" spans="1:11" ht="32.1" customHeight="1" x14ac:dyDescent="0.25">
      <c r="A1642" s="278" t="s">
        <v>3499</v>
      </c>
      <c r="B1642" s="266"/>
      <c r="C1642" s="266" t="s">
        <v>1623</v>
      </c>
      <c r="D1642" s="283" t="s">
        <v>7901</v>
      </c>
      <c r="E1642" s="291">
        <v>40896</v>
      </c>
      <c r="F1642" s="295">
        <v>40892</v>
      </c>
      <c r="G1642" s="287" t="s">
        <v>3501</v>
      </c>
      <c r="H1642" s="266" t="s">
        <v>7903</v>
      </c>
      <c r="I1642" s="268" t="s">
        <v>242</v>
      </c>
      <c r="J1642" s="299" t="s">
        <v>1625</v>
      </c>
      <c r="K1642" s="259" t="str">
        <f>HYPERLINK("https://okcountyrecords.com/detail/roger+mills/2011-008366","OKCountyRecords: 2011-008366")</f>
        <v>OKCountyRecords: 2011-008366</v>
      </c>
    </row>
    <row r="1643" spans="1:11" ht="32.1" customHeight="1" x14ac:dyDescent="0.25">
      <c r="A1643" s="278" t="s">
        <v>3503</v>
      </c>
      <c r="B1643" s="266"/>
      <c r="C1643" s="266" t="s">
        <v>1107</v>
      </c>
      <c r="D1643" s="283" t="s">
        <v>7905</v>
      </c>
      <c r="E1643" s="291">
        <v>40949</v>
      </c>
      <c r="F1643" s="295">
        <v>40905</v>
      </c>
      <c r="G1643" s="287" t="s">
        <v>3505</v>
      </c>
      <c r="H1643" s="266" t="s">
        <v>1110</v>
      </c>
      <c r="I1643" s="268" t="s">
        <v>242</v>
      </c>
      <c r="J1643" s="299" t="s">
        <v>1095</v>
      </c>
      <c r="K1643" s="259" t="str">
        <f>HYPERLINK("https://okcountyrecords.com/detail/roger+mills/2012-000970","OKCountyRecords: 2012-000970")</f>
        <v>OKCountyRecords: 2012-000970</v>
      </c>
    </row>
    <row r="1644" spans="1:11" ht="32.1" customHeight="1" x14ac:dyDescent="0.25">
      <c r="A1644" s="278" t="s">
        <v>3506</v>
      </c>
      <c r="B1644" s="266"/>
      <c r="C1644" s="266" t="s">
        <v>3507</v>
      </c>
      <c r="D1644" s="283" t="s">
        <v>7908</v>
      </c>
      <c r="E1644" s="291">
        <v>40983</v>
      </c>
      <c r="F1644" s="295">
        <v>40973</v>
      </c>
      <c r="G1644" s="287" t="s">
        <v>3509</v>
      </c>
      <c r="H1644" s="266" t="s">
        <v>3510</v>
      </c>
      <c r="I1644" s="268" t="s">
        <v>7910</v>
      </c>
      <c r="J1644" s="299" t="s">
        <v>996</v>
      </c>
      <c r="K1644" s="259" t="str">
        <f>HYPERLINK("https://okcountyrecords.com/detail/roger+mills/2012-001856","OKCountyRecords: 2012-001856")</f>
        <v>OKCountyRecords: 2012-001856</v>
      </c>
    </row>
    <row r="1645" spans="1:11" ht="32.1" customHeight="1" x14ac:dyDescent="0.25">
      <c r="A1645" s="278" t="s">
        <v>3512</v>
      </c>
      <c r="B1645" s="266"/>
      <c r="C1645" s="266" t="s">
        <v>1274</v>
      </c>
      <c r="D1645" s="283" t="s">
        <v>4373</v>
      </c>
      <c r="E1645" s="291">
        <v>40990</v>
      </c>
      <c r="F1645" s="295">
        <v>40988</v>
      </c>
      <c r="G1645" s="287" t="s">
        <v>3514</v>
      </c>
      <c r="H1645" s="266" t="s">
        <v>1110</v>
      </c>
      <c r="I1645" s="268" t="s">
        <v>7208</v>
      </c>
      <c r="J1645" s="299" t="s">
        <v>985</v>
      </c>
      <c r="K1645" s="259" t="str">
        <f>HYPERLINK("https://okcountyrecords.com/detail/roger+mills/2012-002191","OKCountyRecords: 2012-002191")</f>
        <v>OKCountyRecords: 2012-002191</v>
      </c>
    </row>
    <row r="1646" spans="1:11" ht="32.1" customHeight="1" x14ac:dyDescent="0.25">
      <c r="A1646" s="278" t="s">
        <v>3515</v>
      </c>
      <c r="B1646" s="266"/>
      <c r="C1646" s="266" t="s">
        <v>114</v>
      </c>
      <c r="D1646" s="283" t="s">
        <v>7914</v>
      </c>
      <c r="E1646" s="291">
        <v>41002</v>
      </c>
      <c r="F1646" s="295">
        <v>41000</v>
      </c>
      <c r="G1646" s="287" t="s">
        <v>3510</v>
      </c>
      <c r="H1646" s="266" t="s">
        <v>3517</v>
      </c>
      <c r="I1646" s="268" t="s">
        <v>6193</v>
      </c>
      <c r="J1646" s="299" t="s">
        <v>996</v>
      </c>
      <c r="K1646" s="259" t="str">
        <f>HYPERLINK("https://okcountyrecords.com/detail/roger+mills/2012-002539","OKCountyRecords: 2012-002539")</f>
        <v>OKCountyRecords: 2012-002539</v>
      </c>
    </row>
    <row r="1647" spans="1:11" ht="32.1" customHeight="1" x14ac:dyDescent="0.25">
      <c r="A1647" s="278" t="s">
        <v>3518</v>
      </c>
      <c r="B1647" s="266"/>
      <c r="C1647" s="266" t="s">
        <v>1623</v>
      </c>
      <c r="D1647" s="283" t="s">
        <v>4260</v>
      </c>
      <c r="E1647" s="291">
        <v>41015</v>
      </c>
      <c r="F1647" s="295">
        <v>41011</v>
      </c>
      <c r="G1647" s="287" t="s">
        <v>3520</v>
      </c>
      <c r="H1647" s="266" t="s">
        <v>3521</v>
      </c>
      <c r="I1647" s="268" t="s">
        <v>7219</v>
      </c>
      <c r="J1647" s="299" t="s">
        <v>1625</v>
      </c>
      <c r="K1647" s="259" t="str">
        <f>HYPERLINK("https://okcountyrecords.com/detail/roger+mills/2012-002930","OKCountyRecords: 2012-002930")</f>
        <v>OKCountyRecords: 2012-002930</v>
      </c>
    </row>
    <row r="1648" spans="1:11" ht="32.1" customHeight="1" x14ac:dyDescent="0.25">
      <c r="A1648" s="278" t="s">
        <v>3522</v>
      </c>
      <c r="B1648" s="266"/>
      <c r="C1648" s="266" t="s">
        <v>1623</v>
      </c>
      <c r="D1648" s="283" t="s">
        <v>4329</v>
      </c>
      <c r="E1648" s="291">
        <v>41061</v>
      </c>
      <c r="F1648" s="295">
        <v>41059</v>
      </c>
      <c r="G1648" s="287" t="s">
        <v>3524</v>
      </c>
      <c r="H1648" s="266" t="s">
        <v>3525</v>
      </c>
      <c r="I1648" s="268" t="s">
        <v>7899</v>
      </c>
      <c r="J1648" s="299" t="s">
        <v>1625</v>
      </c>
      <c r="K1648" s="259" t="str">
        <f>HYPERLINK("https://okcountyrecords.com/detail/roger+mills/2012-004060","OKCountyRecords: 2012-004060")</f>
        <v>OKCountyRecords: 2012-004060</v>
      </c>
    </row>
    <row r="1649" spans="1:11" ht="32.1" customHeight="1" x14ac:dyDescent="0.25">
      <c r="A1649" s="278" t="s">
        <v>3526</v>
      </c>
      <c r="B1649" s="266"/>
      <c r="C1649" s="266" t="s">
        <v>7789</v>
      </c>
      <c r="D1649" s="283" t="s">
        <v>7921</v>
      </c>
      <c r="E1649" s="291">
        <v>41095</v>
      </c>
      <c r="F1649" s="295">
        <v>41092</v>
      </c>
      <c r="G1649" s="287" t="s">
        <v>3528</v>
      </c>
      <c r="H1649" s="266" t="s">
        <v>3529</v>
      </c>
      <c r="I1649" s="268" t="s">
        <v>6193</v>
      </c>
      <c r="J1649" s="299" t="s">
        <v>1095</v>
      </c>
      <c r="K1649" s="259" t="str">
        <f>HYPERLINK("https://okcountyrecords.com/detail/roger+mills/2012-004836","OKCountyRecords: 2012-004836")</f>
        <v>OKCountyRecords: 2012-004836</v>
      </c>
    </row>
    <row r="1650" spans="1:11" ht="32.1" customHeight="1" x14ac:dyDescent="0.25">
      <c r="A1650" s="278" t="s">
        <v>3530</v>
      </c>
      <c r="B1650" s="266"/>
      <c r="C1650" s="266" t="s">
        <v>2746</v>
      </c>
      <c r="D1650" s="283" t="s">
        <v>7924</v>
      </c>
      <c r="E1650" s="291">
        <v>41106</v>
      </c>
      <c r="F1650" s="295">
        <v>40961</v>
      </c>
      <c r="G1650" s="287" t="s">
        <v>3532</v>
      </c>
      <c r="H1650" s="266" t="s">
        <v>3533</v>
      </c>
      <c r="I1650" s="268" t="s">
        <v>7208</v>
      </c>
      <c r="J1650" s="299" t="s">
        <v>1095</v>
      </c>
      <c r="K1650" s="259" t="str">
        <f>HYPERLINK("https://okcountyrecords.com/detail/roger+mills/2012-005041","OKCountyRecords: 2012-005041")</f>
        <v>OKCountyRecords: 2012-005041</v>
      </c>
    </row>
    <row r="1651" spans="1:11" ht="32.1" customHeight="1" x14ac:dyDescent="0.25">
      <c r="A1651" s="278" t="s">
        <v>3534</v>
      </c>
      <c r="B1651" s="266"/>
      <c r="C1651" s="266" t="s">
        <v>3535</v>
      </c>
      <c r="D1651" s="283" t="s">
        <v>7927</v>
      </c>
      <c r="E1651" s="291">
        <v>41145</v>
      </c>
      <c r="F1651" s="295">
        <v>41000</v>
      </c>
      <c r="G1651" s="287" t="s">
        <v>3510</v>
      </c>
      <c r="H1651" s="266" t="s">
        <v>3517</v>
      </c>
      <c r="I1651" s="268" t="s">
        <v>6193</v>
      </c>
      <c r="J1651" s="299" t="s">
        <v>996</v>
      </c>
      <c r="K1651" s="259" t="str">
        <f>HYPERLINK("https://okcountyrecords.com/detail/roger+mills/2012-005854","OKCountyRecords: 2012-005854")</f>
        <v>OKCountyRecords: 2012-005854</v>
      </c>
    </row>
    <row r="1652" spans="1:11" ht="32.1" customHeight="1" x14ac:dyDescent="0.25">
      <c r="A1652" s="278" t="s">
        <v>3542</v>
      </c>
      <c r="B1652" s="266"/>
      <c r="C1652" s="266" t="s">
        <v>114</v>
      </c>
      <c r="D1652" s="283" t="s">
        <v>7930</v>
      </c>
      <c r="E1652" s="291">
        <v>41173</v>
      </c>
      <c r="F1652" s="295">
        <v>41074</v>
      </c>
      <c r="G1652" s="287" t="s">
        <v>3544</v>
      </c>
      <c r="H1652" s="266" t="s">
        <v>3545</v>
      </c>
      <c r="I1652" s="268" t="s">
        <v>7241</v>
      </c>
      <c r="J1652" s="299" t="s">
        <v>996</v>
      </c>
      <c r="K1652" s="259" t="str">
        <f>HYPERLINK("https://okcountyrecords.com/detail/roger+mills/2012-006477","OKCountyRecords: 2012-006477")</f>
        <v>OKCountyRecords: 2012-006477</v>
      </c>
    </row>
    <row r="1653" spans="1:11" ht="32.1" customHeight="1" x14ac:dyDescent="0.25">
      <c r="A1653" s="278" t="s">
        <v>3546</v>
      </c>
      <c r="B1653" s="266"/>
      <c r="C1653" s="266" t="s">
        <v>114</v>
      </c>
      <c r="D1653" s="283" t="s">
        <v>7933</v>
      </c>
      <c r="E1653" s="291">
        <v>41227</v>
      </c>
      <c r="F1653" s="295">
        <v>41215</v>
      </c>
      <c r="G1653" s="287" t="s">
        <v>896</v>
      </c>
      <c r="H1653" s="266" t="s">
        <v>3548</v>
      </c>
      <c r="I1653" s="268" t="s">
        <v>7241</v>
      </c>
      <c r="J1653" s="299" t="s">
        <v>996</v>
      </c>
      <c r="K1653" s="259" t="str">
        <f>HYPERLINK("https://okcountyrecords.com/detail/roger+mills/2012-007511","OKCountyRecords: 2012-007511")</f>
        <v>OKCountyRecords: 2012-007511</v>
      </c>
    </row>
    <row r="1654" spans="1:11" ht="32.1" customHeight="1" x14ac:dyDescent="0.25">
      <c r="A1654" s="278" t="s">
        <v>3550</v>
      </c>
      <c r="B1654" s="266"/>
      <c r="C1654" s="266" t="s">
        <v>1274</v>
      </c>
      <c r="D1654" s="283" t="s">
        <v>4172</v>
      </c>
      <c r="E1654" s="291">
        <v>41304</v>
      </c>
      <c r="F1654" s="295">
        <v>41290</v>
      </c>
      <c r="G1654" s="287" t="s">
        <v>3552</v>
      </c>
      <c r="H1654" s="266" t="s">
        <v>1110</v>
      </c>
      <c r="I1654" s="268" t="s">
        <v>7937</v>
      </c>
      <c r="J1654" s="299" t="s">
        <v>985</v>
      </c>
      <c r="K1654" s="259" t="str">
        <f>HYPERLINK("https://okcountyrecords.com/detail/roger+mills/2013-000518","OKCountyRecords: 2013-000518")</f>
        <v>OKCountyRecords: 2013-000518</v>
      </c>
    </row>
    <row r="1655" spans="1:11" ht="32.1" customHeight="1" x14ac:dyDescent="0.25">
      <c r="A1655" s="278" t="s">
        <v>3559</v>
      </c>
      <c r="B1655" s="266"/>
      <c r="C1655" s="266" t="s">
        <v>2441</v>
      </c>
      <c r="D1655" s="283" t="s">
        <v>7939</v>
      </c>
      <c r="E1655" s="291">
        <v>41346</v>
      </c>
      <c r="F1655" s="295">
        <v>41340</v>
      </c>
      <c r="G1655" s="287" t="s">
        <v>3097</v>
      </c>
      <c r="H1655" s="266" t="s">
        <v>611</v>
      </c>
      <c r="I1655" s="268" t="s">
        <v>7803</v>
      </c>
      <c r="J1655" s="299" t="s">
        <v>1095</v>
      </c>
      <c r="K1655" s="259" t="str">
        <f>HYPERLINK("https://okcountyrecords.com/detail/roger+mills/2013-001272","OKCountyRecords: 2013-001272")</f>
        <v>OKCountyRecords: 2013-001272</v>
      </c>
    </row>
    <row r="1656" spans="1:11" ht="32.1" customHeight="1" x14ac:dyDescent="0.25">
      <c r="A1656" s="278" t="s">
        <v>3562</v>
      </c>
      <c r="B1656" s="266"/>
      <c r="C1656" s="266" t="s">
        <v>82</v>
      </c>
      <c r="D1656" s="283" t="s">
        <v>4374</v>
      </c>
      <c r="E1656" s="291">
        <v>41372</v>
      </c>
      <c r="F1656" s="295">
        <v>41368</v>
      </c>
      <c r="G1656" s="287" t="s">
        <v>611</v>
      </c>
      <c r="H1656" s="266" t="s">
        <v>3493</v>
      </c>
      <c r="I1656" s="268" t="s">
        <v>7803</v>
      </c>
      <c r="J1656" s="299" t="s">
        <v>1625</v>
      </c>
      <c r="K1656" s="259" t="str">
        <f>HYPERLINK("https://okcountyrecords.com/detail/roger+mills/2013-001724","OKCountyRecords: 2013-001724")</f>
        <v>OKCountyRecords: 2013-001724</v>
      </c>
    </row>
    <row r="1657" spans="1:11" ht="32.1" customHeight="1" x14ac:dyDescent="0.25">
      <c r="A1657" s="278" t="s">
        <v>3565</v>
      </c>
      <c r="B1657" s="266"/>
      <c r="C1657" s="266" t="s">
        <v>3284</v>
      </c>
      <c r="D1657" s="283" t="s">
        <v>7944</v>
      </c>
      <c r="E1657" s="291">
        <v>41422</v>
      </c>
      <c r="F1657" s="295">
        <v>41404</v>
      </c>
      <c r="G1657" s="287" t="s">
        <v>3567</v>
      </c>
      <c r="H1657" s="266" t="s">
        <v>3568</v>
      </c>
      <c r="I1657" s="268" t="s">
        <v>6193</v>
      </c>
      <c r="J1657" s="299" t="s">
        <v>996</v>
      </c>
      <c r="K1657" s="259" t="str">
        <f>HYPERLINK("https://okcountyrecords.com/detail/roger+mills/2013-002727","OKCountyRecords: 2013-002727")</f>
        <v>OKCountyRecords: 2013-002727</v>
      </c>
    </row>
    <row r="1658" spans="1:11" ht="32.1" customHeight="1" x14ac:dyDescent="0.25">
      <c r="A1658" s="278" t="s">
        <v>3569</v>
      </c>
      <c r="B1658" s="266"/>
      <c r="C1658" s="266" t="s">
        <v>114</v>
      </c>
      <c r="D1658" s="283" t="s">
        <v>7947</v>
      </c>
      <c r="E1658" s="291">
        <v>41488</v>
      </c>
      <c r="F1658" s="295">
        <v>41474</v>
      </c>
      <c r="G1658" s="287" t="s">
        <v>3311</v>
      </c>
      <c r="H1658" s="266" t="s">
        <v>3571</v>
      </c>
      <c r="I1658" s="268" t="s">
        <v>6193</v>
      </c>
      <c r="J1658" s="299" t="s">
        <v>996</v>
      </c>
      <c r="K1658" s="259" t="str">
        <f>HYPERLINK("https://okcountyrecords.com/detail/roger+mills/2013-004038","OKCountyRecords: 2013-004038")</f>
        <v>OKCountyRecords: 2013-004038</v>
      </c>
    </row>
    <row r="1659" spans="1:11" ht="32.1" customHeight="1" x14ac:dyDescent="0.25">
      <c r="A1659" s="278" t="s">
        <v>3572</v>
      </c>
      <c r="B1659" s="266"/>
      <c r="C1659" s="266" t="s">
        <v>1623</v>
      </c>
      <c r="D1659" s="283" t="s">
        <v>4375</v>
      </c>
      <c r="E1659" s="291">
        <v>41495</v>
      </c>
      <c r="F1659" s="295">
        <v>41482</v>
      </c>
      <c r="G1659" s="287" t="s">
        <v>611</v>
      </c>
      <c r="H1659" s="266" t="s">
        <v>3493</v>
      </c>
      <c r="I1659" s="268" t="s">
        <v>7951</v>
      </c>
      <c r="J1659" s="299" t="s">
        <v>1625</v>
      </c>
      <c r="K1659" s="259" t="str">
        <f>HYPERLINK("https://okcountyrecords.com/detail/roger+mills/2013-004163","OKCountyRecords: 2013-004163")</f>
        <v>OKCountyRecords: 2013-004163</v>
      </c>
    </row>
    <row r="1660" spans="1:11" ht="32.1" customHeight="1" x14ac:dyDescent="0.25">
      <c r="A1660" s="278" t="s">
        <v>3575</v>
      </c>
      <c r="B1660" s="266"/>
      <c r="C1660" s="266" t="s">
        <v>1623</v>
      </c>
      <c r="D1660" s="283" t="s">
        <v>4261</v>
      </c>
      <c r="E1660" s="291">
        <v>41592</v>
      </c>
      <c r="F1660" s="295">
        <v>40876</v>
      </c>
      <c r="G1660" s="287" t="s">
        <v>240</v>
      </c>
      <c r="H1660" s="266" t="s">
        <v>3497</v>
      </c>
      <c r="I1660" s="268" t="s">
        <v>7219</v>
      </c>
      <c r="J1660" s="299" t="s">
        <v>1625</v>
      </c>
      <c r="K1660" s="259" t="str">
        <f>HYPERLINK("https://okcountyrecords.com/detail/roger+mills/2013-006083","OKCountyRecords: 2013-006083")</f>
        <v>OKCountyRecords: 2013-006083</v>
      </c>
    </row>
    <row r="1661" spans="1:11" ht="32.1" customHeight="1" x14ac:dyDescent="0.25">
      <c r="A1661" s="278" t="s">
        <v>3577</v>
      </c>
      <c r="B1661" s="266"/>
      <c r="C1661" s="266" t="s">
        <v>82</v>
      </c>
      <c r="D1661" s="283" t="s">
        <v>4376</v>
      </c>
      <c r="E1661" s="291">
        <v>41596</v>
      </c>
      <c r="F1661" s="295">
        <v>41505</v>
      </c>
      <c r="G1661" s="287" t="s">
        <v>274</v>
      </c>
      <c r="H1661" s="266" t="s">
        <v>3579</v>
      </c>
      <c r="I1661" s="268" t="s">
        <v>7208</v>
      </c>
      <c r="J1661" s="299" t="s">
        <v>1625</v>
      </c>
      <c r="K1661" s="259" t="str">
        <f>HYPERLINK("https://okcountyrecords.com/detail/roger+mills/2013-006129","OKCountyRecords: 2013-006129")</f>
        <v>OKCountyRecords: 2013-006129</v>
      </c>
    </row>
    <row r="1662" spans="1:11" ht="32.1" customHeight="1" x14ac:dyDescent="0.25">
      <c r="A1662" s="278" t="s">
        <v>3580</v>
      </c>
      <c r="B1662" s="266"/>
      <c r="C1662" s="266" t="s">
        <v>114</v>
      </c>
      <c r="D1662" s="283" t="s">
        <v>7957</v>
      </c>
      <c r="E1662" s="291">
        <v>41599</v>
      </c>
      <c r="F1662" s="295">
        <v>41543</v>
      </c>
      <c r="G1662" s="287" t="s">
        <v>487</v>
      </c>
      <c r="H1662" s="266" t="s">
        <v>3582</v>
      </c>
      <c r="I1662" s="268" t="s">
        <v>6193</v>
      </c>
      <c r="J1662" s="299" t="s">
        <v>996</v>
      </c>
      <c r="K1662" s="259" t="str">
        <f>HYPERLINK("https://okcountyrecords.com/detail/roger+mills/2013-006188","OKCountyRecords: 2013-006188")</f>
        <v>OKCountyRecords: 2013-006188</v>
      </c>
    </row>
    <row r="1663" spans="1:11" ht="32.1" customHeight="1" x14ac:dyDescent="0.25">
      <c r="A1663" s="278" t="s">
        <v>3583</v>
      </c>
      <c r="B1663" s="266"/>
      <c r="C1663" s="266" t="s">
        <v>2827</v>
      </c>
      <c r="D1663" s="283" t="s">
        <v>4377</v>
      </c>
      <c r="E1663" s="291">
        <v>41619</v>
      </c>
      <c r="F1663" s="295">
        <v>41582</v>
      </c>
      <c r="G1663" s="287" t="s">
        <v>3585</v>
      </c>
      <c r="H1663" s="266" t="s">
        <v>3586</v>
      </c>
      <c r="I1663" s="268" t="s">
        <v>7830</v>
      </c>
      <c r="J1663" s="299" t="s">
        <v>985</v>
      </c>
      <c r="K1663" s="259" t="str">
        <f>HYPERLINK("https://okcountyrecords.com/detail/roger+mills/2013-006415","OKCountyRecords: 2013-006415")</f>
        <v>OKCountyRecords: 2013-006415</v>
      </c>
    </row>
    <row r="1664" spans="1:11" ht="32.1" customHeight="1" x14ac:dyDescent="0.25">
      <c r="A1664" s="278" t="s">
        <v>3588</v>
      </c>
      <c r="B1664" s="266"/>
      <c r="C1664" s="266" t="s">
        <v>1623</v>
      </c>
      <c r="D1664" s="283" t="s">
        <v>7962</v>
      </c>
      <c r="E1664" s="291">
        <v>41621</v>
      </c>
      <c r="F1664" s="295">
        <v>41517</v>
      </c>
      <c r="G1664" s="287" t="s">
        <v>3590</v>
      </c>
      <c r="H1664" s="266" t="s">
        <v>3591</v>
      </c>
      <c r="I1664" s="268" t="s">
        <v>313</v>
      </c>
      <c r="J1664" s="299" t="s">
        <v>1625</v>
      </c>
      <c r="K1664" s="259" t="str">
        <f>HYPERLINK("https://okcountyrecords.com/detail/roger+mills/2013-006501","OKCountyRecords: 2013-006501")</f>
        <v>OKCountyRecords: 2013-006501</v>
      </c>
    </row>
    <row r="1665" spans="1:11" ht="32.1" customHeight="1" x14ac:dyDescent="0.25">
      <c r="A1665" s="278" t="s">
        <v>3592</v>
      </c>
      <c r="B1665" s="266"/>
      <c r="C1665" s="266" t="s">
        <v>1623</v>
      </c>
      <c r="D1665" s="283" t="s">
        <v>7965</v>
      </c>
      <c r="E1665" s="291">
        <v>41621</v>
      </c>
      <c r="F1665" s="295">
        <v>41575</v>
      </c>
      <c r="G1665" s="287" t="s">
        <v>602</v>
      </c>
      <c r="H1665" s="266" t="s">
        <v>3591</v>
      </c>
      <c r="I1665" s="268" t="s">
        <v>313</v>
      </c>
      <c r="J1665" s="299" t="s">
        <v>1625</v>
      </c>
      <c r="K1665" s="259" t="str">
        <f>HYPERLINK("https://okcountyrecords.com/detail/roger+mills/2013-006502","OKCountyRecords: 2013-006502")</f>
        <v>OKCountyRecords: 2013-006502</v>
      </c>
    </row>
    <row r="1666" spans="1:11" ht="32.1" customHeight="1" x14ac:dyDescent="0.25">
      <c r="A1666" s="278" t="s">
        <v>3594</v>
      </c>
      <c r="B1666" s="266"/>
      <c r="C1666" s="266" t="s">
        <v>3595</v>
      </c>
      <c r="D1666" s="283" t="s">
        <v>7967</v>
      </c>
      <c r="E1666" s="291">
        <v>41625</v>
      </c>
      <c r="F1666" s="295">
        <v>41526</v>
      </c>
      <c r="G1666" s="287" t="s">
        <v>3597</v>
      </c>
      <c r="H1666" s="266" t="s">
        <v>3598</v>
      </c>
      <c r="I1666" s="268" t="s">
        <v>7969</v>
      </c>
      <c r="J1666" s="299" t="s">
        <v>1095</v>
      </c>
      <c r="K1666" s="259" t="str">
        <f>HYPERLINK("https://okcountyrecords.com/detail/roger+mills/2013-006584","OKCountyRecords: 2013-006584")</f>
        <v>OKCountyRecords: 2013-006584</v>
      </c>
    </row>
    <row r="1667" spans="1:11" ht="32.1" customHeight="1" x14ac:dyDescent="0.25">
      <c r="A1667" s="278" t="s">
        <v>3600</v>
      </c>
      <c r="B1667" s="266"/>
      <c r="C1667" s="266" t="s">
        <v>1623</v>
      </c>
      <c r="D1667" s="283" t="s">
        <v>4436</v>
      </c>
      <c r="E1667" s="291">
        <v>41625</v>
      </c>
      <c r="F1667" s="295">
        <v>41486</v>
      </c>
      <c r="G1667" s="287" t="s">
        <v>3597</v>
      </c>
      <c r="H1667" s="266" t="s">
        <v>3598</v>
      </c>
      <c r="I1667" s="268" t="s">
        <v>7969</v>
      </c>
      <c r="J1667" s="299" t="s">
        <v>1625</v>
      </c>
      <c r="K1667" s="259" t="str">
        <f>HYPERLINK("https://okcountyrecords.com/detail/roger+mills/2013-006585","OKCountyRecords: 2013-006585")</f>
        <v>OKCountyRecords: 2013-006585</v>
      </c>
    </row>
    <row r="1668" spans="1:11" ht="32.1" customHeight="1" x14ac:dyDescent="0.25">
      <c r="A1668" s="278" t="s">
        <v>3602</v>
      </c>
      <c r="B1668" s="266"/>
      <c r="C1668" s="266" t="s">
        <v>7314</v>
      </c>
      <c r="D1668" s="283" t="s">
        <v>7972</v>
      </c>
      <c r="E1668" s="291">
        <v>41631</v>
      </c>
      <c r="F1668" s="295">
        <v>41624</v>
      </c>
      <c r="G1668" s="287" t="s">
        <v>3604</v>
      </c>
      <c r="H1668" s="266" t="s">
        <v>1110</v>
      </c>
      <c r="I1668" s="268" t="s">
        <v>7219</v>
      </c>
      <c r="J1668" s="299" t="s">
        <v>985</v>
      </c>
      <c r="K1668" s="259" t="str">
        <f>HYPERLINK("https://okcountyrecords.com/detail/roger+mills/2013-006644","OKCountyRecords: 2013-006644")</f>
        <v>OKCountyRecords: 2013-006644</v>
      </c>
    </row>
    <row r="1669" spans="1:11" ht="32.1" customHeight="1" x14ac:dyDescent="0.25">
      <c r="A1669" s="278" t="s">
        <v>3605</v>
      </c>
      <c r="B1669" s="266"/>
      <c r="C1669" s="266" t="s">
        <v>7314</v>
      </c>
      <c r="D1669" s="283" t="s">
        <v>7975</v>
      </c>
      <c r="E1669" s="291">
        <v>41631</v>
      </c>
      <c r="F1669" s="295">
        <v>41624</v>
      </c>
      <c r="G1669" s="287" t="s">
        <v>3607</v>
      </c>
      <c r="H1669" s="266" t="s">
        <v>1110</v>
      </c>
      <c r="I1669" s="268" t="s">
        <v>7219</v>
      </c>
      <c r="J1669" s="299" t="s">
        <v>985</v>
      </c>
      <c r="K1669" s="259" t="str">
        <f>HYPERLINK("https://okcountyrecords.com/detail/roger+mills/2013-006645","OKCountyRecords: 2013-006645")</f>
        <v>OKCountyRecords: 2013-006645</v>
      </c>
    </row>
    <row r="1670" spans="1:11" ht="32.1" customHeight="1" x14ac:dyDescent="0.25">
      <c r="A1670" s="278" t="s">
        <v>3608</v>
      </c>
      <c r="B1670" s="266"/>
      <c r="C1670" s="266" t="s">
        <v>1107</v>
      </c>
      <c r="D1670" s="283" t="s">
        <v>7977</v>
      </c>
      <c r="E1670" s="291">
        <v>41746</v>
      </c>
      <c r="F1670" s="295">
        <v>41730</v>
      </c>
      <c r="G1670" s="287" t="s">
        <v>3610</v>
      </c>
      <c r="H1670" s="266" t="s">
        <v>1110</v>
      </c>
      <c r="I1670" s="268" t="s">
        <v>6193</v>
      </c>
      <c r="J1670" s="299" t="s">
        <v>1095</v>
      </c>
      <c r="K1670" s="259" t="str">
        <f>HYPERLINK("https://okcountyrecords.com/detail/roger+mills/2014-002337","OKCountyRecords: 2014-002337")</f>
        <v>OKCountyRecords: 2014-002337</v>
      </c>
    </row>
    <row r="1671" spans="1:11" ht="32.1" customHeight="1" x14ac:dyDescent="0.25">
      <c r="A1671" s="278" t="s">
        <v>3611</v>
      </c>
      <c r="B1671" s="266"/>
      <c r="C1671" s="266" t="s">
        <v>1623</v>
      </c>
      <c r="D1671" s="283" t="s">
        <v>4262</v>
      </c>
      <c r="E1671" s="291">
        <v>41766</v>
      </c>
      <c r="F1671" s="295">
        <v>41734</v>
      </c>
      <c r="G1671" s="287" t="s">
        <v>3385</v>
      </c>
      <c r="H1671" s="266" t="s">
        <v>3613</v>
      </c>
      <c r="I1671" s="268" t="s">
        <v>7219</v>
      </c>
      <c r="J1671" s="299" t="s">
        <v>1625</v>
      </c>
      <c r="K1671" s="259" t="str">
        <f>HYPERLINK("https://okcountyrecords.com/detail/roger+mills/2014-002935","OKCountyRecords: 2014-002935")</f>
        <v>OKCountyRecords: 2014-002935</v>
      </c>
    </row>
    <row r="1672" spans="1:11" ht="32.1" customHeight="1" x14ac:dyDescent="0.25">
      <c r="A1672" s="278" t="s">
        <v>3614</v>
      </c>
      <c r="B1672" s="266"/>
      <c r="C1672" s="266" t="s">
        <v>1623</v>
      </c>
      <c r="D1672" s="283" t="s">
        <v>4173</v>
      </c>
      <c r="E1672" s="291">
        <v>41774</v>
      </c>
      <c r="F1672" s="295">
        <v>41746</v>
      </c>
      <c r="G1672" s="287" t="s">
        <v>3616</v>
      </c>
      <c r="H1672" s="266" t="s">
        <v>3617</v>
      </c>
      <c r="I1672" s="268" t="s">
        <v>7200</v>
      </c>
      <c r="J1672" s="299" t="s">
        <v>1625</v>
      </c>
      <c r="K1672" s="259" t="str">
        <f>HYPERLINK("https://okcountyrecords.com/detail/roger+mills/2014-003089","OKCountyRecords: 2014-003089")</f>
        <v>OKCountyRecords: 2014-003089</v>
      </c>
    </row>
    <row r="1673" spans="1:11" ht="32.1" customHeight="1" x14ac:dyDescent="0.25">
      <c r="A1673" s="278" t="s">
        <v>3618</v>
      </c>
      <c r="B1673" s="266"/>
      <c r="C1673" s="266" t="s">
        <v>1274</v>
      </c>
      <c r="D1673" s="283" t="s">
        <v>4263</v>
      </c>
      <c r="E1673" s="291">
        <v>41821</v>
      </c>
      <c r="F1673" s="295">
        <v>41821</v>
      </c>
      <c r="G1673" s="287" t="s">
        <v>3620</v>
      </c>
      <c r="H1673" s="266" t="s">
        <v>1110</v>
      </c>
      <c r="I1673" s="268" t="s">
        <v>7219</v>
      </c>
      <c r="J1673" s="299" t="s">
        <v>985</v>
      </c>
      <c r="K1673" s="259" t="str">
        <f>HYPERLINK("https://okcountyrecords.com/detail/roger+mills/2014-004286","OKCountyRecords: 2014-004286")</f>
        <v>OKCountyRecords: 2014-004286</v>
      </c>
    </row>
    <row r="1674" spans="1:11" ht="32.1" customHeight="1" x14ac:dyDescent="0.25">
      <c r="A1674" s="278" t="s">
        <v>3621</v>
      </c>
      <c r="B1674" s="266"/>
      <c r="C1674" s="266" t="s">
        <v>3622</v>
      </c>
      <c r="D1674" s="283" t="s">
        <v>4378</v>
      </c>
      <c r="E1674" s="291">
        <v>41834</v>
      </c>
      <c r="F1674" s="295">
        <v>41782</v>
      </c>
      <c r="G1674" s="287" t="s">
        <v>3624</v>
      </c>
      <c r="H1674" s="266" t="s">
        <v>3625</v>
      </c>
      <c r="I1674" s="268" t="s">
        <v>7241</v>
      </c>
      <c r="J1674" s="299" t="s">
        <v>985</v>
      </c>
      <c r="K1674" s="259" t="str">
        <f>HYPERLINK("https://okcountyrecords.com/detail/roger+mills/2014-004525","OKCountyRecords: 2014-004525")</f>
        <v>OKCountyRecords: 2014-004525</v>
      </c>
    </row>
    <row r="1675" spans="1:11" ht="32.1" customHeight="1" x14ac:dyDescent="0.25">
      <c r="A1675" s="278" t="s">
        <v>3626</v>
      </c>
      <c r="B1675" s="266"/>
      <c r="C1675" s="266" t="s">
        <v>1623</v>
      </c>
      <c r="D1675" s="283" t="s">
        <v>7988</v>
      </c>
      <c r="E1675" s="291">
        <v>41905</v>
      </c>
      <c r="F1675" s="295">
        <v>41851</v>
      </c>
      <c r="G1675" s="287" t="s">
        <v>3628</v>
      </c>
      <c r="H1675" s="266" t="s">
        <v>3629</v>
      </c>
      <c r="I1675" s="268" t="s">
        <v>7263</v>
      </c>
      <c r="J1675" s="299" t="s">
        <v>1625</v>
      </c>
      <c r="K1675" s="259" t="str">
        <f>HYPERLINK("https://okcountyrecords.com/detail/roger+mills/2014-005899","OKCountyRecords: 2014-005899")</f>
        <v>OKCountyRecords: 2014-005899</v>
      </c>
    </row>
    <row r="1676" spans="1:11" ht="32.1" customHeight="1" x14ac:dyDescent="0.25">
      <c r="A1676" s="278" t="s">
        <v>3631</v>
      </c>
      <c r="B1676" s="266"/>
      <c r="C1676" s="266" t="s">
        <v>114</v>
      </c>
      <c r="D1676" s="283" t="s">
        <v>7991</v>
      </c>
      <c r="E1676" s="291">
        <v>41907</v>
      </c>
      <c r="F1676" s="295">
        <v>41821</v>
      </c>
      <c r="G1676" s="287" t="s">
        <v>3633</v>
      </c>
      <c r="H1676" s="266" t="s">
        <v>3634</v>
      </c>
      <c r="I1676" s="268" t="s">
        <v>6193</v>
      </c>
      <c r="J1676" s="299" t="s">
        <v>996</v>
      </c>
      <c r="K1676" s="259" t="str">
        <f>HYPERLINK("https://okcountyrecords.com/detail/roger+mills/2014-005920","OKCountyRecords: 2014-005920")</f>
        <v>OKCountyRecords: 2014-005920</v>
      </c>
    </row>
    <row r="1677" spans="1:11" ht="32.1" customHeight="1" x14ac:dyDescent="0.25">
      <c r="A1677" s="278" t="s">
        <v>3635</v>
      </c>
      <c r="B1677" s="266"/>
      <c r="C1677" s="266" t="s">
        <v>1623</v>
      </c>
      <c r="D1677" s="283" t="s">
        <v>4174</v>
      </c>
      <c r="E1677" s="291">
        <v>41927</v>
      </c>
      <c r="F1677" s="295">
        <v>41926</v>
      </c>
      <c r="G1677" s="287" t="s">
        <v>3637</v>
      </c>
      <c r="H1677" s="266" t="s">
        <v>3638</v>
      </c>
      <c r="I1677" s="268" t="s">
        <v>7995</v>
      </c>
      <c r="J1677" s="299" t="s">
        <v>1625</v>
      </c>
      <c r="K1677" s="259" t="str">
        <f>HYPERLINK("https://okcountyrecords.com/detail/roger+mills/2014-006293","OKCountyRecords: 2014-006293")</f>
        <v>OKCountyRecords: 2014-006293</v>
      </c>
    </row>
    <row r="1678" spans="1:11" ht="32.1" customHeight="1" x14ac:dyDescent="0.25">
      <c r="A1678" s="278" t="s">
        <v>3640</v>
      </c>
      <c r="B1678" s="266"/>
      <c r="C1678" s="266" t="s">
        <v>1107</v>
      </c>
      <c r="D1678" s="283" t="s">
        <v>7997</v>
      </c>
      <c r="E1678" s="291">
        <v>41932</v>
      </c>
      <c r="F1678" s="295">
        <v>41926</v>
      </c>
      <c r="G1678" s="287" t="s">
        <v>3642</v>
      </c>
      <c r="H1678" s="266" t="s">
        <v>1110</v>
      </c>
      <c r="I1678" s="268" t="s">
        <v>6193</v>
      </c>
      <c r="J1678" s="299" t="s">
        <v>1095</v>
      </c>
      <c r="K1678" s="259" t="str">
        <f>HYPERLINK("https://okcountyrecords.com/detail/roger+mills/2014-006352","OKCountyRecords: 2014-006352")</f>
        <v>OKCountyRecords: 2014-006352</v>
      </c>
    </row>
    <row r="1679" spans="1:11" ht="32.1" customHeight="1" x14ac:dyDescent="0.25">
      <c r="A1679" s="278" t="s">
        <v>3644</v>
      </c>
      <c r="B1679" s="266"/>
      <c r="C1679" s="266" t="s">
        <v>114</v>
      </c>
      <c r="D1679" s="283" t="s">
        <v>8000</v>
      </c>
      <c r="E1679" s="291">
        <v>42011</v>
      </c>
      <c r="F1679" s="295">
        <v>41988</v>
      </c>
      <c r="G1679" s="287" t="s">
        <v>8002</v>
      </c>
      <c r="H1679" s="266" t="s">
        <v>3647</v>
      </c>
      <c r="I1679" s="268" t="s">
        <v>6193</v>
      </c>
      <c r="J1679" s="299" t="s">
        <v>996</v>
      </c>
      <c r="K1679" s="259" t="str">
        <f>HYPERLINK("https://okcountyrecords.com/detail/roger+mills/2015-000058","OKCountyRecords: 2015-000058")</f>
        <v>OKCountyRecords: 2015-000058</v>
      </c>
    </row>
    <row r="1680" spans="1:11" ht="32.1" customHeight="1" x14ac:dyDescent="0.25">
      <c r="A1680" s="278" t="s">
        <v>3648</v>
      </c>
      <c r="B1680" s="266"/>
      <c r="C1680" s="266" t="s">
        <v>1623</v>
      </c>
      <c r="D1680" s="283" t="s">
        <v>4264</v>
      </c>
      <c r="E1680" s="291">
        <v>42068</v>
      </c>
      <c r="F1680" s="295">
        <v>42061</v>
      </c>
      <c r="G1680" s="287" t="s">
        <v>3650</v>
      </c>
      <c r="H1680" s="266" t="s">
        <v>3651</v>
      </c>
      <c r="I1680" s="268" t="s">
        <v>7219</v>
      </c>
      <c r="J1680" s="299" t="s">
        <v>1625</v>
      </c>
      <c r="K1680" s="259" t="str">
        <f>HYPERLINK("https://okcountyrecords.com/detail/roger+mills/2015-000877","OKCountyRecords: 2015-000877")</f>
        <v>OKCountyRecords: 2015-000877</v>
      </c>
    </row>
    <row r="1681" spans="1:11" ht="32.1" customHeight="1" x14ac:dyDescent="0.25">
      <c r="A1681" s="278" t="s">
        <v>3652</v>
      </c>
      <c r="B1681" s="266"/>
      <c r="C1681" s="266" t="s">
        <v>2902</v>
      </c>
      <c r="D1681" s="283" t="s">
        <v>8006</v>
      </c>
      <c r="E1681" s="291">
        <v>42115</v>
      </c>
      <c r="F1681" s="295">
        <v>42111</v>
      </c>
      <c r="G1681" s="287" t="s">
        <v>278</v>
      </c>
      <c r="H1681" s="266" t="s">
        <v>1110</v>
      </c>
      <c r="I1681" s="268" t="s">
        <v>488</v>
      </c>
      <c r="J1681" s="299" t="s">
        <v>996</v>
      </c>
      <c r="K1681" s="259" t="str">
        <f>HYPERLINK("https://okcountyrecords.com/detail/roger+mills/2015-001388","OKCountyRecords: 2015-001388")</f>
        <v>OKCountyRecords: 2015-001388</v>
      </c>
    </row>
    <row r="1682" spans="1:11" ht="32.1" customHeight="1" x14ac:dyDescent="0.25">
      <c r="A1682" s="278" t="s">
        <v>3654</v>
      </c>
      <c r="B1682" s="266"/>
      <c r="C1682" s="266" t="s">
        <v>114</v>
      </c>
      <c r="D1682" s="283" t="s">
        <v>8009</v>
      </c>
      <c r="E1682" s="291">
        <v>42139</v>
      </c>
      <c r="F1682" s="295">
        <v>42129</v>
      </c>
      <c r="G1682" s="287" t="s">
        <v>3656</v>
      </c>
      <c r="H1682" s="266" t="s">
        <v>3657</v>
      </c>
      <c r="I1682" s="268" t="s">
        <v>6193</v>
      </c>
      <c r="J1682" s="299" t="s">
        <v>996</v>
      </c>
      <c r="K1682" s="259" t="str">
        <f>HYPERLINK("https://okcountyrecords.com/detail/roger+mills/2015-001661","OKCountyRecords: 2015-001661")</f>
        <v>OKCountyRecords: 2015-001661</v>
      </c>
    </row>
    <row r="1683" spans="1:11" ht="32.1" customHeight="1" x14ac:dyDescent="0.25">
      <c r="A1683" s="278" t="s">
        <v>3658</v>
      </c>
      <c r="B1683" s="266"/>
      <c r="C1683" s="266" t="s">
        <v>114</v>
      </c>
      <c r="D1683" s="283" t="s">
        <v>8012</v>
      </c>
      <c r="E1683" s="291">
        <v>42170</v>
      </c>
      <c r="F1683" s="295">
        <v>42142</v>
      </c>
      <c r="G1683" s="287" t="s">
        <v>3376</v>
      </c>
      <c r="H1683" s="266" t="s">
        <v>3660</v>
      </c>
      <c r="I1683" s="268" t="s">
        <v>6193</v>
      </c>
      <c r="J1683" s="299" t="s">
        <v>996</v>
      </c>
      <c r="K1683" s="259" t="str">
        <f>HYPERLINK("https://okcountyrecords.com/detail/roger+mills/2015-001928","OKCountyRecords: 2015-001928")</f>
        <v>OKCountyRecords: 2015-001928</v>
      </c>
    </row>
    <row r="1684" spans="1:11" ht="32.1" customHeight="1" x14ac:dyDescent="0.25">
      <c r="A1684" s="278" t="s">
        <v>3661</v>
      </c>
      <c r="B1684" s="266"/>
      <c r="C1684" s="266" t="s">
        <v>3284</v>
      </c>
      <c r="D1684" s="283" t="s">
        <v>8015</v>
      </c>
      <c r="E1684" s="291">
        <v>42207</v>
      </c>
      <c r="F1684" s="295">
        <v>42199</v>
      </c>
      <c r="G1684" s="287" t="s">
        <v>8017</v>
      </c>
      <c r="H1684" s="266" t="s">
        <v>8018</v>
      </c>
      <c r="I1684" s="268" t="s">
        <v>6193</v>
      </c>
      <c r="J1684" s="299" t="s">
        <v>996</v>
      </c>
      <c r="K1684" s="259" t="str">
        <f>HYPERLINK("https://okcountyrecords.com/detail/roger+mills/2015-002368","OKCountyRecords: 2015-002368")</f>
        <v>OKCountyRecords: 2015-002368</v>
      </c>
    </row>
    <row r="1685" spans="1:11" ht="32.1" customHeight="1" x14ac:dyDescent="0.25">
      <c r="A1685" s="278" t="s">
        <v>3665</v>
      </c>
      <c r="B1685" s="266"/>
      <c r="C1685" s="266" t="s">
        <v>3284</v>
      </c>
      <c r="D1685" s="283" t="s">
        <v>8020</v>
      </c>
      <c r="E1685" s="291">
        <v>42207</v>
      </c>
      <c r="F1685" s="295">
        <v>42199</v>
      </c>
      <c r="G1685" s="287" t="s">
        <v>8021</v>
      </c>
      <c r="H1685" s="266" t="s">
        <v>8022</v>
      </c>
      <c r="I1685" s="268" t="s">
        <v>6193</v>
      </c>
      <c r="J1685" s="299" t="s">
        <v>996</v>
      </c>
      <c r="K1685" s="259" t="str">
        <f>HYPERLINK("https://okcountyrecords.com/detail/roger+mills/2015-002369","OKCountyRecords: 2015-002369")</f>
        <v>OKCountyRecords: 2015-002369</v>
      </c>
    </row>
    <row r="1686" spans="1:11" ht="32.1" customHeight="1" x14ac:dyDescent="0.25">
      <c r="A1686" s="278" t="s">
        <v>3669</v>
      </c>
      <c r="B1686" s="266"/>
      <c r="C1686" s="266" t="s">
        <v>114</v>
      </c>
      <c r="D1686" s="283" t="s">
        <v>8024</v>
      </c>
      <c r="E1686" s="291">
        <v>42250</v>
      </c>
      <c r="F1686" s="295">
        <v>41821</v>
      </c>
      <c r="G1686" s="287" t="s">
        <v>3671</v>
      </c>
      <c r="H1686" s="266" t="s">
        <v>3672</v>
      </c>
      <c r="I1686" s="268" t="s">
        <v>6193</v>
      </c>
      <c r="J1686" s="299" t="s">
        <v>996</v>
      </c>
      <c r="K1686" s="259" t="str">
        <f>HYPERLINK("https://okcountyrecords.com/detail/roger+mills/2015-002747","OKCountyRecords: 2015-002747")</f>
        <v>OKCountyRecords: 2015-002747</v>
      </c>
    </row>
    <row r="1687" spans="1:11" ht="32.1" customHeight="1" x14ac:dyDescent="0.25">
      <c r="A1687" s="278" t="s">
        <v>3673</v>
      </c>
      <c r="B1687" s="266"/>
      <c r="C1687" s="266" t="s">
        <v>114</v>
      </c>
      <c r="D1687" s="283" t="s">
        <v>8027</v>
      </c>
      <c r="E1687" s="291">
        <v>42250</v>
      </c>
      <c r="F1687" s="295">
        <v>41944</v>
      </c>
      <c r="G1687" s="287" t="s">
        <v>3675</v>
      </c>
      <c r="H1687" s="266" t="s">
        <v>3672</v>
      </c>
      <c r="I1687" s="268" t="s">
        <v>6193</v>
      </c>
      <c r="J1687" s="299" t="s">
        <v>996</v>
      </c>
      <c r="K1687" s="259" t="str">
        <f>HYPERLINK("https://okcountyrecords.com/detail/roger+mills/2015-002749","OKCountyRecords: 2015-002749")</f>
        <v>OKCountyRecords: 2015-002749</v>
      </c>
    </row>
    <row r="1688" spans="1:11" ht="32.1" customHeight="1" x14ac:dyDescent="0.25">
      <c r="A1688" s="278" t="s">
        <v>3676</v>
      </c>
      <c r="B1688" s="266"/>
      <c r="C1688" s="266" t="s">
        <v>1623</v>
      </c>
      <c r="D1688" s="283" t="s">
        <v>4265</v>
      </c>
      <c r="E1688" s="291">
        <v>42255</v>
      </c>
      <c r="F1688" s="295">
        <v>42242</v>
      </c>
      <c r="G1688" s="287" t="s">
        <v>3678</v>
      </c>
      <c r="H1688" s="266" t="s">
        <v>3679</v>
      </c>
      <c r="I1688" s="268" t="s">
        <v>8030</v>
      </c>
      <c r="J1688" s="299" t="s">
        <v>1625</v>
      </c>
      <c r="K1688" s="259" t="str">
        <f>HYPERLINK("https://okcountyrecords.com/detail/roger+mills/2015-002791","OKCountyRecords: 2015-002791")</f>
        <v>OKCountyRecords: 2015-002791</v>
      </c>
    </row>
    <row r="1689" spans="1:11" ht="32.1" customHeight="1" x14ac:dyDescent="0.25">
      <c r="A1689" s="278" t="s">
        <v>3681</v>
      </c>
      <c r="B1689" s="266"/>
      <c r="C1689" s="266" t="s">
        <v>2441</v>
      </c>
      <c r="D1689" s="283" t="s">
        <v>8032</v>
      </c>
      <c r="E1689" s="291">
        <v>42285</v>
      </c>
      <c r="F1689" s="295">
        <v>42199</v>
      </c>
      <c r="G1689" s="287" t="s">
        <v>3683</v>
      </c>
      <c r="H1689" s="266" t="s">
        <v>8034</v>
      </c>
      <c r="I1689" s="268" t="s">
        <v>6193</v>
      </c>
      <c r="J1689" s="299" t="s">
        <v>1095</v>
      </c>
      <c r="K1689" s="259" t="str">
        <f>HYPERLINK("https://okcountyrecords.com/detail/roger+mills/2015-003022","OKCountyRecords: 2015-003022")</f>
        <v>OKCountyRecords: 2015-003022</v>
      </c>
    </row>
    <row r="1690" spans="1:11" ht="32.1" customHeight="1" x14ac:dyDescent="0.25">
      <c r="A1690" s="278" t="s">
        <v>3685</v>
      </c>
      <c r="B1690" s="266"/>
      <c r="C1690" s="266" t="s">
        <v>2441</v>
      </c>
      <c r="D1690" s="283" t="s">
        <v>8036</v>
      </c>
      <c r="E1690" s="291">
        <v>42285</v>
      </c>
      <c r="F1690" s="295">
        <v>42199</v>
      </c>
      <c r="G1690" s="287" t="s">
        <v>3683</v>
      </c>
      <c r="H1690" s="266" t="s">
        <v>8037</v>
      </c>
      <c r="I1690" s="268" t="s">
        <v>6193</v>
      </c>
      <c r="J1690" s="299" t="s">
        <v>1095</v>
      </c>
      <c r="K1690" s="259" t="str">
        <f>HYPERLINK("https://okcountyrecords.com/detail/roger+mills/2015-003023","OKCountyRecords: 2015-003023")</f>
        <v>OKCountyRecords: 2015-003023</v>
      </c>
    </row>
    <row r="1691" spans="1:11" ht="32.1" customHeight="1" x14ac:dyDescent="0.25">
      <c r="A1691" s="278" t="s">
        <v>3688</v>
      </c>
      <c r="B1691" s="266"/>
      <c r="C1691" s="266" t="s">
        <v>1623</v>
      </c>
      <c r="D1691" s="283" t="s">
        <v>4266</v>
      </c>
      <c r="E1691" s="291">
        <v>42313</v>
      </c>
      <c r="F1691" s="295">
        <v>42305</v>
      </c>
      <c r="G1691" s="287" t="s">
        <v>3521</v>
      </c>
      <c r="H1691" s="266" t="s">
        <v>3690</v>
      </c>
      <c r="I1691" s="268" t="s">
        <v>7219</v>
      </c>
      <c r="J1691" s="299" t="s">
        <v>1625</v>
      </c>
      <c r="K1691" s="259" t="str">
        <f>HYPERLINK("https://okcountyrecords.com/detail/roger+mills/2015-003284","OKCountyRecords: 2015-003284")</f>
        <v>OKCountyRecords: 2015-003284</v>
      </c>
    </row>
    <row r="1692" spans="1:11" ht="32.1" customHeight="1" x14ac:dyDescent="0.25">
      <c r="A1692" s="278" t="s">
        <v>3691</v>
      </c>
      <c r="B1692" s="266"/>
      <c r="C1692" s="266" t="s">
        <v>3284</v>
      </c>
      <c r="D1692" s="283" t="s">
        <v>8041</v>
      </c>
      <c r="E1692" s="291">
        <v>42513</v>
      </c>
      <c r="F1692" s="295">
        <v>42255</v>
      </c>
      <c r="G1692" s="287" t="s">
        <v>3693</v>
      </c>
      <c r="H1692" s="266" t="s">
        <v>8043</v>
      </c>
      <c r="I1692" s="268" t="s">
        <v>8030</v>
      </c>
      <c r="J1692" s="299" t="s">
        <v>996</v>
      </c>
      <c r="K1692" s="259" t="str">
        <f>HYPERLINK("https://okcountyrecords.com/detail/roger+mills/2016-001244","OKCountyRecords: 2016-001244")</f>
        <v>OKCountyRecords: 2016-001244</v>
      </c>
    </row>
    <row r="1693" spans="1:11" ht="32.1" customHeight="1" x14ac:dyDescent="0.25">
      <c r="A1693" s="278" t="s">
        <v>3695</v>
      </c>
      <c r="B1693" s="266"/>
      <c r="C1693" s="266" t="s">
        <v>2506</v>
      </c>
      <c r="D1693" s="283" t="s">
        <v>4379</v>
      </c>
      <c r="E1693" s="291">
        <v>42556</v>
      </c>
      <c r="F1693" s="295">
        <v>42547</v>
      </c>
      <c r="G1693" s="287" t="s">
        <v>3697</v>
      </c>
      <c r="H1693" s="266" t="s">
        <v>3698</v>
      </c>
      <c r="I1693" s="268" t="s">
        <v>7835</v>
      </c>
      <c r="J1693" s="299" t="s">
        <v>985</v>
      </c>
      <c r="K1693" s="259" t="str">
        <f>HYPERLINK("https://okcountyrecords.com/detail/roger+mills/2016-001589","OKCountyRecords: 2016-001589")</f>
        <v>OKCountyRecords: 2016-001589</v>
      </c>
    </row>
    <row r="1694" spans="1:11" ht="32.1" customHeight="1" x14ac:dyDescent="0.25">
      <c r="A1694" s="278" t="s">
        <v>3700</v>
      </c>
      <c r="B1694" s="266"/>
      <c r="C1694" s="266" t="s">
        <v>82</v>
      </c>
      <c r="D1694" s="283" t="s">
        <v>4175</v>
      </c>
      <c r="E1694" s="291">
        <v>42593</v>
      </c>
      <c r="F1694" s="295">
        <v>42370</v>
      </c>
      <c r="G1694" s="287" t="s">
        <v>3567</v>
      </c>
      <c r="H1694" s="266" t="s">
        <v>3702</v>
      </c>
      <c r="I1694" s="268" t="s">
        <v>6860</v>
      </c>
      <c r="J1694" s="299" t="s">
        <v>1625</v>
      </c>
      <c r="K1694" s="259" t="str">
        <f>HYPERLINK("https://okcountyrecords.com/detail/roger+mills/2016-001882","OKCountyRecords: 2016-001882")</f>
        <v>OKCountyRecords: 2016-001882</v>
      </c>
    </row>
    <row r="1695" spans="1:11" ht="32.1" customHeight="1" x14ac:dyDescent="0.25">
      <c r="A1695" s="278" t="s">
        <v>3704</v>
      </c>
      <c r="B1695" s="266"/>
      <c r="C1695" s="266" t="s">
        <v>114</v>
      </c>
      <c r="D1695" s="283" t="s">
        <v>4445</v>
      </c>
      <c r="E1695" s="291">
        <v>42593</v>
      </c>
      <c r="F1695" s="295">
        <v>42370</v>
      </c>
      <c r="G1695" s="287" t="s">
        <v>3567</v>
      </c>
      <c r="H1695" s="266" t="s">
        <v>3706</v>
      </c>
      <c r="I1695" s="268" t="s">
        <v>6193</v>
      </c>
      <c r="J1695" s="299" t="s">
        <v>996</v>
      </c>
      <c r="K1695" s="259" t="str">
        <f>HYPERLINK("https://okcountyrecords.com/detail/roger+mills/2016-001883","OKCountyRecords: 2016-001883")</f>
        <v>OKCountyRecords: 2016-001883</v>
      </c>
    </row>
    <row r="1696" spans="1:11" ht="32.1" customHeight="1" x14ac:dyDescent="0.25">
      <c r="A1696" s="278" t="s">
        <v>3707</v>
      </c>
      <c r="B1696" s="266"/>
      <c r="C1696" s="266" t="s">
        <v>1317</v>
      </c>
      <c r="D1696" s="283" t="s">
        <v>8050</v>
      </c>
      <c r="E1696" s="291">
        <v>42642</v>
      </c>
      <c r="F1696" s="295">
        <v>36389</v>
      </c>
      <c r="G1696" s="287" t="s">
        <v>3709</v>
      </c>
      <c r="H1696" s="266" t="s">
        <v>1110</v>
      </c>
      <c r="I1696" s="268" t="s">
        <v>8052</v>
      </c>
      <c r="J1696" s="299" t="s">
        <v>1095</v>
      </c>
      <c r="K1696" s="259" t="str">
        <f>HYPERLINK("https://okcountyrecords.com/detail/roger+mills/2016-002265","OKCountyRecords: 2016-002265")</f>
        <v>OKCountyRecords: 2016-002265</v>
      </c>
    </row>
    <row r="1697" spans="1:11" ht="32.1" customHeight="1" x14ac:dyDescent="0.25">
      <c r="A1697" s="278" t="s">
        <v>3716</v>
      </c>
      <c r="B1697" s="266"/>
      <c r="C1697" s="266" t="s">
        <v>114</v>
      </c>
      <c r="D1697" s="283" t="s">
        <v>4446</v>
      </c>
      <c r="E1697" s="291">
        <v>42719</v>
      </c>
      <c r="F1697" s="295">
        <v>42673</v>
      </c>
      <c r="G1697" s="287" t="s">
        <v>3453</v>
      </c>
      <c r="H1697" s="266" t="s">
        <v>3454</v>
      </c>
      <c r="I1697" s="268" t="s">
        <v>6193</v>
      </c>
      <c r="J1697" s="299" t="s">
        <v>996</v>
      </c>
      <c r="K1697" s="259" t="str">
        <f>HYPERLINK("https://okcountyrecords.com/detail/roger+mills/2016-002793","63e8b9a8d056433a9994fe46ca85076b.pdf | OKCountyRecords: 2016-002793")</f>
        <v>63e8b9a8d056433a9994fe46ca85076b.pdf | OKCountyRecords: 2016-002793</v>
      </c>
    </row>
    <row r="1698" spans="1:11" ht="32.1" customHeight="1" x14ac:dyDescent="0.25">
      <c r="A1698" s="278" t="s">
        <v>3718</v>
      </c>
      <c r="B1698" s="266"/>
      <c r="C1698" s="266" t="s">
        <v>114</v>
      </c>
      <c r="D1698" s="283" t="s">
        <v>120</v>
      </c>
      <c r="E1698" s="291">
        <v>42752</v>
      </c>
      <c r="F1698" s="295">
        <v>42682</v>
      </c>
      <c r="G1698" s="287" t="s">
        <v>3720</v>
      </c>
      <c r="H1698" s="266" t="s">
        <v>3721</v>
      </c>
      <c r="I1698" s="268" t="s">
        <v>5812</v>
      </c>
      <c r="J1698" s="299" t="s">
        <v>996</v>
      </c>
      <c r="K1698" s="259" t="str">
        <f>HYPERLINK("https://okcountyrecords.com/detail/roger+mills/2017-000083","OKCountyRecords: 2017-000083")</f>
        <v>OKCountyRecords: 2017-000083</v>
      </c>
    </row>
    <row r="1699" spans="1:11" ht="32.1" customHeight="1" x14ac:dyDescent="0.25">
      <c r="A1699" s="278" t="s">
        <v>3727</v>
      </c>
      <c r="B1699" s="266"/>
      <c r="C1699" s="266" t="s">
        <v>1623</v>
      </c>
      <c r="D1699" s="283" t="s">
        <v>85</v>
      </c>
      <c r="E1699" s="291">
        <v>42858</v>
      </c>
      <c r="F1699" s="295">
        <v>42855</v>
      </c>
      <c r="G1699" s="287" t="s">
        <v>730</v>
      </c>
      <c r="H1699" s="266" t="s">
        <v>3728</v>
      </c>
      <c r="I1699" s="268" t="s">
        <v>7263</v>
      </c>
      <c r="J1699" s="299" t="s">
        <v>1625</v>
      </c>
      <c r="K1699" s="259" t="str">
        <f>HYPERLINK("https://okcountyrecords.com/detail/roger+mills/2017-000951/19673811","OKCountyRecords: 2017-000951")</f>
        <v>OKCountyRecords: 2017-000951</v>
      </c>
    </row>
    <row r="1700" spans="1:11" ht="32.1" customHeight="1" x14ac:dyDescent="0.25">
      <c r="A1700" s="278" t="s">
        <v>3733</v>
      </c>
      <c r="B1700" s="266"/>
      <c r="C1700" s="266" t="s">
        <v>1623</v>
      </c>
      <c r="D1700" s="283" t="s">
        <v>4176</v>
      </c>
      <c r="E1700" s="291">
        <v>42996</v>
      </c>
      <c r="F1700" s="295">
        <v>42985</v>
      </c>
      <c r="G1700" s="287" t="s">
        <v>520</v>
      </c>
      <c r="H1700" s="266" t="s">
        <v>3735</v>
      </c>
      <c r="I1700" s="268" t="s">
        <v>6193</v>
      </c>
      <c r="J1700" s="299" t="s">
        <v>1625</v>
      </c>
      <c r="K1700" s="259" t="str">
        <f>HYPERLINK("https://okcountyrecords.com/detail/roger+mills/2017-001880","OKCountyRecords: 2017-001880")</f>
        <v>OKCountyRecords: 2017-001880</v>
      </c>
    </row>
    <row r="1701" spans="1:11" ht="32.1" customHeight="1" x14ac:dyDescent="0.25">
      <c r="A1701" s="278" t="s">
        <v>3736</v>
      </c>
      <c r="B1701" s="266"/>
      <c r="C1701" s="266" t="s">
        <v>2437</v>
      </c>
      <c r="D1701" s="283" t="s">
        <v>5750</v>
      </c>
      <c r="E1701" s="291">
        <v>43088</v>
      </c>
      <c r="F1701" s="295">
        <v>43070</v>
      </c>
      <c r="G1701" s="287" t="s">
        <v>3706</v>
      </c>
      <c r="H1701" s="266" t="s">
        <v>3738</v>
      </c>
      <c r="I1701" s="268" t="s">
        <v>6193</v>
      </c>
      <c r="J1701" s="299" t="s">
        <v>985</v>
      </c>
      <c r="K1701" s="259" t="str">
        <f>HYPERLINK("https://okcountyrecords.com/detail/roger+mills/2017-002694","63e8b9a8d056433a9994fe46ca85076b.pdf | OKCountyRecords: 2017-002694")</f>
        <v>63e8b9a8d056433a9994fe46ca85076b.pdf | OKCountyRecords: 2017-002694</v>
      </c>
    </row>
    <row r="1702" spans="1:11" ht="32.1" customHeight="1" x14ac:dyDescent="0.25">
      <c r="A1702" s="278" t="s">
        <v>3742</v>
      </c>
      <c r="B1702" s="266"/>
      <c r="C1702" s="266" t="s">
        <v>114</v>
      </c>
      <c r="D1702" s="283" t="s">
        <v>113</v>
      </c>
      <c r="E1702" s="291">
        <v>43119</v>
      </c>
      <c r="F1702" s="295">
        <v>43083</v>
      </c>
      <c r="G1702" s="287" t="s">
        <v>3479</v>
      </c>
      <c r="H1702" s="266" t="s">
        <v>3634</v>
      </c>
      <c r="I1702" s="268" t="s">
        <v>242</v>
      </c>
      <c r="J1702" s="299" t="s">
        <v>996</v>
      </c>
      <c r="K1702" s="259" t="str">
        <f>HYPERLINK("https://okcountyrecords.com/detail/roger+mills/2018-000119/20639253","OKCountyRecords: 2018-000119")</f>
        <v>OKCountyRecords: 2018-000119</v>
      </c>
    </row>
    <row r="1703" spans="1:11" ht="32.1" customHeight="1" x14ac:dyDescent="0.25">
      <c r="A1703" s="278" t="s">
        <v>3743</v>
      </c>
      <c r="B1703" s="266"/>
      <c r="C1703" s="266" t="s">
        <v>1107</v>
      </c>
      <c r="D1703" s="283" t="s">
        <v>8060</v>
      </c>
      <c r="E1703" s="291">
        <v>43272</v>
      </c>
      <c r="F1703" s="295">
        <v>43249</v>
      </c>
      <c r="G1703" s="287" t="s">
        <v>3745</v>
      </c>
      <c r="H1703" s="266" t="s">
        <v>1110</v>
      </c>
      <c r="I1703" s="268" t="s">
        <v>6193</v>
      </c>
      <c r="J1703" s="299" t="s">
        <v>1095</v>
      </c>
      <c r="K1703" s="259" t="str">
        <f>HYPERLINK("https://okcountyrecords.com/detail/roger+mills/2018-001569","OKCountyRecords: 2018-001569")</f>
        <v>OKCountyRecords: 2018-001569</v>
      </c>
    </row>
    <row r="1704" spans="1:11" ht="32.1" customHeight="1" x14ac:dyDescent="0.25">
      <c r="A1704" s="278" t="s">
        <v>3746</v>
      </c>
      <c r="B1704" s="266"/>
      <c r="C1704" s="266" t="s">
        <v>3284</v>
      </c>
      <c r="D1704" s="283" t="s">
        <v>5752</v>
      </c>
      <c r="E1704" s="291">
        <v>43327</v>
      </c>
      <c r="F1704" s="295">
        <v>43314</v>
      </c>
      <c r="G1704" s="287" t="s">
        <v>8064</v>
      </c>
      <c r="H1704" s="266" t="s">
        <v>1110</v>
      </c>
      <c r="I1704" s="268" t="s">
        <v>6193</v>
      </c>
      <c r="J1704" s="299" t="s">
        <v>996</v>
      </c>
      <c r="K1704" s="259" t="str">
        <f>HYPERLINK("https://okcountyrecords.com/detail/roger+mills/2018-002049","63e8b9a8d056433a9994fe46ca85076b.pdf | OKCountyRecords: 2018-002049")</f>
        <v>63e8b9a8d056433a9994fe46ca85076b.pdf | OKCountyRecords: 2018-002049</v>
      </c>
    </row>
    <row r="1705" spans="1:11" ht="32.1" customHeight="1" x14ac:dyDescent="0.25">
      <c r="A1705" s="278" t="s">
        <v>3749</v>
      </c>
      <c r="B1705" s="266"/>
      <c r="C1705" s="266" t="s">
        <v>114</v>
      </c>
      <c r="D1705" s="283" t="s">
        <v>8066</v>
      </c>
      <c r="E1705" s="291">
        <v>43350</v>
      </c>
      <c r="F1705" s="295">
        <v>43291</v>
      </c>
      <c r="G1705" s="287" t="s">
        <v>3751</v>
      </c>
      <c r="H1705" s="266" t="s">
        <v>3752</v>
      </c>
      <c r="I1705" s="268" t="s">
        <v>7787</v>
      </c>
      <c r="J1705" s="299" t="s">
        <v>996</v>
      </c>
      <c r="K1705" s="259" t="str">
        <f>HYPERLINK("https://okcountyrecords.com/detail/roger+mills/2018-002306","OKCountyRecords: 2018-002306")</f>
        <v>OKCountyRecords: 2018-002306</v>
      </c>
    </row>
    <row r="1706" spans="1:11" ht="32.1" customHeight="1" x14ac:dyDescent="0.25">
      <c r="A1706" s="278" t="s">
        <v>3757</v>
      </c>
      <c r="B1706" s="266"/>
      <c r="C1706" s="266" t="s">
        <v>82</v>
      </c>
      <c r="D1706" s="283" t="s">
        <v>81</v>
      </c>
      <c r="E1706" s="291">
        <v>43382</v>
      </c>
      <c r="F1706" s="295">
        <v>43363</v>
      </c>
      <c r="G1706" s="287" t="s">
        <v>3758</v>
      </c>
      <c r="H1706" s="266" t="s">
        <v>3759</v>
      </c>
      <c r="I1706" s="268" t="s">
        <v>7200</v>
      </c>
      <c r="J1706" s="299" t="s">
        <v>1625</v>
      </c>
      <c r="K1706" s="259" t="str">
        <f>HYPERLINK("https://okcountyrecords.com/detail/roger+mills/2018-002650/21458328","OKCountyRecords: 2018-002650")</f>
        <v>OKCountyRecords: 2018-002650</v>
      </c>
    </row>
    <row r="1707" spans="1:11" ht="32.1" customHeight="1" x14ac:dyDescent="0.25">
      <c r="A1707" s="278" t="s">
        <v>3760</v>
      </c>
      <c r="B1707" s="266"/>
      <c r="C1707" s="266" t="s">
        <v>1623</v>
      </c>
      <c r="D1707" s="283" t="s">
        <v>8069</v>
      </c>
      <c r="E1707" s="291">
        <v>43392</v>
      </c>
      <c r="F1707" s="295">
        <v>43281</v>
      </c>
      <c r="G1707" s="287" t="s">
        <v>3762</v>
      </c>
      <c r="H1707" s="266" t="s">
        <v>3763</v>
      </c>
      <c r="I1707" s="268" t="s">
        <v>6193</v>
      </c>
      <c r="J1707" s="299" t="s">
        <v>1625</v>
      </c>
      <c r="K1707" s="259" t="str">
        <f>HYPERLINK("https://okcountyrecords.com/detail/roger+mills/2018-002786","OKCountyRecords: 2018-002786")</f>
        <v>OKCountyRecords: 2018-002786</v>
      </c>
    </row>
    <row r="1708" spans="1:11" ht="32.1" customHeight="1" x14ac:dyDescent="0.25">
      <c r="A1708" s="278" t="s">
        <v>3764</v>
      </c>
      <c r="B1708" s="266"/>
      <c r="C1708" s="266" t="s">
        <v>1623</v>
      </c>
      <c r="D1708" s="283" t="s">
        <v>4267</v>
      </c>
      <c r="E1708" s="291">
        <v>43693</v>
      </c>
      <c r="F1708" s="295">
        <v>43423</v>
      </c>
      <c r="G1708" s="287" t="s">
        <v>438</v>
      </c>
      <c r="H1708" s="266" t="s">
        <v>263</v>
      </c>
      <c r="I1708" s="268" t="s">
        <v>7219</v>
      </c>
      <c r="J1708" s="299" t="s">
        <v>1625</v>
      </c>
      <c r="K1708" s="259" t="str">
        <f>HYPERLINK("https://okcountyrecords.com/detail/roger+mills/2019-001747","OKCountyRecords: 2019-001747")</f>
        <v>OKCountyRecords: 2019-001747</v>
      </c>
    </row>
    <row r="1709" spans="1:11" ht="32.1" customHeight="1" x14ac:dyDescent="0.25">
      <c r="A1709" s="278" t="s">
        <v>3766</v>
      </c>
      <c r="B1709" s="266"/>
      <c r="C1709" s="266" t="s">
        <v>114</v>
      </c>
      <c r="D1709" s="283" t="s">
        <v>4447</v>
      </c>
      <c r="E1709" s="291">
        <v>43698</v>
      </c>
      <c r="F1709" s="295">
        <v>43564</v>
      </c>
      <c r="G1709" s="287" t="s">
        <v>3763</v>
      </c>
      <c r="H1709" s="266" t="s">
        <v>3769</v>
      </c>
      <c r="I1709" s="268" t="s">
        <v>6193</v>
      </c>
      <c r="J1709" s="299" t="s">
        <v>996</v>
      </c>
      <c r="K1709" s="259" t="str">
        <f>HYPERLINK("https://okcountyrecords.com/detail/roger+mills/2019-001779","63e8b9a8d056433a9994fe46ca85076b.pdf | OKCountyRecords: 2019-001779")</f>
        <v>63e8b9a8d056433a9994fe46ca85076b.pdf | OKCountyRecords: 2019-001779</v>
      </c>
    </row>
    <row r="1710" spans="1:11" ht="32.1" customHeight="1" x14ac:dyDescent="0.25">
      <c r="A1710" s="278" t="s">
        <v>3773</v>
      </c>
      <c r="B1710" s="266"/>
      <c r="C1710" s="266" t="s">
        <v>1623</v>
      </c>
      <c r="D1710" s="283" t="s">
        <v>78</v>
      </c>
      <c r="E1710" s="291">
        <v>43711</v>
      </c>
      <c r="F1710" s="295">
        <v>43669</v>
      </c>
      <c r="G1710" s="287" t="s">
        <v>3774</v>
      </c>
      <c r="H1710" s="266" t="s">
        <v>3772</v>
      </c>
      <c r="I1710" s="268" t="s">
        <v>717</v>
      </c>
      <c r="J1710" s="299" t="s">
        <v>1625</v>
      </c>
      <c r="K1710" s="259" t="str">
        <f>HYPERLINK("https://okcountyrecords.com/detail/roger+mills/2019-001855/22296278","OKCountyRecords: 2019-001855")</f>
        <v>OKCountyRecords: 2019-001855</v>
      </c>
    </row>
    <row r="1711" spans="1:11" ht="32.1" customHeight="1" x14ac:dyDescent="0.25">
      <c r="A1711" s="278" t="s">
        <v>3779</v>
      </c>
      <c r="B1711" s="266"/>
      <c r="C1711" s="266" t="s">
        <v>1107</v>
      </c>
      <c r="D1711" s="283" t="s">
        <v>8076</v>
      </c>
      <c r="E1711" s="291">
        <v>44060</v>
      </c>
      <c r="F1711" s="295">
        <v>44050</v>
      </c>
      <c r="G1711" s="287" t="s">
        <v>3781</v>
      </c>
      <c r="H1711" s="266" t="s">
        <v>1110</v>
      </c>
      <c r="I1711" s="268" t="s">
        <v>6193</v>
      </c>
      <c r="J1711" s="299" t="s">
        <v>1095</v>
      </c>
      <c r="K1711" s="259" t="str">
        <f>HYPERLINK("https://okcountyrecords.com/detail/roger+mills/2020-001279","OKCountyRecords: 2020-001279")</f>
        <v>OKCountyRecords: 2020-001279</v>
      </c>
    </row>
    <row r="1712" spans="1:11" ht="32.1" customHeight="1" x14ac:dyDescent="0.25">
      <c r="A1712" s="278" t="s">
        <v>3782</v>
      </c>
      <c r="B1712" s="266"/>
      <c r="C1712" s="266" t="s">
        <v>3783</v>
      </c>
      <c r="D1712" s="283" t="s">
        <v>8079</v>
      </c>
      <c r="E1712" s="291">
        <v>44060</v>
      </c>
      <c r="F1712" s="295">
        <v>44060</v>
      </c>
      <c r="G1712" s="287" t="s">
        <v>3376</v>
      </c>
      <c r="H1712" s="266" t="s">
        <v>3785</v>
      </c>
      <c r="I1712" s="268" t="s">
        <v>6193</v>
      </c>
      <c r="J1712" s="299" t="s">
        <v>1095</v>
      </c>
      <c r="K1712" s="259" t="str">
        <f>HYPERLINK("https://okcountyrecords.com/detail/roger+mills/2020-001282","63e8b9a8d056433a9994fe46ca85076b.pdf | OKCountyRecords: 2020-001282")</f>
        <v>63e8b9a8d056433a9994fe46ca85076b.pdf | OKCountyRecords: 2020-001282</v>
      </c>
    </row>
    <row r="1713" spans="1:11" ht="32.1" customHeight="1" x14ac:dyDescent="0.25">
      <c r="A1713" s="278" t="s">
        <v>3775</v>
      </c>
      <c r="B1713" s="266"/>
      <c r="C1713" s="266" t="s">
        <v>114</v>
      </c>
      <c r="D1713" s="283" t="s">
        <v>4448</v>
      </c>
      <c r="E1713" s="291">
        <v>44060</v>
      </c>
      <c r="F1713" s="295">
        <v>43831</v>
      </c>
      <c r="G1713" s="287" t="s">
        <v>8081</v>
      </c>
      <c r="H1713" s="266" t="s">
        <v>3778</v>
      </c>
      <c r="I1713" s="268" t="s">
        <v>6193</v>
      </c>
      <c r="J1713" s="299" t="s">
        <v>996</v>
      </c>
      <c r="K1713" s="259" t="str">
        <f>HYPERLINK("https://okcountyrecords.com/detail/roger+mills/2020-001283","63e8b9a8d056433a9994fe46ca85076b.pdf | OKCountyRecords: 2020-001283")</f>
        <v>63e8b9a8d056433a9994fe46ca85076b.pdf | OKCountyRecords: 2020-001283</v>
      </c>
    </row>
    <row r="1714" spans="1:11" ht="32.1" customHeight="1" x14ac:dyDescent="0.25">
      <c r="A1714" s="278" t="s">
        <v>3786</v>
      </c>
      <c r="B1714" s="266"/>
      <c r="C1714" s="266" t="s">
        <v>82</v>
      </c>
      <c r="D1714" s="283" t="s">
        <v>4380</v>
      </c>
      <c r="E1714" s="291">
        <v>44076</v>
      </c>
      <c r="F1714" s="295">
        <v>44071</v>
      </c>
      <c r="G1714" s="287" t="s">
        <v>3788</v>
      </c>
      <c r="H1714" s="266" t="s">
        <v>3789</v>
      </c>
      <c r="I1714" s="268" t="s">
        <v>8084</v>
      </c>
      <c r="J1714" s="299" t="s">
        <v>1625</v>
      </c>
      <c r="K1714" s="259" t="str">
        <f>HYPERLINK("https://okcountyrecords.com/detail/roger+mills/2020-001374","OKCountyRecords: 2020-001374")</f>
        <v>OKCountyRecords: 2020-001374</v>
      </c>
    </row>
    <row r="1715" spans="1:11" ht="32.1" customHeight="1" x14ac:dyDescent="0.25">
      <c r="A1715" s="278" t="s">
        <v>3791</v>
      </c>
      <c r="B1715" s="266"/>
      <c r="C1715" s="266" t="s">
        <v>114</v>
      </c>
      <c r="D1715" s="283" t="s">
        <v>4449</v>
      </c>
      <c r="E1715" s="291">
        <v>44118</v>
      </c>
      <c r="F1715" s="295">
        <v>44105</v>
      </c>
      <c r="G1715" s="287" t="s">
        <v>8087</v>
      </c>
      <c r="H1715" s="266" t="s">
        <v>3794</v>
      </c>
      <c r="I1715" s="268" t="s">
        <v>6193</v>
      </c>
      <c r="J1715" s="299" t="s">
        <v>996</v>
      </c>
      <c r="K1715" s="259" t="str">
        <f>HYPERLINK("https://okcountyrecords.com/detail/roger+mills/2020-001577","63e8b9a8d056433a9994fe46ca85076b.pdf | OKCountyRecords: 2020-001577")</f>
        <v>63e8b9a8d056433a9994fe46ca85076b.pdf | OKCountyRecords: 2020-001577</v>
      </c>
    </row>
    <row r="1716" spans="1:11" ht="32.1" customHeight="1" x14ac:dyDescent="0.25">
      <c r="A1716" s="278" t="s">
        <v>3796</v>
      </c>
      <c r="B1716" s="266"/>
      <c r="C1716" s="266" t="s">
        <v>82</v>
      </c>
      <c r="D1716" s="283" t="s">
        <v>4268</v>
      </c>
      <c r="E1716" s="291">
        <v>44133</v>
      </c>
      <c r="F1716" s="295">
        <v>44126</v>
      </c>
      <c r="G1716" s="287" t="s">
        <v>3798</v>
      </c>
      <c r="H1716" s="266" t="s">
        <v>3799</v>
      </c>
      <c r="I1716" s="268" t="s">
        <v>7219</v>
      </c>
      <c r="J1716" s="299" t="s">
        <v>1625</v>
      </c>
      <c r="K1716" s="259" t="str">
        <f>HYPERLINK("https://okcountyrecords.com/detail/roger+mills/2020-001650","OKCountyRecords: 2020-001650")</f>
        <v>OKCountyRecords: 2020-001650</v>
      </c>
    </row>
    <row r="1717" spans="1:11" ht="32.1" customHeight="1" x14ac:dyDescent="0.25">
      <c r="A1717" s="278" t="s">
        <v>3800</v>
      </c>
      <c r="B1717" s="266"/>
      <c r="C1717" s="266" t="s">
        <v>1623</v>
      </c>
      <c r="D1717" s="283" t="s">
        <v>5762</v>
      </c>
      <c r="E1717" s="291">
        <v>44144</v>
      </c>
      <c r="F1717" s="295">
        <v>44136</v>
      </c>
      <c r="G1717" s="287" t="s">
        <v>3802</v>
      </c>
      <c r="H1717" s="266" t="s">
        <v>3803</v>
      </c>
      <c r="I1717" s="268" t="s">
        <v>6193</v>
      </c>
      <c r="J1717" s="299" t="s">
        <v>1625</v>
      </c>
      <c r="K1717" s="259" t="str">
        <f>HYPERLINK("https://okcountyrecords.com/detail/roger+mills/2020-001708","63e8b9a8d056433a9994fe46ca85076b.pdf | OKCountyRecords: 2020-001708")</f>
        <v>63e8b9a8d056433a9994fe46ca85076b.pdf | OKCountyRecords: 2020-001708</v>
      </c>
    </row>
    <row r="1718" spans="1:11" ht="32.1" customHeight="1" x14ac:dyDescent="0.25">
      <c r="A1718" s="278" t="s">
        <v>3808</v>
      </c>
      <c r="B1718" s="266"/>
      <c r="C1718" s="266" t="s">
        <v>114</v>
      </c>
      <c r="D1718" s="283" t="s">
        <v>117</v>
      </c>
      <c r="E1718" s="291">
        <v>44175</v>
      </c>
      <c r="F1718" s="295">
        <v>44136</v>
      </c>
      <c r="G1718" s="287" t="s">
        <v>4462</v>
      </c>
      <c r="H1718" s="266" t="s">
        <v>4463</v>
      </c>
      <c r="I1718" s="268" t="s">
        <v>242</v>
      </c>
      <c r="J1718" s="299" t="s">
        <v>996</v>
      </c>
      <c r="K1718" s="259" t="str">
        <f>HYPERLINK("https://okcountyrecords.com/detail/roger+mills/2020-001954/26392975","OKCountyRecords: 2020-001954")</f>
        <v>OKCountyRecords: 2020-001954</v>
      </c>
    </row>
    <row r="1719" spans="1:11" ht="32.1" customHeight="1" x14ac:dyDescent="0.25">
      <c r="A1719" s="278" t="s">
        <v>3811</v>
      </c>
      <c r="B1719" s="266"/>
      <c r="C1719" s="266" t="s">
        <v>8093</v>
      </c>
      <c r="D1719" s="283" t="s">
        <v>5764</v>
      </c>
      <c r="E1719" s="291">
        <v>44314</v>
      </c>
      <c r="F1719" s="295">
        <v>44182</v>
      </c>
      <c r="G1719" s="287" t="s">
        <v>3672</v>
      </c>
      <c r="H1719" s="266" t="s">
        <v>3814</v>
      </c>
      <c r="I1719" s="268" t="s">
        <v>6193</v>
      </c>
      <c r="J1719" s="299" t="s">
        <v>985</v>
      </c>
      <c r="K1719" s="259" t="str">
        <f>HYPERLINK("https://okcountyrecords.com/detail/roger+mills/2021-000697","63e8b9a8d056433a9994fe46ca85076b.pdf | OKCountyRecords: 2021-000697")</f>
        <v>63e8b9a8d056433a9994fe46ca85076b.pdf | OKCountyRecords: 2021-000697</v>
      </c>
    </row>
    <row r="1720" spans="1:11" ht="32.1" customHeight="1" x14ac:dyDescent="0.25">
      <c r="A1720" s="278" t="s">
        <v>3816</v>
      </c>
      <c r="B1720" s="266"/>
      <c r="C1720" s="266" t="s">
        <v>1623</v>
      </c>
      <c r="D1720" s="283" t="s">
        <v>4177</v>
      </c>
      <c r="E1720" s="291">
        <v>44377</v>
      </c>
      <c r="F1720" s="295">
        <v>44348</v>
      </c>
      <c r="G1720" s="287" t="s">
        <v>3818</v>
      </c>
      <c r="H1720" s="266" t="s">
        <v>3819</v>
      </c>
      <c r="I1720" s="268" t="s">
        <v>7200</v>
      </c>
      <c r="J1720" s="299" t="s">
        <v>1625</v>
      </c>
      <c r="K1720" s="259" t="str">
        <f>HYPERLINK("https://okcountyrecords.com/detail/roger+mills/2021-001068","OKCountyRecords: 2021-001068")</f>
        <v>OKCountyRecords: 2021-001068</v>
      </c>
    </row>
    <row r="1721" spans="1:11" ht="32.1" customHeight="1" x14ac:dyDescent="0.25">
      <c r="A1721" s="278" t="s">
        <v>3820</v>
      </c>
      <c r="B1721" s="266"/>
      <c r="C1721" s="266" t="s">
        <v>993</v>
      </c>
      <c r="D1721" s="283" t="s">
        <v>8098</v>
      </c>
      <c r="E1721" s="291">
        <v>44432</v>
      </c>
      <c r="F1721" s="295">
        <v>44398</v>
      </c>
      <c r="G1721" s="287" t="s">
        <v>3822</v>
      </c>
      <c r="H1721" s="266" t="s">
        <v>3823</v>
      </c>
      <c r="I1721" s="268" t="s">
        <v>7423</v>
      </c>
      <c r="J1721" s="299" t="s">
        <v>996</v>
      </c>
      <c r="K1721" s="259" t="str">
        <f>HYPERLINK("https://okcountyrecords.com/detail/roger+mills/2021-001366","OKCountyRecords: 2021-001366")</f>
        <v>OKCountyRecords: 2021-001366</v>
      </c>
    </row>
    <row r="1722" spans="1:11" ht="32.1" customHeight="1" x14ac:dyDescent="0.25">
      <c r="A1722" s="278" t="s">
        <v>3824</v>
      </c>
      <c r="B1722" s="266"/>
      <c r="C1722" s="266" t="s">
        <v>2441</v>
      </c>
      <c r="D1722" s="283" t="s">
        <v>8101</v>
      </c>
      <c r="E1722" s="291">
        <v>44449</v>
      </c>
      <c r="F1722" s="295">
        <v>44044</v>
      </c>
      <c r="G1722" s="287" t="s">
        <v>3826</v>
      </c>
      <c r="H1722" s="266" t="s">
        <v>3794</v>
      </c>
      <c r="I1722" s="268" t="s">
        <v>6193</v>
      </c>
      <c r="J1722" s="299" t="s">
        <v>1095</v>
      </c>
      <c r="K1722" s="259" t="str">
        <f>HYPERLINK("https://okcountyrecords.com/detail/roger+mills/2021-001486","OKCountyRecords: 2021-001486")</f>
        <v>OKCountyRecords: 2021-001486</v>
      </c>
    </row>
    <row r="1723" spans="1:11" ht="32.1" customHeight="1" x14ac:dyDescent="0.25">
      <c r="A1723" s="278" t="s">
        <v>3827</v>
      </c>
      <c r="B1723" s="266"/>
      <c r="C1723" s="266" t="s">
        <v>1107</v>
      </c>
      <c r="D1723" s="283" t="s">
        <v>5766</v>
      </c>
      <c r="E1723" s="291">
        <v>44462</v>
      </c>
      <c r="F1723" s="295">
        <v>44407</v>
      </c>
      <c r="G1723" s="287" t="s">
        <v>3829</v>
      </c>
      <c r="H1723" s="266" t="s">
        <v>1110</v>
      </c>
      <c r="I1723" s="268" t="s">
        <v>6193</v>
      </c>
      <c r="J1723" s="299" t="s">
        <v>1095</v>
      </c>
      <c r="K1723" s="259" t="str">
        <f>HYPERLINK("https://okcountyrecords.com/detail/roger+mills/2021-001557","63e8b9a8d056433a9994fe46ca85076b.pdf | OKCountyRecords: 2021-001557")</f>
        <v>63e8b9a8d056433a9994fe46ca85076b.pdf | OKCountyRecords: 2021-001557</v>
      </c>
    </row>
    <row r="1724" spans="1:11" ht="32.1" customHeight="1" x14ac:dyDescent="0.25">
      <c r="A1724" s="278" t="s">
        <v>3831</v>
      </c>
      <c r="B1724" s="266"/>
      <c r="C1724" s="266" t="s">
        <v>3832</v>
      </c>
      <c r="D1724" s="283" t="s">
        <v>8106</v>
      </c>
      <c r="E1724" s="291">
        <v>44462</v>
      </c>
      <c r="F1724" s="295">
        <v>44407</v>
      </c>
      <c r="G1724" s="287" t="s">
        <v>3834</v>
      </c>
      <c r="H1724" s="266" t="s">
        <v>8107</v>
      </c>
      <c r="I1724" s="268" t="s">
        <v>6193</v>
      </c>
      <c r="J1724" s="299" t="s">
        <v>996</v>
      </c>
      <c r="K1724" s="259" t="str">
        <f>HYPERLINK("https://okcountyrecords.com/detail/roger+mills/2021-001559","63e8b9a8d056433a9994fe46ca85076b.pdf | OKCountyRecords: 2021-001559")</f>
        <v>63e8b9a8d056433a9994fe46ca85076b.pdf | OKCountyRecords: 2021-001559</v>
      </c>
    </row>
    <row r="1725" spans="1:11" ht="32.1" customHeight="1" x14ac:dyDescent="0.25">
      <c r="A1725" s="278" t="s">
        <v>3837</v>
      </c>
      <c r="B1725" s="266"/>
      <c r="C1725" s="266" t="s">
        <v>114</v>
      </c>
      <c r="D1725" s="283" t="s">
        <v>4450</v>
      </c>
      <c r="E1725" s="291">
        <v>44463</v>
      </c>
      <c r="F1725" s="295">
        <v>44348</v>
      </c>
      <c r="G1725" s="287" t="s">
        <v>3921</v>
      </c>
      <c r="H1725" s="266" t="s">
        <v>3794</v>
      </c>
      <c r="I1725" s="268" t="s">
        <v>8110</v>
      </c>
      <c r="J1725" s="299" t="s">
        <v>996</v>
      </c>
      <c r="K1725" s="259" t="str">
        <f>HYPERLINK("https://okcountyrecords.com/detail/roger+mills/2021-001561","63e8b9a8d056433a9994fe46ca85076b.pdf | OKCountyRecords: 2021-001561")</f>
        <v>63e8b9a8d056433a9994fe46ca85076b.pdf | OKCountyRecords: 2021-001561</v>
      </c>
    </row>
    <row r="1726" spans="1:11" ht="32.1" customHeight="1" x14ac:dyDescent="0.25">
      <c r="A1726" s="278" t="s">
        <v>3845</v>
      </c>
      <c r="B1726" s="266"/>
      <c r="C1726" s="266" t="s">
        <v>114</v>
      </c>
      <c r="D1726" s="283" t="s">
        <v>4451</v>
      </c>
      <c r="E1726" s="291">
        <v>44476</v>
      </c>
      <c r="F1726" s="295">
        <v>44440</v>
      </c>
      <c r="G1726" s="287" t="s">
        <v>3846</v>
      </c>
      <c r="H1726" s="266" t="s">
        <v>3847</v>
      </c>
      <c r="I1726" s="268" t="s">
        <v>6193</v>
      </c>
      <c r="J1726" s="299" t="s">
        <v>996</v>
      </c>
      <c r="K1726" s="259" t="str">
        <f>HYPERLINK("https://okcountyrecords.com/detail/roger+mills/2021-001669","OKCountyRecords: 2021-001669")</f>
        <v>OKCountyRecords: 2021-001669</v>
      </c>
    </row>
    <row r="1727" spans="1:11" ht="32.1" customHeight="1" x14ac:dyDescent="0.25">
      <c r="A1727" s="278" t="s">
        <v>3852</v>
      </c>
      <c r="B1727" s="266"/>
      <c r="C1727" s="266" t="s">
        <v>1623</v>
      </c>
      <c r="D1727" s="283" t="s">
        <v>48</v>
      </c>
      <c r="E1727" s="291">
        <v>44491</v>
      </c>
      <c r="F1727" s="295">
        <v>44489</v>
      </c>
      <c r="G1727" s="287" t="s">
        <v>3853</v>
      </c>
      <c r="H1727" s="266" t="s">
        <v>3854</v>
      </c>
      <c r="I1727" s="268" t="s">
        <v>7219</v>
      </c>
      <c r="J1727" s="299" t="s">
        <v>1625</v>
      </c>
      <c r="K1727" s="259" t="str">
        <f>HYPERLINK("https://okcountyrecords.com/detail/roger+mills/2021-001774/26955795","OKCountyRecords: 2021-001774")</f>
        <v>OKCountyRecords: 2021-001774</v>
      </c>
    </row>
    <row r="1728" spans="1:11" ht="32.1" customHeight="1" x14ac:dyDescent="0.25">
      <c r="A1728" s="278" t="s">
        <v>3855</v>
      </c>
      <c r="B1728" s="266"/>
      <c r="C1728" s="266" t="s">
        <v>114</v>
      </c>
      <c r="D1728" s="283" t="s">
        <v>8114</v>
      </c>
      <c r="E1728" s="291">
        <v>44543</v>
      </c>
      <c r="F1728" s="295">
        <v>44530</v>
      </c>
      <c r="G1728" s="287" t="s">
        <v>3846</v>
      </c>
      <c r="H1728" s="266" t="s">
        <v>3857</v>
      </c>
      <c r="I1728" s="268" t="s">
        <v>6193</v>
      </c>
      <c r="J1728" s="299" t="s">
        <v>996</v>
      </c>
      <c r="K1728" s="259" t="str">
        <f>HYPERLINK("https://okcountyrecords.com/detail/roger+mills/2021-002152","OKCountyRecords: 2021-002152")</f>
        <v>OKCountyRecords: 2021-002152</v>
      </c>
    </row>
    <row r="1729" spans="1:11" ht="32.1" customHeight="1" x14ac:dyDescent="0.25">
      <c r="A1729" s="278" t="s">
        <v>3858</v>
      </c>
      <c r="B1729" s="266"/>
      <c r="C1729" s="266" t="s">
        <v>1623</v>
      </c>
      <c r="D1729" s="283" t="s">
        <v>8117</v>
      </c>
      <c r="E1729" s="291">
        <v>44592</v>
      </c>
      <c r="F1729" s="295">
        <v>44571</v>
      </c>
      <c r="G1729" s="287" t="s">
        <v>3819</v>
      </c>
      <c r="H1729" s="266" t="s">
        <v>3860</v>
      </c>
      <c r="I1729" s="268" t="s">
        <v>6193</v>
      </c>
      <c r="J1729" s="299" t="s">
        <v>1625</v>
      </c>
      <c r="K1729" s="259" t="str">
        <f>HYPERLINK("https://okcountyrecords.com/detail/roger+mills/2022-000185","OKCountyRecords: 2022-000185")</f>
        <v>OKCountyRecords: 2022-000185</v>
      </c>
    </row>
    <row r="1730" spans="1:11" ht="32.1" customHeight="1" x14ac:dyDescent="0.25">
      <c r="A1730" s="278" t="s">
        <v>3861</v>
      </c>
      <c r="B1730" s="266"/>
      <c r="C1730" s="266" t="s">
        <v>114</v>
      </c>
      <c r="D1730" s="283" t="s">
        <v>8120</v>
      </c>
      <c r="E1730" s="291">
        <v>44615</v>
      </c>
      <c r="F1730" s="295">
        <v>44562</v>
      </c>
      <c r="G1730" s="287" t="s">
        <v>3863</v>
      </c>
      <c r="H1730" s="266" t="s">
        <v>3864</v>
      </c>
      <c r="I1730" s="268" t="s">
        <v>6193</v>
      </c>
      <c r="J1730" s="299" t="s">
        <v>996</v>
      </c>
      <c r="K1730" s="259" t="str">
        <f>HYPERLINK("https://okcountyrecords.com/detail/roger+mills/2022-000354","OKCountyRecords: 2022-000354")</f>
        <v>OKCountyRecords: 2022-000354</v>
      </c>
    </row>
    <row r="1731" spans="1:11" ht="32.1" customHeight="1" x14ac:dyDescent="0.25">
      <c r="A1731" s="278" t="s">
        <v>3865</v>
      </c>
      <c r="B1731" s="266"/>
      <c r="C1731" s="266" t="s">
        <v>1107</v>
      </c>
      <c r="D1731" s="283" t="s">
        <v>8123</v>
      </c>
      <c r="E1731" s="291">
        <v>44715</v>
      </c>
      <c r="F1731" s="295">
        <v>44713</v>
      </c>
      <c r="G1731" s="287" t="s">
        <v>3867</v>
      </c>
      <c r="H1731" s="266" t="s">
        <v>1110</v>
      </c>
      <c r="I1731" s="268" t="s">
        <v>6193</v>
      </c>
      <c r="J1731" s="299" t="s">
        <v>1095</v>
      </c>
      <c r="K1731" s="259" t="str">
        <f>HYPERLINK("https://okcountyrecords.com/detail/roger+mills/2022-001083","OKCountyRecords: 2022-001083")</f>
        <v>OKCountyRecords: 2022-001083</v>
      </c>
    </row>
    <row r="1732" spans="1:11" ht="32.1" customHeight="1" x14ac:dyDescent="0.25">
      <c r="A1732" s="278" t="s">
        <v>3868</v>
      </c>
      <c r="B1732" s="266"/>
      <c r="C1732" s="266" t="s">
        <v>1623</v>
      </c>
      <c r="D1732" s="283" t="s">
        <v>4269</v>
      </c>
      <c r="E1732" s="291">
        <v>45114</v>
      </c>
      <c r="F1732" s="295">
        <v>45061</v>
      </c>
      <c r="G1732" s="287" t="s">
        <v>263</v>
      </c>
      <c r="H1732" s="266" t="s">
        <v>3870</v>
      </c>
      <c r="I1732" s="268" t="s">
        <v>7219</v>
      </c>
      <c r="J1732" s="299" t="s">
        <v>1625</v>
      </c>
      <c r="K1732" s="259" t="str">
        <f>HYPERLINK("https://okcountyrecords.com/detail/roger+mills/2023-002269","OKCountyRecords: 2023-002269")</f>
        <v>OKCountyRecords: 2023-002269</v>
      </c>
    </row>
    <row r="1733" spans="1:11" ht="32.1" customHeight="1" x14ac:dyDescent="0.25">
      <c r="A1733" s="278" t="s">
        <v>3872</v>
      </c>
      <c r="B1733" s="266"/>
      <c r="C1733" s="266" t="s">
        <v>4633</v>
      </c>
      <c r="D1733" s="283" t="s">
        <v>4452</v>
      </c>
      <c r="E1733" s="291">
        <v>45247</v>
      </c>
      <c r="F1733" s="295">
        <v>45200</v>
      </c>
      <c r="G1733" s="287" t="s">
        <v>3814</v>
      </c>
      <c r="H1733" s="266" t="s">
        <v>5543</v>
      </c>
      <c r="I1733" s="268" t="s">
        <v>6193</v>
      </c>
      <c r="J1733" s="299" t="s">
        <v>996</v>
      </c>
      <c r="K1733" s="259" t="str">
        <f>HYPERLINK("https://okcountyrecords.com/detail/roger+mills/2023-003590","63e8b9a8d056433a9994fe46ca85076b.pdf | OKCountyRecords: 2023-003590")</f>
        <v>63e8b9a8d056433a9994fe46ca85076b.pdf | OKCountyRecords: 2023-003590</v>
      </c>
    </row>
    <row r="1734" spans="1:11" ht="32.1" customHeight="1" x14ac:dyDescent="0.25">
      <c r="A1734" s="278" t="s">
        <v>3877</v>
      </c>
      <c r="B1734" s="266"/>
      <c r="C1734" s="266" t="s">
        <v>3535</v>
      </c>
      <c r="D1734" s="283" t="s">
        <v>8130</v>
      </c>
      <c r="E1734" s="291">
        <v>45247</v>
      </c>
      <c r="F1734" s="295">
        <v>45225</v>
      </c>
      <c r="G1734" s="287" t="s">
        <v>3879</v>
      </c>
      <c r="H1734" s="266" t="s">
        <v>3880</v>
      </c>
      <c r="I1734" s="268" t="s">
        <v>6193</v>
      </c>
      <c r="J1734" s="299" t="s">
        <v>996</v>
      </c>
      <c r="K1734" s="259" t="str">
        <f>HYPERLINK("https://okcountyrecords.com/detail/roger+mills/2023-003594","63e8b9a8d056433a9994fe46ca85076b.pdf | OKCountyRecords: 2023-003594")</f>
        <v>63e8b9a8d056433a9994fe46ca85076b.pdf | OKCountyRecords: 2023-003594</v>
      </c>
    </row>
    <row r="1735" spans="1:11" ht="32.1" customHeight="1" x14ac:dyDescent="0.25">
      <c r="A1735" s="278" t="s">
        <v>3881</v>
      </c>
      <c r="B1735" s="266"/>
      <c r="C1735" s="266" t="s">
        <v>3535</v>
      </c>
      <c r="D1735" s="283" t="s">
        <v>8132</v>
      </c>
      <c r="E1735" s="291">
        <v>45250</v>
      </c>
      <c r="F1735" s="295">
        <v>45250</v>
      </c>
      <c r="G1735" s="287" t="s">
        <v>3814</v>
      </c>
      <c r="H1735" s="266" t="s">
        <v>8134</v>
      </c>
      <c r="I1735" s="268" t="s">
        <v>6193</v>
      </c>
      <c r="J1735" s="299" t="s">
        <v>996</v>
      </c>
      <c r="K1735" s="259" t="str">
        <f>HYPERLINK("https://okcountyrecords.com/detail/roger+mills/2023-003598","63e8b9a8d056433a9994fe46ca85076b.pdf | OKCountyRecords: 2023-003598")</f>
        <v>63e8b9a8d056433a9994fe46ca85076b.pdf | OKCountyRecords: 2023-003598</v>
      </c>
    </row>
    <row r="1736" spans="1:11" ht="32.1" customHeight="1" x14ac:dyDescent="0.25">
      <c r="A1736" s="278" t="s">
        <v>3888</v>
      </c>
      <c r="B1736" s="266"/>
      <c r="C1736" s="266" t="s">
        <v>114</v>
      </c>
      <c r="D1736" s="283" t="s">
        <v>4453</v>
      </c>
      <c r="E1736" s="291">
        <v>45401</v>
      </c>
      <c r="F1736" s="295">
        <v>45391</v>
      </c>
      <c r="G1736" s="287" t="s">
        <v>896</v>
      </c>
      <c r="H1736" s="266" t="s">
        <v>3890</v>
      </c>
      <c r="I1736" s="268" t="s">
        <v>6193</v>
      </c>
      <c r="J1736" s="299" t="s">
        <v>996</v>
      </c>
      <c r="K1736" s="259" t="str">
        <f>HYPERLINK("https://okcountyrecords.com/detail/roger+mills/2024-002310","63e8b9a8d056433a9994fe46ca85076b.pdf | OKCountyRecords: 2024-002310")</f>
        <v>63e8b9a8d056433a9994fe46ca85076b.pdf | OKCountyRecords: 2024-002310</v>
      </c>
    </row>
    <row r="1737" spans="1:11" ht="32.1" customHeight="1" x14ac:dyDescent="0.25">
      <c r="A1737" s="278" t="s">
        <v>3891</v>
      </c>
      <c r="B1737" s="266"/>
      <c r="C1737" s="266" t="s">
        <v>114</v>
      </c>
      <c r="D1737" s="283" t="s">
        <v>4454</v>
      </c>
      <c r="E1737" s="291">
        <v>45432</v>
      </c>
      <c r="F1737" s="295">
        <v>45399</v>
      </c>
      <c r="G1737" s="287" t="s">
        <v>896</v>
      </c>
      <c r="H1737" s="266" t="s">
        <v>8139</v>
      </c>
      <c r="I1737" s="268" t="s">
        <v>6193</v>
      </c>
      <c r="J1737" s="299" t="s">
        <v>996</v>
      </c>
      <c r="K1737" s="259" t="str">
        <f>HYPERLINK("https://okcountyrecords.com/detail/roger+mills/2024-003107","63e8b9a8d056433a9994fe46ca85076b.pdf | OKCountyRecords: 2024-003107")</f>
        <v>63e8b9a8d056433a9994fe46ca85076b.pdf | OKCountyRecords: 2024-003107</v>
      </c>
    </row>
    <row r="1738" spans="1:11" ht="32.1" customHeight="1" x14ac:dyDescent="0.25">
      <c r="A1738" s="278" t="s">
        <v>3897</v>
      </c>
      <c r="B1738" s="266"/>
      <c r="C1738" s="266" t="s">
        <v>3082</v>
      </c>
      <c r="D1738" s="283" t="s">
        <v>4455</v>
      </c>
      <c r="E1738" s="291">
        <v>45509</v>
      </c>
      <c r="F1738" s="295">
        <v>45148</v>
      </c>
      <c r="G1738" s="287" t="s">
        <v>3864</v>
      </c>
      <c r="H1738" s="266" t="s">
        <v>3898</v>
      </c>
      <c r="I1738" s="268" t="s">
        <v>6193</v>
      </c>
      <c r="J1738" s="299" t="s">
        <v>996</v>
      </c>
      <c r="K1738" s="259" t="str">
        <f>HYPERLINK("https://okcountyrecords.com/detail/roger+mills/2024-004961","OKCountyRecords: 2024-004961")</f>
        <v>OKCountyRecords: 2024-004961</v>
      </c>
    </row>
    <row r="1739" spans="1:11" ht="32.1" customHeight="1" x14ac:dyDescent="0.25">
      <c r="A1739" s="278" t="s">
        <v>3899</v>
      </c>
      <c r="B1739" s="266"/>
      <c r="C1739" s="266" t="s">
        <v>2437</v>
      </c>
      <c r="D1739" s="283" t="s">
        <v>5777</v>
      </c>
      <c r="E1739" s="291">
        <v>45614</v>
      </c>
      <c r="F1739" s="295">
        <v>45588</v>
      </c>
      <c r="G1739" s="287" t="s">
        <v>896</v>
      </c>
      <c r="H1739" s="266" t="s">
        <v>8144</v>
      </c>
      <c r="I1739" s="268" t="s">
        <v>6193</v>
      </c>
      <c r="J1739" s="299" t="s">
        <v>985</v>
      </c>
      <c r="K1739" s="259" t="str">
        <f>HYPERLINK("https://okcountyrecords.com/detail/roger+mills/2024-007198","63e8b9a8d056433a9994fe46ca85076b.pdf | OKCountyRecords: 2024-007198")</f>
        <v>63e8b9a8d056433a9994fe46ca85076b.pdf | OKCountyRecords: 2024-007198</v>
      </c>
    </row>
    <row r="1740" spans="1:11" ht="32.1" customHeight="1" x14ac:dyDescent="0.25">
      <c r="A1740" s="278" t="s">
        <v>3903</v>
      </c>
      <c r="B1740" s="266"/>
      <c r="C1740" s="266" t="s">
        <v>1410</v>
      </c>
      <c r="D1740" s="283" t="s">
        <v>8146</v>
      </c>
      <c r="E1740" s="291">
        <v>45614</v>
      </c>
      <c r="F1740" s="295">
        <v>45589</v>
      </c>
      <c r="G1740" s="287" t="s">
        <v>8147</v>
      </c>
      <c r="H1740" s="266" t="s">
        <v>1110</v>
      </c>
      <c r="I1740" s="268" t="s">
        <v>6193</v>
      </c>
      <c r="J1740" s="299" t="s">
        <v>985</v>
      </c>
      <c r="K1740" s="259" t="str">
        <f>HYPERLINK("https://okcountyrecords.com/detail/roger+mills/2024-007203","63e8b9a8d056433a9994fe46ca85076b.pdf | OKCountyRecords: 2024-007203")</f>
        <v>63e8b9a8d056433a9994fe46ca85076b.pdf | OKCountyRecords: 2024-007203</v>
      </c>
    </row>
    <row r="1741" spans="1:11" ht="32.1" customHeight="1" x14ac:dyDescent="0.25">
      <c r="A1741" s="278" t="s">
        <v>3910</v>
      </c>
      <c r="B1741" s="266"/>
      <c r="C1741" s="266" t="s">
        <v>1623</v>
      </c>
      <c r="D1741" s="283" t="s">
        <v>4681</v>
      </c>
      <c r="E1741" s="291">
        <v>45621</v>
      </c>
      <c r="F1741" s="295">
        <v>45608</v>
      </c>
      <c r="G1741" s="287" t="s">
        <v>482</v>
      </c>
      <c r="H1741" s="266" t="s">
        <v>3911</v>
      </c>
      <c r="I1741" s="268" t="s">
        <v>6193</v>
      </c>
      <c r="J1741" s="299" t="s">
        <v>1625</v>
      </c>
      <c r="K1741" s="259" t="str">
        <f>HYPERLINK("https://okcountyrecords.com/detail/roger+mills/2024-007338/32904065","OKCountyRecords: 2024-007338")</f>
        <v>OKCountyRecords: 2024-007338</v>
      </c>
    </row>
    <row r="1742" spans="1:11" ht="32.1" customHeight="1" x14ac:dyDescent="0.25">
      <c r="A1742" s="278" t="s">
        <v>3917</v>
      </c>
      <c r="B1742" s="266"/>
      <c r="C1742" s="266" t="s">
        <v>114</v>
      </c>
      <c r="D1742" s="283" t="s">
        <v>4456</v>
      </c>
      <c r="E1742" s="291">
        <v>45642</v>
      </c>
      <c r="F1742" s="295">
        <v>45474</v>
      </c>
      <c r="G1742" s="287" t="s">
        <v>8626</v>
      </c>
      <c r="H1742" s="266" t="s">
        <v>3915</v>
      </c>
      <c r="I1742" s="268" t="s">
        <v>6193</v>
      </c>
      <c r="J1742" s="299" t="s">
        <v>996</v>
      </c>
      <c r="K1742" s="259" t="str">
        <f>HYPERLINK("https://okcountyrecords.com/detail/roger+mills/2024-007734/33733683","OKCountyRecords: 2024-007734")</f>
        <v>OKCountyRecords: 2024-007734</v>
      </c>
    </row>
    <row r="1743" spans="1:11" ht="32.1" customHeight="1" x14ac:dyDescent="0.25">
      <c r="A1743" s="278" t="s">
        <v>3923</v>
      </c>
      <c r="B1743" s="266"/>
      <c r="C1743" s="266" t="s">
        <v>2441</v>
      </c>
      <c r="D1743" s="283" t="s">
        <v>8149</v>
      </c>
      <c r="E1743" s="291">
        <v>45672</v>
      </c>
      <c r="F1743" s="295">
        <v>45648</v>
      </c>
      <c r="G1743" s="287" t="s">
        <v>3921</v>
      </c>
      <c r="H1743" s="266" t="s">
        <v>3794</v>
      </c>
      <c r="I1743" s="268" t="s">
        <v>6193</v>
      </c>
      <c r="J1743" s="299" t="s">
        <v>1095</v>
      </c>
      <c r="K1743" s="259" t="str">
        <f>HYPERLINK("https://okcountyrecords.com/detail/roger+mills/2025-000252","OKCountyRecords: 2025-000252")</f>
        <v>OKCountyRecords: 2025-000252</v>
      </c>
    </row>
    <row r="1744" spans="1:11" ht="32.1" customHeight="1" x14ac:dyDescent="0.25">
      <c r="A1744" s="278" t="s">
        <v>3924</v>
      </c>
      <c r="B1744" s="266"/>
      <c r="C1744" s="266" t="s">
        <v>3925</v>
      </c>
      <c r="D1744" s="283" t="s">
        <v>4381</v>
      </c>
      <c r="E1744" s="291">
        <v>45728</v>
      </c>
      <c r="F1744" s="295">
        <v>45726</v>
      </c>
      <c r="G1744" s="287" t="s">
        <v>3927</v>
      </c>
      <c r="H1744" s="266" t="s">
        <v>3928</v>
      </c>
      <c r="I1744" s="268" t="s">
        <v>7179</v>
      </c>
      <c r="J1744" s="299" t="s">
        <v>1625</v>
      </c>
      <c r="K1744" s="259" t="str">
        <f>HYPERLINK("https://okcountyrecords.com/detail/roger+mills/2025-001343","OKCountyRecords: 2025-001343")</f>
        <v>OKCountyRecords: 2025-001343</v>
      </c>
    </row>
    <row r="1745" spans="1:11" ht="32.1" customHeight="1" x14ac:dyDescent="0.25">
      <c r="A1745" s="278" t="s">
        <v>3935</v>
      </c>
      <c r="B1745" s="266"/>
      <c r="C1745" s="266" t="s">
        <v>1623</v>
      </c>
      <c r="D1745" s="283" t="s">
        <v>46</v>
      </c>
      <c r="E1745" s="291">
        <v>45771</v>
      </c>
      <c r="F1745" s="295">
        <v>45747</v>
      </c>
      <c r="G1745" s="287" t="s">
        <v>3936</v>
      </c>
      <c r="H1745" s="266" t="s">
        <v>3932</v>
      </c>
      <c r="I1745" s="268" t="s">
        <v>7219</v>
      </c>
      <c r="J1745" s="299" t="s">
        <v>1625</v>
      </c>
      <c r="K1745" s="259" t="str">
        <f>HYPERLINK("https://okcountyrecords.com/detail/roger+mills/2025-002463/34027439","OKCountyRecords: 2025-002463")</f>
        <v>OKCountyRecords: 2025-002463</v>
      </c>
    </row>
    <row r="1746" spans="1:11" ht="32.1" customHeight="1" x14ac:dyDescent="0.25">
      <c r="A1746" s="278" t="s">
        <v>3937</v>
      </c>
      <c r="B1746" s="266"/>
      <c r="C1746" s="266" t="s">
        <v>1623</v>
      </c>
      <c r="D1746" s="283" t="s">
        <v>41</v>
      </c>
      <c r="E1746" s="291">
        <v>45771</v>
      </c>
      <c r="F1746" s="295">
        <v>45747</v>
      </c>
      <c r="G1746" s="287" t="s">
        <v>3936</v>
      </c>
      <c r="H1746" s="266" t="s">
        <v>3934</v>
      </c>
      <c r="I1746" s="268" t="s">
        <v>7219</v>
      </c>
      <c r="J1746" s="299" t="s">
        <v>1625</v>
      </c>
      <c r="K1746" s="259" t="str">
        <f>HYPERLINK("https://okcountyrecords.com/detail/roger+mills/2025-002464/34027438","OKCountyRecords: 2025-002464")</f>
        <v>OKCountyRecords: 2025-002464</v>
      </c>
    </row>
    <row r="1747" spans="1:11" ht="32.1" customHeight="1" x14ac:dyDescent="0.25">
      <c r="A1747" s="278" t="s">
        <v>3938</v>
      </c>
      <c r="B1747" s="266"/>
      <c r="C1747" s="266" t="s">
        <v>1107</v>
      </c>
      <c r="D1747" s="283" t="s">
        <v>5780</v>
      </c>
      <c r="E1747" s="291">
        <v>45792</v>
      </c>
      <c r="F1747" s="295">
        <v>45784</v>
      </c>
      <c r="G1747" s="287" t="s">
        <v>3940</v>
      </c>
      <c r="H1747" s="266" t="s">
        <v>8155</v>
      </c>
      <c r="I1747" s="268" t="s">
        <v>6193</v>
      </c>
      <c r="J1747" s="299" t="s">
        <v>1095</v>
      </c>
      <c r="K1747" s="259" t="str">
        <f>HYPERLINK("https://okcountyrecords.com/detail/roger+mills/2025-002923","63e8b9a8d056433a9994fe46ca85076b.pdf | OKCountyRecords: 2025-002923")</f>
        <v>63e8b9a8d056433a9994fe46ca85076b.pdf | OKCountyRecords: 2025-002923</v>
      </c>
    </row>
    <row r="1748" spans="1:11" ht="32.1" customHeight="1" x14ac:dyDescent="0.25">
      <c r="A1748" s="278" t="s">
        <v>3942</v>
      </c>
      <c r="B1748" s="266"/>
      <c r="C1748" s="266" t="s">
        <v>2430</v>
      </c>
      <c r="D1748" s="283" t="s">
        <v>4382</v>
      </c>
      <c r="E1748" s="291">
        <v>45840</v>
      </c>
      <c r="F1748" s="295">
        <v>45726</v>
      </c>
      <c r="G1748" s="287" t="s">
        <v>3944</v>
      </c>
      <c r="H1748" s="266" t="s">
        <v>3945</v>
      </c>
      <c r="I1748" s="268" t="s">
        <v>8158</v>
      </c>
      <c r="J1748" s="299" t="s">
        <v>985</v>
      </c>
      <c r="K1748" s="259" t="str">
        <f>HYPERLINK("https://okcountyrecords.com/detail/roger+mills/2025-003963","OKCountyRecords: 2025-003963")</f>
        <v>OKCountyRecords: 2025-003963</v>
      </c>
    </row>
    <row r="1749" spans="1:11" ht="32.1" customHeight="1" x14ac:dyDescent="0.25">
      <c r="A1749" s="278" t="s">
        <v>3947</v>
      </c>
      <c r="B1749" s="266"/>
      <c r="C1749" s="266" t="s">
        <v>1623</v>
      </c>
      <c r="D1749" s="283" t="s">
        <v>4270</v>
      </c>
      <c r="E1749" s="291">
        <v>45908</v>
      </c>
      <c r="F1749" s="295">
        <v>45896</v>
      </c>
      <c r="G1749" s="287" t="s">
        <v>3799</v>
      </c>
      <c r="H1749" s="266" t="s">
        <v>3949</v>
      </c>
      <c r="I1749" s="268" t="s">
        <v>7219</v>
      </c>
      <c r="J1749" s="299" t="s">
        <v>1625</v>
      </c>
      <c r="K1749" s="259" t="str">
        <f>HYPERLINK("https://okcountyrecords.com/detail/roger+mills/2025-005448","OKCountyRecords: 2025-005448")</f>
        <v>OKCountyRecords: 2025-005448</v>
      </c>
    </row>
    <row r="1750" spans="1:11" ht="32.1" customHeight="1" x14ac:dyDescent="0.25">
      <c r="A1750" s="278" t="s">
        <v>3950</v>
      </c>
      <c r="B1750" s="266"/>
      <c r="C1750" s="266" t="s">
        <v>1623</v>
      </c>
      <c r="D1750" s="283" t="s">
        <v>4271</v>
      </c>
      <c r="E1750" s="291">
        <v>45908</v>
      </c>
      <c r="F1750" s="295">
        <v>45897</v>
      </c>
      <c r="G1750" s="287" t="s">
        <v>3949</v>
      </c>
      <c r="H1750" s="266" t="s">
        <v>3952</v>
      </c>
      <c r="I1750" s="268" t="s">
        <v>7219</v>
      </c>
      <c r="J1750" s="299" t="s">
        <v>1625</v>
      </c>
      <c r="K1750" s="259" t="str">
        <f>HYPERLINK("https://okcountyrecords.com/detail/roger+mills/2025-005451","OKCountyRecords: 2025-005451")</f>
        <v>OKCountyRecords: 2025-005451</v>
      </c>
    </row>
    <row r="1751" spans="1:11" ht="32.1" customHeight="1" x14ac:dyDescent="0.25">
      <c r="A1751" s="278" t="s">
        <v>3953</v>
      </c>
      <c r="B1751" s="266"/>
      <c r="C1751" s="266" t="s">
        <v>3284</v>
      </c>
      <c r="D1751" s="283" t="s">
        <v>5782</v>
      </c>
      <c r="E1751" s="291">
        <v>45954</v>
      </c>
      <c r="F1751" s="295">
        <v>45926</v>
      </c>
      <c r="G1751" s="287" t="s">
        <v>8164</v>
      </c>
      <c r="H1751" s="266" t="s">
        <v>8165</v>
      </c>
      <c r="I1751" s="268" t="s">
        <v>6193</v>
      </c>
      <c r="J1751" s="299" t="s">
        <v>996</v>
      </c>
      <c r="K1751" s="259" t="str">
        <f>HYPERLINK("https://okcountyrecords.com/detail/roger+mills/2025-006541","63e8b9a8d056433a9994fe46ca85076b.pdf | OKCountyRecords: 2025-006541")</f>
        <v>63e8b9a8d056433a9994fe46ca85076b.pdf | OKCountyRecords: 2025-006541</v>
      </c>
    </row>
    <row r="1752" spans="1:11" ht="32.1" customHeight="1" x14ac:dyDescent="0.25">
      <c r="A1752" s="278" t="s">
        <v>3957</v>
      </c>
      <c r="B1752" s="266"/>
      <c r="C1752" s="266" t="s">
        <v>4633</v>
      </c>
      <c r="D1752" s="283" t="s">
        <v>4457</v>
      </c>
      <c r="E1752" s="291">
        <v>45975</v>
      </c>
      <c r="F1752" s="295">
        <v>45931</v>
      </c>
      <c r="G1752" s="287" t="s">
        <v>3959</v>
      </c>
      <c r="H1752" s="266" t="s">
        <v>4636</v>
      </c>
      <c r="I1752" s="268" t="s">
        <v>6193</v>
      </c>
      <c r="J1752" s="299" t="s">
        <v>996</v>
      </c>
      <c r="K1752" s="259" t="str">
        <f>HYPERLINK("https://okcountyrecords.com/detail/roger+mills/2025-006987","63e8b9a8d056433a9994fe46ca85076b.pdf | OKCountyRecords: 2025-006987")</f>
        <v>63e8b9a8d056433a9994fe46ca85076b.pdf | OKCountyRecords: 2025-006987</v>
      </c>
    </row>
    <row r="1753" spans="1:11" ht="32.1" customHeight="1" x14ac:dyDescent="0.25">
      <c r="A1753" s="278" t="s">
        <v>3961</v>
      </c>
      <c r="B1753" s="266"/>
      <c r="C1753" s="266" t="s">
        <v>2441</v>
      </c>
      <c r="D1753" s="283" t="s">
        <v>8169</v>
      </c>
      <c r="E1753" s="291">
        <v>46052</v>
      </c>
      <c r="F1753" s="295">
        <v>46041</v>
      </c>
      <c r="G1753" s="287" t="s">
        <v>3963</v>
      </c>
      <c r="H1753" s="266" t="s">
        <v>1110</v>
      </c>
      <c r="I1753" s="268" t="s">
        <v>6193</v>
      </c>
      <c r="J1753" s="299" t="s">
        <v>1095</v>
      </c>
      <c r="K1753" s="259" t="str">
        <f>HYPERLINK("https://okcountyrecords.com/detail/roger+mills/2026-000506","63e8b9a8d056433a9994fe46ca85076b.pdf | OKCountyRecords: 2026-000506")</f>
        <v>63e8b9a8d056433a9994fe46ca85076b.pdf | OKCountyRecords: 2026-000506</v>
      </c>
    </row>
    <row r="1754" spans="1:11" ht="32.1" customHeight="1" x14ac:dyDescent="0.25">
      <c r="A1754" s="278" t="s">
        <v>3964</v>
      </c>
      <c r="B1754" s="266"/>
      <c r="C1754" s="266" t="s">
        <v>1623</v>
      </c>
      <c r="D1754" s="283" t="s">
        <v>4383</v>
      </c>
      <c r="E1754" s="291">
        <v>46062</v>
      </c>
      <c r="F1754" s="295">
        <v>45971</v>
      </c>
      <c r="G1754" s="287" t="s">
        <v>3966</v>
      </c>
      <c r="H1754" s="266" t="s">
        <v>3967</v>
      </c>
      <c r="I1754" s="268" t="s">
        <v>8173</v>
      </c>
      <c r="J1754" s="299" t="s">
        <v>1625</v>
      </c>
      <c r="K1754" s="259" t="str">
        <f>HYPERLINK("https://okcountyrecords.com/detail/roger+mills/2026-000691","OKCountyRecords: 2026-000691")</f>
        <v>OKCountyRecords: 2026-000691</v>
      </c>
    </row>
    <row r="1755" spans="1:11" ht="32.1" customHeight="1" x14ac:dyDescent="0.25">
      <c r="A1755" s="278" t="s">
        <v>3969</v>
      </c>
      <c r="B1755" s="266"/>
      <c r="C1755" s="266" t="s">
        <v>1623</v>
      </c>
      <c r="D1755" s="283" t="s">
        <v>4384</v>
      </c>
      <c r="E1755" s="291">
        <v>46092</v>
      </c>
      <c r="F1755" s="295">
        <v>46084</v>
      </c>
      <c r="G1755" s="287" t="s">
        <v>3971</v>
      </c>
      <c r="H1755" s="266" t="s">
        <v>3972</v>
      </c>
      <c r="I1755" s="268" t="s">
        <v>8176</v>
      </c>
      <c r="J1755" s="299" t="s">
        <v>1625</v>
      </c>
      <c r="K1755" s="259" t="str">
        <f>HYPERLINK("https://okcountyrecords.com/detail/roger+mills/2026-001374","OKCountyRecords: 2026-001374")</f>
        <v>OKCountyRecords: 2026-001374</v>
      </c>
    </row>
    <row r="1756" spans="1:11" ht="32.1" customHeight="1" x14ac:dyDescent="0.25">
      <c r="A1756" s="278" t="s">
        <v>3980</v>
      </c>
      <c r="B1756" s="266"/>
      <c r="C1756" s="266" t="s">
        <v>1107</v>
      </c>
      <c r="D1756" s="283" t="s">
        <v>5787</v>
      </c>
      <c r="E1756" s="291">
        <v>46119</v>
      </c>
      <c r="F1756" s="295">
        <v>46113</v>
      </c>
      <c r="G1756" s="287" t="s">
        <v>8179</v>
      </c>
      <c r="H1756" s="266" t="s">
        <v>1110</v>
      </c>
      <c r="I1756" s="268" t="s">
        <v>6193</v>
      </c>
      <c r="J1756" s="299" t="s">
        <v>1095</v>
      </c>
      <c r="K1756" s="259" t="str">
        <f>HYPERLINK("https://okcountyrecords.com/detail/roger+mills/2026-001844","OKCountyRecords: 2026-001844")</f>
        <v>OKCountyRecords: 2026-001844</v>
      </c>
    </row>
    <row r="1757" spans="1:11" ht="32.1" customHeight="1" x14ac:dyDescent="0.25">
      <c r="A1757" s="278" t="s">
        <v>3982</v>
      </c>
      <c r="B1757" s="266"/>
      <c r="C1757" s="266" t="s">
        <v>1107</v>
      </c>
      <c r="D1757" s="283" t="s">
        <v>8181</v>
      </c>
      <c r="E1757" s="291">
        <v>46119</v>
      </c>
      <c r="F1757" s="295">
        <v>46113</v>
      </c>
      <c r="G1757" s="287" t="s">
        <v>8179</v>
      </c>
      <c r="H1757" s="266" t="s">
        <v>1110</v>
      </c>
      <c r="I1757" s="268" t="s">
        <v>6193</v>
      </c>
      <c r="J1757" s="299" t="s">
        <v>1095</v>
      </c>
      <c r="K1757" s="259" t="str">
        <f>HYPERLINK("https://okcountyrecords.com/detail/roger+mills/2026-001845","OKCountyRecords: 2026-001845")</f>
        <v>OKCountyRecords: 2026-001845</v>
      </c>
    </row>
    <row r="1758" spans="1:11" ht="32.1" customHeight="1" x14ac:dyDescent="0.25">
      <c r="A1758" s="278" t="s">
        <v>3991</v>
      </c>
      <c r="B1758" s="266"/>
      <c r="C1758" s="266" t="s">
        <v>309</v>
      </c>
      <c r="D1758" s="283" t="s">
        <v>17</v>
      </c>
      <c r="E1758" s="291">
        <v>46122</v>
      </c>
      <c r="F1758" s="295">
        <v>46076</v>
      </c>
      <c r="G1758" s="287" t="s">
        <v>8627</v>
      </c>
      <c r="H1758" s="266" t="s">
        <v>740</v>
      </c>
      <c r="I1758" s="268" t="s">
        <v>8628</v>
      </c>
      <c r="J1758" s="299" t="s">
        <v>996</v>
      </c>
      <c r="K1758" s="259" t="str">
        <f>HYPERLINK("https://okcountyrecords.com/detail/roger+mills/2026-001949/35274564","OKCountyRecords: 2026-001949")</f>
        <v>OKCountyRecords: 2026-001949</v>
      </c>
    </row>
    <row r="1759" spans="1:11" ht="32.1" customHeight="1" x14ac:dyDescent="0.25">
      <c r="A1759" s="278" t="s">
        <v>3993</v>
      </c>
      <c r="B1759" s="266"/>
      <c r="C1759" s="266" t="s">
        <v>309</v>
      </c>
      <c r="D1759" s="283" t="s">
        <v>30</v>
      </c>
      <c r="E1759" s="291">
        <v>46122</v>
      </c>
      <c r="F1759" s="295">
        <v>46080</v>
      </c>
      <c r="G1759" s="287" t="s">
        <v>8629</v>
      </c>
      <c r="H1759" s="266" t="s">
        <v>740</v>
      </c>
      <c r="I1759" s="268" t="s">
        <v>502</v>
      </c>
      <c r="J1759" s="299" t="s">
        <v>996</v>
      </c>
      <c r="K1759" s="259" t="str">
        <f>HYPERLINK("https://okcountyrecords.com/detail/roger+mills/2026-001951/35274565","OKCountyRecords: 2026-001951")</f>
        <v>OKCountyRecords: 2026-001951</v>
      </c>
    </row>
    <row r="1760" spans="1:11" ht="32.1" customHeight="1" x14ac:dyDescent="0.25">
      <c r="A1760" s="278" t="s">
        <v>3994</v>
      </c>
      <c r="B1760" s="266"/>
      <c r="C1760" s="266" t="s">
        <v>309</v>
      </c>
      <c r="D1760" s="283" t="s">
        <v>27</v>
      </c>
      <c r="E1760" s="291">
        <v>46122</v>
      </c>
      <c r="F1760" s="295">
        <v>46076</v>
      </c>
      <c r="G1760" s="287" t="s">
        <v>8630</v>
      </c>
      <c r="H1760" s="266" t="s">
        <v>740</v>
      </c>
      <c r="I1760" s="268" t="s">
        <v>502</v>
      </c>
      <c r="J1760" s="299" t="s">
        <v>996</v>
      </c>
      <c r="K1760" s="259" t="str">
        <f>HYPERLINK("https://okcountyrecords.com/detail/roger+mills/2026-001952/35274563","OKCountyRecords: 2026-001952")</f>
        <v>OKCountyRecords: 2026-001952</v>
      </c>
    </row>
    <row r="1761" spans="1:11" ht="32.1" customHeight="1" x14ac:dyDescent="0.25">
      <c r="A1761" s="278" t="s">
        <v>4008</v>
      </c>
      <c r="B1761" s="266"/>
      <c r="C1761" s="266" t="s">
        <v>7822</v>
      </c>
      <c r="D1761" s="283" t="s">
        <v>4644</v>
      </c>
      <c r="E1761" s="291">
        <v>46143</v>
      </c>
      <c r="F1761" s="295">
        <v>46106</v>
      </c>
      <c r="G1761" s="287" t="s">
        <v>4009</v>
      </c>
      <c r="H1761" s="266" t="s">
        <v>1110</v>
      </c>
      <c r="I1761" s="268" t="s">
        <v>6193</v>
      </c>
      <c r="J1761" s="299" t="s">
        <v>985</v>
      </c>
      <c r="K1761" s="259" t="str">
        <f>HYPERLINK("https://okcountyrecords.com/detail/roger+mills/2026-002509/35346709","OKCountyRecords: 2026-002509")</f>
        <v>OKCountyRecords: 2026-002509</v>
      </c>
    </row>
    <row r="1762" spans="1:11" ht="32.1" customHeight="1" x14ac:dyDescent="0.25">
      <c r="A1762" s="278" t="s">
        <v>4010</v>
      </c>
      <c r="B1762" s="266"/>
      <c r="C1762" s="266" t="s">
        <v>1107</v>
      </c>
      <c r="D1762" s="283" t="s">
        <v>4658</v>
      </c>
      <c r="E1762" s="291">
        <v>46143</v>
      </c>
      <c r="F1762" s="295">
        <v>46125</v>
      </c>
      <c r="G1762" s="287" t="s">
        <v>8631</v>
      </c>
      <c r="H1762" s="266" t="s">
        <v>1110</v>
      </c>
      <c r="I1762" s="268" t="s">
        <v>502</v>
      </c>
      <c r="J1762" s="299" t="s">
        <v>1095</v>
      </c>
      <c r="K1762" s="259" t="str">
        <f>HYPERLINK("https://okcountyrecords.com/detail/roger+mills/2026-002510/35346713","OKCountyRecords: 2026-002510")</f>
        <v>OKCountyRecords: 2026-002510</v>
      </c>
    </row>
    <row r="1763" spans="1:11" ht="32.1" customHeight="1" x14ac:dyDescent="0.25">
      <c r="A1763" s="278" t="s">
        <v>4006</v>
      </c>
      <c r="B1763" s="266"/>
      <c r="C1763" s="266" t="s">
        <v>309</v>
      </c>
      <c r="D1763" s="283" t="s">
        <v>20</v>
      </c>
      <c r="E1763" s="291">
        <v>46143</v>
      </c>
      <c r="F1763" s="295">
        <v>46070</v>
      </c>
      <c r="G1763" s="287" t="s">
        <v>8632</v>
      </c>
      <c r="H1763" s="266" t="s">
        <v>733</v>
      </c>
      <c r="I1763" s="268" t="s">
        <v>502</v>
      </c>
      <c r="J1763" s="299" t="s">
        <v>996</v>
      </c>
      <c r="K1763" s="259" t="str">
        <f>HYPERLINK("https://okcountyrecords.com/detail/roger+mills/2026-002511/35346711","OKCountyRecords: 2026-002511")</f>
        <v>OKCountyRecords: 2026-002511</v>
      </c>
    </row>
    <row r="1764" spans="1:11" ht="32.1" customHeight="1" x14ac:dyDescent="0.25">
      <c r="A1764" s="278" t="s">
        <v>3995</v>
      </c>
      <c r="B1764" s="266"/>
      <c r="C1764" s="266" t="s">
        <v>309</v>
      </c>
      <c r="D1764" s="283" t="s">
        <v>24</v>
      </c>
      <c r="E1764" s="291">
        <v>46143</v>
      </c>
      <c r="F1764" s="295">
        <v>46112</v>
      </c>
      <c r="G1764" s="287" t="s">
        <v>23</v>
      </c>
      <c r="H1764" s="266" t="s">
        <v>733</v>
      </c>
      <c r="I1764" s="268" t="s">
        <v>8633</v>
      </c>
      <c r="J1764" s="299" t="s">
        <v>996</v>
      </c>
      <c r="K1764" s="259" t="str">
        <f>HYPERLINK("https://okcountyrecords.com/detail/roger+mills/2026-002512/35346712","OKCountyRecords: 2026-002512")</f>
        <v>OKCountyRecords: 2026-002512</v>
      </c>
    </row>
    <row r="1765" spans="1:11" ht="32.1" customHeight="1" x14ac:dyDescent="0.25">
      <c r="A1765" s="278" t="s">
        <v>4012</v>
      </c>
      <c r="B1765" s="266"/>
      <c r="C1765" s="266" t="s">
        <v>4633</v>
      </c>
      <c r="D1765" s="283" t="s">
        <v>4634</v>
      </c>
      <c r="E1765" s="291">
        <v>46146</v>
      </c>
      <c r="F1765" s="295">
        <v>46023</v>
      </c>
      <c r="G1765" s="287" t="s">
        <v>4636</v>
      </c>
      <c r="H1765" s="266" t="s">
        <v>8634</v>
      </c>
      <c r="I1765" s="268" t="s">
        <v>7216</v>
      </c>
      <c r="J1765" s="299" t="s">
        <v>996</v>
      </c>
      <c r="K1765" s="259" t="str">
        <f>HYPERLINK("https://okcountyrecords.com/detail/roger+mills/2026-002547/35349405","OKCountyRecords: 2026-002547")</f>
        <v>OKCountyRecords: 2026-002547</v>
      </c>
    </row>
    <row r="1766" spans="1:11" ht="32.1" customHeight="1" x14ac:dyDescent="0.25">
      <c r="A1766" s="278" t="s">
        <v>4023</v>
      </c>
      <c r="B1766" s="266"/>
      <c r="C1766" s="266" t="s">
        <v>1274</v>
      </c>
      <c r="D1766" s="283" t="s">
        <v>4385</v>
      </c>
      <c r="E1766" s="291">
        <v>46160</v>
      </c>
      <c r="F1766" s="295">
        <v>43500</v>
      </c>
      <c r="G1766" s="287" t="s">
        <v>4020</v>
      </c>
      <c r="H1766" s="266" t="s">
        <v>1110</v>
      </c>
      <c r="I1766" s="268" t="s">
        <v>8635</v>
      </c>
      <c r="J1766" s="299" t="s">
        <v>985</v>
      </c>
      <c r="K1766" s="259" t="str">
        <f>HYPERLINK("https://okcountyrecords.com/detail/roger+mills/2026-002877/35377759","OKCountyRecords: 2026-002877")</f>
        <v>OKCountyRecords: 2026-002877</v>
      </c>
    </row>
    <row r="1767" spans="1:11" ht="32.1" customHeight="1" x14ac:dyDescent="0.25">
      <c r="A1767" s="278" t="s">
        <v>4035</v>
      </c>
      <c r="B1767" s="266"/>
      <c r="C1767" s="266" t="s">
        <v>7822</v>
      </c>
      <c r="D1767" s="283" t="s">
        <v>4615</v>
      </c>
      <c r="E1767" s="291">
        <v>46170</v>
      </c>
      <c r="F1767" s="295">
        <v>46162</v>
      </c>
      <c r="G1767" s="287" t="s">
        <v>4036</v>
      </c>
      <c r="H1767" s="266" t="s">
        <v>1110</v>
      </c>
      <c r="I1767" s="268" t="s">
        <v>6193</v>
      </c>
      <c r="J1767" s="299" t="s">
        <v>985</v>
      </c>
      <c r="K1767" s="259" t="str">
        <f>HYPERLINK("https://okcountyrecords.com/detail/roger+mills/2026-003142/35404150","OKCountyRecords: 2026-003142")</f>
        <v>OKCountyRecords: 2026-003142</v>
      </c>
    </row>
    <row r="1768" spans="1:11" ht="32.1" customHeight="1" x14ac:dyDescent="0.25">
      <c r="A1768" s="278" t="s">
        <v>4037</v>
      </c>
      <c r="B1768" s="266"/>
      <c r="C1768" s="266" t="s">
        <v>7822</v>
      </c>
      <c r="D1768" s="283" t="s">
        <v>4610</v>
      </c>
      <c r="E1768" s="291">
        <v>46170</v>
      </c>
      <c r="F1768" s="295">
        <v>46162</v>
      </c>
      <c r="G1768" s="287" t="s">
        <v>4038</v>
      </c>
      <c r="H1768" s="266" t="s">
        <v>1110</v>
      </c>
      <c r="I1768" s="268" t="s">
        <v>6193</v>
      </c>
      <c r="J1768" s="299" t="s">
        <v>985</v>
      </c>
      <c r="K1768" s="259" t="str">
        <f>HYPERLINK("https://okcountyrecords.com/detail/roger+mills/2026-003143/35404149","OKCountyRecords: 2026-003143")</f>
        <v>OKCountyRecords: 2026-003143</v>
      </c>
    </row>
    <row r="1769" spans="1:11" ht="32.1" customHeight="1" x14ac:dyDescent="0.25">
      <c r="A1769" s="278" t="s">
        <v>4039</v>
      </c>
      <c r="B1769" s="266"/>
      <c r="C1769" s="266" t="s">
        <v>1107</v>
      </c>
      <c r="D1769" s="283" t="s">
        <v>4624</v>
      </c>
      <c r="E1769" s="291">
        <v>46170</v>
      </c>
      <c r="F1769" s="295">
        <v>46170</v>
      </c>
      <c r="G1769" s="287" t="s">
        <v>4040</v>
      </c>
      <c r="H1769" s="266" t="s">
        <v>1110</v>
      </c>
      <c r="I1769" s="268" t="s">
        <v>8636</v>
      </c>
      <c r="J1769" s="299" t="s">
        <v>1095</v>
      </c>
      <c r="K1769" s="259" t="str">
        <f>HYPERLINK("https://okcountyrecords.com/detail/roger+mills/2026-003144/35404152","OKCountyRecords: 2026-003144")</f>
        <v>OKCountyRecords: 2026-003144</v>
      </c>
    </row>
    <row r="1770" spans="1:11" ht="32.1" customHeight="1" x14ac:dyDescent="0.25">
      <c r="A1770" s="278" t="s">
        <v>4033</v>
      </c>
      <c r="B1770" s="266"/>
      <c r="C1770" s="266" t="s">
        <v>309</v>
      </c>
      <c r="D1770" s="283" t="s">
        <v>12</v>
      </c>
      <c r="E1770" s="291">
        <v>46170</v>
      </c>
      <c r="F1770" s="295">
        <v>46064</v>
      </c>
      <c r="G1770" s="287" t="s">
        <v>8637</v>
      </c>
      <c r="H1770" s="266" t="s">
        <v>733</v>
      </c>
      <c r="I1770" s="268" t="s">
        <v>8638</v>
      </c>
      <c r="J1770" s="299" t="s">
        <v>996</v>
      </c>
      <c r="K1770" s="259" t="str">
        <f>HYPERLINK("https://okcountyrecords.com/detail/roger+mills/2026-003145/35404151","OKCountyRecords: 2026-003145")</f>
        <v>OKCountyRecords: 2026-003145</v>
      </c>
    </row>
    <row r="1771" spans="1:11" ht="32.1" customHeight="1" x14ac:dyDescent="0.25">
      <c r="A1771" s="280" t="s">
        <v>4044</v>
      </c>
      <c r="B1771" s="274"/>
      <c r="C1771" s="274" t="s">
        <v>1274</v>
      </c>
      <c r="D1771" s="284" t="s">
        <v>4272</v>
      </c>
      <c r="E1771" s="292">
        <v>46178</v>
      </c>
      <c r="F1771" s="296">
        <v>46175</v>
      </c>
      <c r="G1771" s="288" t="s">
        <v>4042</v>
      </c>
      <c r="H1771" s="274" t="s">
        <v>1110</v>
      </c>
      <c r="I1771" s="275" t="s">
        <v>7219</v>
      </c>
      <c r="J1771" s="300" t="s">
        <v>985</v>
      </c>
      <c r="K1771" s="259" t="str">
        <f>HYPERLINK("https://okcountyrecords.com/detail/roger+mills/2026-003315/35464678","OKCountyRecords: 2026-003315")</f>
        <v>OKCountyRecords: 2026-003315</v>
      </c>
    </row>
  </sheetData>
  <hyperlinks>
    <hyperlink ref="K2" r:id="rId1" display="county record" xr:uid="{00000000-0004-0000-1300-000000000000}"/>
    <hyperlink ref="K3" r:id="rId2" display="county record" xr:uid="{00000000-0004-0000-1300-000001000000}"/>
    <hyperlink ref="K4" r:id="rId3" display="county record" xr:uid="{00000000-0004-0000-1300-000002000000}"/>
    <hyperlink ref="K5" r:id="rId4" display="county record" xr:uid="{00000000-0004-0000-1300-000003000000}"/>
    <hyperlink ref="K6" r:id="rId5" display="county record" xr:uid="{00000000-0004-0000-1300-000004000000}"/>
    <hyperlink ref="K7" r:id="rId6" display="county record" xr:uid="{00000000-0004-0000-1300-000005000000}"/>
    <hyperlink ref="K8" r:id="rId7" display="county record" xr:uid="{00000000-0004-0000-1300-000006000000}"/>
    <hyperlink ref="K9" r:id="rId8" display="county record" xr:uid="{00000000-0004-0000-1300-000007000000}"/>
    <hyperlink ref="K10" r:id="rId9" display="county record" xr:uid="{00000000-0004-0000-1300-000008000000}"/>
    <hyperlink ref="K11" r:id="rId10" display="county record" xr:uid="{00000000-0004-0000-1300-000009000000}"/>
    <hyperlink ref="K12" r:id="rId11" display="county record" xr:uid="{00000000-0004-0000-1300-00000A000000}"/>
    <hyperlink ref="K13" r:id="rId12" display="county record" xr:uid="{00000000-0004-0000-1300-00000B000000}"/>
    <hyperlink ref="K14" r:id="rId13" display="county record" xr:uid="{00000000-0004-0000-1300-00000C000000}"/>
    <hyperlink ref="K15" r:id="rId14" display="county record" xr:uid="{00000000-0004-0000-1300-00000D000000}"/>
    <hyperlink ref="K16" r:id="rId15" display="county record" xr:uid="{00000000-0004-0000-1300-00000E000000}"/>
    <hyperlink ref="K17" r:id="rId16" display="county record" xr:uid="{00000000-0004-0000-1300-00000F000000}"/>
    <hyperlink ref="K45" r:id="rId17" display="county record" xr:uid="{00000000-0004-0000-1300-000010000000}"/>
    <hyperlink ref="K46" r:id="rId18" display="county record" xr:uid="{00000000-0004-0000-1300-000011000000}"/>
    <hyperlink ref="K47" r:id="rId19" display="county record" xr:uid="{00000000-0004-0000-1300-000012000000}"/>
    <hyperlink ref="K48" r:id="rId20" display="county record" xr:uid="{00000000-0004-0000-1300-000013000000}"/>
    <hyperlink ref="K49" r:id="rId21" display="county record" xr:uid="{00000000-0004-0000-1300-000014000000}"/>
    <hyperlink ref="K50" r:id="rId22" display="county record" xr:uid="{00000000-0004-0000-1300-000015000000}"/>
    <hyperlink ref="K51" r:id="rId23" display="county record" xr:uid="{00000000-0004-0000-1300-000016000000}"/>
    <hyperlink ref="K52" r:id="rId24" display="county record" xr:uid="{00000000-0004-0000-1300-000017000000}"/>
    <hyperlink ref="K53" r:id="rId25" display="county record" xr:uid="{00000000-0004-0000-1300-000018000000}"/>
    <hyperlink ref="K54" r:id="rId26" display="county record" xr:uid="{00000000-0004-0000-1300-000019000000}"/>
    <hyperlink ref="K55" r:id="rId27" display="county record" xr:uid="{00000000-0004-0000-1300-00001A000000}"/>
    <hyperlink ref="K56" r:id="rId28" display="county record" xr:uid="{00000000-0004-0000-1300-00001B000000}"/>
    <hyperlink ref="K57" r:id="rId29" display="county record" xr:uid="{00000000-0004-0000-1300-00001C000000}"/>
    <hyperlink ref="K58" r:id="rId30" display="county record" xr:uid="{00000000-0004-0000-1300-00001D000000}"/>
    <hyperlink ref="K59" r:id="rId31" display="county record" xr:uid="{00000000-0004-0000-1300-00001E000000}"/>
    <hyperlink ref="K60" r:id="rId32" display="county record" xr:uid="{00000000-0004-0000-1300-00001F000000}"/>
    <hyperlink ref="K61" r:id="rId33" display="county record" xr:uid="{00000000-0004-0000-1300-000020000000}"/>
    <hyperlink ref="K62" r:id="rId34" display="county record" xr:uid="{00000000-0004-0000-1300-000021000000}"/>
    <hyperlink ref="K63" r:id="rId35" display="county record" xr:uid="{00000000-0004-0000-1300-000022000000}"/>
    <hyperlink ref="K64" r:id="rId36" display="county record" xr:uid="{00000000-0004-0000-1300-000023000000}"/>
    <hyperlink ref="K65" r:id="rId37" display="county record" xr:uid="{00000000-0004-0000-1300-000024000000}"/>
    <hyperlink ref="K66" r:id="rId38" display="county record" xr:uid="{00000000-0004-0000-1300-000025000000}"/>
    <hyperlink ref="K67" r:id="rId39" display="county record" xr:uid="{00000000-0004-0000-1300-000026000000}"/>
    <hyperlink ref="K68" r:id="rId40" display="county record" xr:uid="{00000000-0004-0000-1300-000027000000}"/>
    <hyperlink ref="K69" r:id="rId41" display="county record" xr:uid="{00000000-0004-0000-1300-000028000000}"/>
    <hyperlink ref="K70" r:id="rId42" display="county record" xr:uid="{00000000-0004-0000-1300-000029000000}"/>
    <hyperlink ref="K71" r:id="rId43" display="county record" xr:uid="{00000000-0004-0000-1300-00002A000000}"/>
    <hyperlink ref="K72" r:id="rId44" display="county record" xr:uid="{00000000-0004-0000-1300-00002B000000}"/>
    <hyperlink ref="K73" r:id="rId45" display="county record" xr:uid="{00000000-0004-0000-1300-00002C000000}"/>
    <hyperlink ref="K74" r:id="rId46" display="county record" xr:uid="{00000000-0004-0000-1300-00002D000000}"/>
    <hyperlink ref="K75" r:id="rId47" display="county record" xr:uid="{00000000-0004-0000-1300-00002E000000}"/>
    <hyperlink ref="K76" r:id="rId48" display="county record" xr:uid="{00000000-0004-0000-1300-00002F000000}"/>
    <hyperlink ref="K77" r:id="rId49" display="county record" xr:uid="{00000000-0004-0000-1300-000030000000}"/>
    <hyperlink ref="K78" r:id="rId50" display="county record" xr:uid="{00000000-0004-0000-1300-000031000000}"/>
    <hyperlink ref="K79" r:id="rId51" display="county record" xr:uid="{00000000-0004-0000-1300-000032000000}"/>
    <hyperlink ref="K80" r:id="rId52" display="county record" xr:uid="{00000000-0004-0000-1300-000033000000}"/>
    <hyperlink ref="K81" r:id="rId53" display="county record" xr:uid="{00000000-0004-0000-1300-000034000000}"/>
    <hyperlink ref="K82" r:id="rId54" display="county record" xr:uid="{00000000-0004-0000-1300-000035000000}"/>
    <hyperlink ref="K83" r:id="rId55" display="county record" xr:uid="{00000000-0004-0000-1300-000036000000}"/>
    <hyperlink ref="K84" r:id="rId56" display="county record" xr:uid="{00000000-0004-0000-1300-000037000000}"/>
    <hyperlink ref="K85" r:id="rId57" display="county record" xr:uid="{00000000-0004-0000-1300-000038000000}"/>
    <hyperlink ref="K86" r:id="rId58" display="county record" xr:uid="{00000000-0004-0000-1300-000039000000}"/>
    <hyperlink ref="K87" r:id="rId59" display="county record" xr:uid="{00000000-0004-0000-1300-00003A000000}"/>
    <hyperlink ref="K88" r:id="rId60" display="county record" xr:uid="{00000000-0004-0000-1300-00003B000000}"/>
    <hyperlink ref="K89" r:id="rId61" display="county record" xr:uid="{00000000-0004-0000-1300-00003C000000}"/>
    <hyperlink ref="K90" r:id="rId62" display="county record" xr:uid="{00000000-0004-0000-1300-00003D000000}"/>
    <hyperlink ref="K91" r:id="rId63" display="county record" xr:uid="{00000000-0004-0000-1300-00003E000000}"/>
    <hyperlink ref="K92" r:id="rId64" display="county record" xr:uid="{00000000-0004-0000-1300-00003F000000}"/>
    <hyperlink ref="K93" r:id="rId65" display="county record" xr:uid="{00000000-0004-0000-1300-000040000000}"/>
    <hyperlink ref="K94" r:id="rId66" display="county record" xr:uid="{00000000-0004-0000-1300-000041000000}"/>
    <hyperlink ref="K95" r:id="rId67" display="county record" xr:uid="{00000000-0004-0000-1300-000042000000}"/>
    <hyperlink ref="K96" r:id="rId68" display="county record" xr:uid="{00000000-0004-0000-1300-000043000000}"/>
    <hyperlink ref="K97" r:id="rId69" display="county record" xr:uid="{00000000-0004-0000-1300-000044000000}"/>
    <hyperlink ref="K98" r:id="rId70" display="county record" xr:uid="{00000000-0004-0000-1300-000045000000}"/>
    <hyperlink ref="K99" r:id="rId71" display="county record" xr:uid="{00000000-0004-0000-1300-000046000000}"/>
    <hyperlink ref="K100" r:id="rId72" display="county record" xr:uid="{00000000-0004-0000-1300-000047000000}"/>
    <hyperlink ref="K101" r:id="rId73" display="county record" xr:uid="{00000000-0004-0000-1300-000048000000}"/>
    <hyperlink ref="K103" r:id="rId74" display="https://okcountyrecords.com/detail/roger+mills/2026-003315/35464678" xr:uid="{00000000-0004-0000-1300-000049000000}"/>
    <hyperlink ref="K104" r:id="rId75" display="https://okcountyrecords.com/detail/roger+mills/2026-003315/35464678" xr:uid="{00000000-0004-0000-1300-00004A000000}"/>
    <hyperlink ref="K105" r:id="rId76" display="https://okcountyrecords.com/detail/roger+mills/2026-003315/35464678" xr:uid="{00000000-0004-0000-1300-00004B000000}"/>
    <hyperlink ref="K106" r:id="rId77" display="https://okcountyrecords.com/detail/roger+mills/2026-003315/35464678" xr:uid="{00000000-0004-0000-1300-00004C000000}"/>
    <hyperlink ref="K107" r:id="rId78" display="https://okcountyrecords.com/detail/roger+mills/2026-003315/35464678" xr:uid="{00000000-0004-0000-1300-00004D000000}"/>
    <hyperlink ref="K108" r:id="rId79" display="https://okcountyrecords.com/detail/roger+mills/2026-003315/35464678" xr:uid="{00000000-0004-0000-1300-00004E000000}"/>
    <hyperlink ref="K109" r:id="rId80" display="https://okcountyrecords.com/detail/roger+mills/2026-003315/35464678" xr:uid="{00000000-0004-0000-1300-00004F000000}"/>
    <hyperlink ref="K110" r:id="rId81" display="https://okcountyrecords.com/detail/roger+mills/2026-003315/35464678" xr:uid="{00000000-0004-0000-1300-000050000000}"/>
    <hyperlink ref="K111" r:id="rId82" display="https://okcountyrecords.com/detail/roger+mills/2026-003315/35464678" xr:uid="{00000000-0004-0000-1300-000051000000}"/>
    <hyperlink ref="K112" r:id="rId83" display="https://okcountyrecords.com/detail/roger+mills/2026-003315/35464678" xr:uid="{00000000-0004-0000-1300-000052000000}"/>
    <hyperlink ref="K113" r:id="rId84" display="https://okcountyrecords.com/detail/roger+mills/2026-003315/35464678" xr:uid="{00000000-0004-0000-1300-000053000000}"/>
    <hyperlink ref="K114" r:id="rId85" display="https://okcountyrecords.com/detail/roger+mills/2026-003315/35464678" xr:uid="{00000000-0004-0000-1300-000054000000}"/>
    <hyperlink ref="K115" r:id="rId86" display="https://okcountyrecords.com/detail/roger+mills/2026-003315/35464678" xr:uid="{00000000-0004-0000-1300-000055000000}"/>
    <hyperlink ref="K116" r:id="rId87" display="https://okcountyrecords.com/detail/roger+mills/2026-003315/35464678" xr:uid="{00000000-0004-0000-1300-000056000000}"/>
    <hyperlink ref="K117" r:id="rId88" display="https://okcountyrecords.com/detail/roger+mills/2026-003315/35464678" xr:uid="{00000000-0004-0000-1300-000057000000}"/>
    <hyperlink ref="K118" r:id="rId89" display="https://okcountyrecords.com/detail/roger+mills/2026-003315/35464678" xr:uid="{00000000-0004-0000-1300-000058000000}"/>
    <hyperlink ref="K119" r:id="rId90" display="https://okcountyrecords.com/detail/roger+mills/2026-003315/35464678" xr:uid="{00000000-0004-0000-1300-000059000000}"/>
    <hyperlink ref="K120" r:id="rId91" display="https://okcountyrecords.com/detail/roger+mills/2026-003315/35464678" xr:uid="{00000000-0004-0000-1300-00005A000000}"/>
    <hyperlink ref="K121" r:id="rId92" display="https://okcountyrecords.com/detail/roger+mills/2026-003315/35464678" xr:uid="{00000000-0004-0000-1300-00005B000000}"/>
    <hyperlink ref="K122" r:id="rId93" display="https://okcountyrecords.com/detail/roger+mills/2026-003315/35464678" xr:uid="{00000000-0004-0000-1300-00005C000000}"/>
    <hyperlink ref="K123" r:id="rId94" display="https://okcountyrecords.com/detail/roger+mills/2026-003315/35464678" xr:uid="{00000000-0004-0000-1300-00005D000000}"/>
    <hyperlink ref="K124" r:id="rId95" display="https://okcountyrecords.com/detail/roger+mills/2026-003315/35464678" xr:uid="{00000000-0004-0000-1300-00005E000000}"/>
    <hyperlink ref="K125" r:id="rId96" display="https://okcountyrecords.com/detail/roger+mills/2026-003315/35464678" xr:uid="{00000000-0004-0000-1300-00005F000000}"/>
    <hyperlink ref="K126" r:id="rId97" display="https://okcountyrecords.com/detail/roger+mills/2026-003315/35464678" xr:uid="{00000000-0004-0000-1300-000060000000}"/>
    <hyperlink ref="K127" r:id="rId98" display="https://okcountyrecords.com/detail/roger+mills/2026-003315/35464678" xr:uid="{00000000-0004-0000-1300-000061000000}"/>
    <hyperlink ref="K128" r:id="rId99" display="https://okcountyrecords.com/detail/roger+mills/2026-003315/35464678" xr:uid="{00000000-0004-0000-1300-000062000000}"/>
    <hyperlink ref="K129" r:id="rId100" display="https://okcountyrecords.com/detail/roger+mills/2026-003315/35464678" xr:uid="{00000000-0004-0000-1300-000063000000}"/>
    <hyperlink ref="K130" r:id="rId101" display="https://okcountyrecords.com/detail/roger+mills/2026-003315/35464678" xr:uid="{00000000-0004-0000-1300-000064000000}"/>
    <hyperlink ref="K131" r:id="rId102" display="https://okcountyrecords.com/detail/roger+mills/2026-003315/35464678" xr:uid="{00000000-0004-0000-1300-000065000000}"/>
    <hyperlink ref="K132" r:id="rId103" display="https://okcountyrecords.com/detail/roger+mills/2026-003315/35464678" xr:uid="{00000000-0004-0000-1300-000066000000}"/>
    <hyperlink ref="K133" r:id="rId104" display="https://okcountyrecords.com/detail/roger+mills/2026-003315/35464678" xr:uid="{00000000-0004-0000-1300-000067000000}"/>
    <hyperlink ref="K134" r:id="rId105" display="https://okcountyrecords.com/detail/roger+mills/2026-003315/35464678" xr:uid="{00000000-0004-0000-1300-000068000000}"/>
    <hyperlink ref="K135" r:id="rId106" display="https://okcountyrecords.com/detail/roger+mills/2026-003315/35464678" xr:uid="{00000000-0004-0000-1300-000069000000}"/>
    <hyperlink ref="K136" r:id="rId107" display="https://okcountyrecords.com/detail/roger+mills/2026-003315/35464678" xr:uid="{00000000-0004-0000-1300-00006A000000}"/>
    <hyperlink ref="K137" r:id="rId108" display="https://okcountyrecords.com/detail/roger+mills/2026-003315/35464678" xr:uid="{00000000-0004-0000-1300-00006B000000}"/>
    <hyperlink ref="K138" r:id="rId109" display="https://okcountyrecords.com/detail/roger+mills/2026-003315/35464678" xr:uid="{00000000-0004-0000-1300-00006C000000}"/>
    <hyperlink ref="K139" r:id="rId110" display="https://okcountyrecords.com/detail/roger+mills/2026-003315/35464678" xr:uid="{00000000-0004-0000-1300-00006D000000}"/>
    <hyperlink ref="K140" r:id="rId111" display="https://okcountyrecords.com/detail/roger+mills/2026-003315/35464678" xr:uid="{00000000-0004-0000-1300-00006E000000}"/>
    <hyperlink ref="K141" r:id="rId112" display="https://okcountyrecords.com/detail/roger+mills/2026-003315/35464678" xr:uid="{00000000-0004-0000-1300-00006F000000}"/>
    <hyperlink ref="K142" r:id="rId113" display="https://okcountyrecords.com/detail/roger+mills/2026-003315/35464678" xr:uid="{00000000-0004-0000-1300-000070000000}"/>
    <hyperlink ref="K143" r:id="rId114" display="https://okcountyrecords.com/detail/roger+mills/2026-003315/35464678" xr:uid="{00000000-0004-0000-1300-000071000000}"/>
    <hyperlink ref="K144" r:id="rId115" display="https://okcountyrecords.com/detail/roger+mills/2026-003315/35464678" xr:uid="{00000000-0004-0000-1300-000072000000}"/>
    <hyperlink ref="K145" r:id="rId116" display="https://okcountyrecords.com/detail/roger+mills/2026-003315/35464678" xr:uid="{00000000-0004-0000-1300-000073000000}"/>
    <hyperlink ref="K146" r:id="rId117" display="https://okcountyrecords.com/detail/roger+mills/2026-003315/35464678" xr:uid="{00000000-0004-0000-1300-000074000000}"/>
    <hyperlink ref="K147" r:id="rId118" display="https://okcountyrecords.com/detail/roger+mills/2026-003315/35464678" xr:uid="{00000000-0004-0000-1300-000075000000}"/>
    <hyperlink ref="K148" r:id="rId119" display="https://okcountyrecords.com/detail/roger+mills/2026-003315/35464678" xr:uid="{00000000-0004-0000-1300-000076000000}"/>
    <hyperlink ref="K149" r:id="rId120" display="https://okcountyrecords.com/detail/roger+mills/2026-003315/35464678" xr:uid="{00000000-0004-0000-1300-000077000000}"/>
    <hyperlink ref="K150" r:id="rId121" display="https://okcountyrecords.com/detail/roger+mills/2026-003315/35464678" xr:uid="{00000000-0004-0000-1300-000078000000}"/>
    <hyperlink ref="K151" r:id="rId122" display="https://okcountyrecords.com/detail/roger+mills/2026-003315/35464678" xr:uid="{00000000-0004-0000-1300-000079000000}"/>
    <hyperlink ref="K152" r:id="rId123" display="https://okcountyrecords.com/detail/roger+mills/2026-003315/35464678" xr:uid="{00000000-0004-0000-1300-00007A000000}"/>
    <hyperlink ref="K153" r:id="rId124" display="https://okcountyrecords.com/detail/roger+mills/2026-003315/35464678" xr:uid="{00000000-0004-0000-1300-00007B000000}"/>
    <hyperlink ref="K154" r:id="rId125" display="https://okcountyrecords.com/detail/roger+mills/2026-003315/35464678" xr:uid="{00000000-0004-0000-1300-00007C000000}"/>
    <hyperlink ref="K155" r:id="rId126" display="https://okcountyrecords.com/detail/roger+mills/2026-003315/35464678" xr:uid="{00000000-0004-0000-1300-00007D000000}"/>
    <hyperlink ref="K156" r:id="rId127" display="https://okcountyrecords.com/detail/roger+mills/2026-003315/35464678" xr:uid="{00000000-0004-0000-1300-00007E000000}"/>
    <hyperlink ref="K157" r:id="rId128" display="https://okcountyrecords.com/detail/roger+mills/2026-003315/35464678" xr:uid="{00000000-0004-0000-1300-00007F000000}"/>
    <hyperlink ref="K158" r:id="rId129" display="https://okcountyrecords.com/detail/roger+mills/2026-003315/35464678" xr:uid="{00000000-0004-0000-1300-000080000000}"/>
    <hyperlink ref="K159" r:id="rId130" display="https://okcountyrecords.com/detail/roger+mills/2026-003315/35464678" xr:uid="{00000000-0004-0000-1300-000081000000}"/>
    <hyperlink ref="K160" r:id="rId131" display="https://okcountyrecords.com/detail/roger+mills/2026-003315/35464678" xr:uid="{00000000-0004-0000-1300-000082000000}"/>
    <hyperlink ref="K161" r:id="rId132" display="https://okcountyrecords.com/detail/roger+mills/2026-003315/35464678" xr:uid="{00000000-0004-0000-1300-000083000000}"/>
    <hyperlink ref="K162" r:id="rId133" display="https://okcountyrecords.com/detail/roger+mills/2026-003315/35464678" xr:uid="{00000000-0004-0000-1300-000084000000}"/>
    <hyperlink ref="K163" r:id="rId134" display="https://okcountyrecords.com/detail/roger+mills/2026-003315/35464678" xr:uid="{00000000-0004-0000-1300-000085000000}"/>
    <hyperlink ref="K164" r:id="rId135" display="https://okcountyrecords.com/detail/roger+mills/2026-003315/35464678" xr:uid="{00000000-0004-0000-1300-000086000000}"/>
    <hyperlink ref="K165" r:id="rId136" display="https://okcountyrecords.com/detail/roger+mills/2026-003315/35464678" xr:uid="{00000000-0004-0000-1300-000087000000}"/>
    <hyperlink ref="K166" r:id="rId137" display="https://okcountyrecords.com/detail/roger+mills/2026-003315/35464678" xr:uid="{00000000-0004-0000-1300-000088000000}"/>
    <hyperlink ref="K167" r:id="rId138" display="https://okcountyrecords.com/detail/roger+mills/2026-003315/35464678" xr:uid="{00000000-0004-0000-1300-000089000000}"/>
    <hyperlink ref="K168" r:id="rId139" display="https://okcountyrecords.com/detail/roger+mills/2026-003315/35464678" xr:uid="{00000000-0004-0000-1300-00008A000000}"/>
    <hyperlink ref="K169" r:id="rId140" display="https://okcountyrecords.com/detail/roger+mills/2026-003315/35464678" xr:uid="{00000000-0004-0000-1300-00008B000000}"/>
    <hyperlink ref="K170" r:id="rId141" display="https://okcountyrecords.com/detail/roger+mills/2026-003315/35464678" xr:uid="{00000000-0004-0000-1300-00008C000000}"/>
    <hyperlink ref="K171" r:id="rId142" display="https://okcountyrecords.com/detail/roger+mills/2026-003315/35464678" xr:uid="{00000000-0004-0000-1300-00008D000000}"/>
    <hyperlink ref="K172" r:id="rId143" display="https://okcountyrecords.com/detail/roger+mills/2026-003315/35464678" xr:uid="{00000000-0004-0000-1300-00008E000000}"/>
    <hyperlink ref="K173" r:id="rId144" display="https://okcountyrecords.com/detail/roger+mills/2026-003315/35464678" xr:uid="{00000000-0004-0000-1300-00008F000000}"/>
    <hyperlink ref="K174" r:id="rId145" display="https://okcountyrecords.com/detail/roger+mills/2026-003315/35464678" xr:uid="{00000000-0004-0000-1300-000090000000}"/>
    <hyperlink ref="K175" r:id="rId146" display="https://okcountyrecords.com/detail/roger+mills/2026-003315/35464678" xr:uid="{00000000-0004-0000-1300-000091000000}"/>
    <hyperlink ref="K176" r:id="rId147" display="https://okcountyrecords.com/detail/roger+mills/2026-003315/35464678" xr:uid="{00000000-0004-0000-1300-000092000000}"/>
    <hyperlink ref="K177" r:id="rId148" display="https://okcountyrecords.com/detail/roger+mills/2026-003315/35464678" xr:uid="{00000000-0004-0000-1300-000093000000}"/>
    <hyperlink ref="K178" r:id="rId149" display="https://okcountyrecords.com/detail/roger+mills/2026-003315/35464678" xr:uid="{00000000-0004-0000-1300-000094000000}"/>
    <hyperlink ref="K179" r:id="rId150" display="https://okcountyrecords.com/detail/roger+mills/2026-003315/35464678" xr:uid="{00000000-0004-0000-1300-000095000000}"/>
    <hyperlink ref="K180" r:id="rId151" display="https://okcountyrecords.com/detail/roger+mills/2026-003315/35464678" xr:uid="{00000000-0004-0000-1300-000096000000}"/>
    <hyperlink ref="K181" r:id="rId152" display="https://okcountyrecords.com/detail/roger+mills/2026-003315/35464678" xr:uid="{00000000-0004-0000-1300-000097000000}"/>
    <hyperlink ref="K182" r:id="rId153" display="https://okcountyrecords.com/detail/roger+mills/2026-003315/35464678" xr:uid="{00000000-0004-0000-1300-000098000000}"/>
    <hyperlink ref="K183" r:id="rId154" display="https://okcountyrecords.com/detail/roger+mills/2026-003315/35464678" xr:uid="{00000000-0004-0000-1300-000099000000}"/>
    <hyperlink ref="K184" r:id="rId155" display="https://okcountyrecords.com/detail/roger+mills/2026-003315/35464678" xr:uid="{00000000-0004-0000-1300-00009A000000}"/>
    <hyperlink ref="K185" r:id="rId156" display="https://okcountyrecords.com/detail/roger+mills/2026-003315/35464678" xr:uid="{00000000-0004-0000-1300-00009B000000}"/>
    <hyperlink ref="K186" r:id="rId157" display="https://okcountyrecords.com/detail/roger+mills/2026-003315/35464678" xr:uid="{00000000-0004-0000-1300-00009C000000}"/>
    <hyperlink ref="K187" r:id="rId158" display="https://okcountyrecords.com/detail/roger+mills/2026-003315/35464678" xr:uid="{00000000-0004-0000-1300-00009D000000}"/>
    <hyperlink ref="K188" r:id="rId159" display="https://okcountyrecords.com/detail/roger+mills/2026-003315/35464678" xr:uid="{00000000-0004-0000-1300-00009E000000}"/>
    <hyperlink ref="K189" r:id="rId160" display="https://okcountyrecords.com/detail/roger+mills/2026-003315/35464678" xr:uid="{00000000-0004-0000-1300-00009F000000}"/>
    <hyperlink ref="K190" r:id="rId161" display="https://okcountyrecords.com/detail/roger+mills/2026-003315/35464678" xr:uid="{00000000-0004-0000-1300-0000A0000000}"/>
    <hyperlink ref="K191" r:id="rId162" display="https://okcountyrecords.com/detail/roger+mills/2026-003315/35464678" xr:uid="{00000000-0004-0000-1300-0000A1000000}"/>
    <hyperlink ref="K192" r:id="rId163" display="https://okcountyrecords.com/detail/roger+mills/2026-003315/35464678" xr:uid="{00000000-0004-0000-1300-0000A2000000}"/>
    <hyperlink ref="K193" r:id="rId164" display="https://okcountyrecords.com/detail/roger+mills/2026-003315/35464678" xr:uid="{00000000-0004-0000-1300-0000A3000000}"/>
    <hyperlink ref="K194" r:id="rId165" display="https://okcountyrecords.com/detail/roger+mills/2026-003315/35464678" xr:uid="{00000000-0004-0000-1300-0000A4000000}"/>
    <hyperlink ref="K195" r:id="rId166" display="https://okcountyrecords.com/detail/roger+mills/2026-003315/35464678" xr:uid="{00000000-0004-0000-1300-0000A5000000}"/>
    <hyperlink ref="K196" r:id="rId167" display="https://okcountyrecords.com/detail/roger+mills/2026-003315/35464678" xr:uid="{00000000-0004-0000-1300-0000A6000000}"/>
    <hyperlink ref="K197" r:id="rId168" display="https://okcountyrecords.com/detail/roger+mills/2026-003315/35464678" xr:uid="{00000000-0004-0000-1300-0000A7000000}"/>
    <hyperlink ref="K198" r:id="rId169" display="https://okcountyrecords.com/detail/roger+mills/2026-003315/35464678" xr:uid="{00000000-0004-0000-1300-0000A8000000}"/>
    <hyperlink ref="K199" r:id="rId170" display="https://okcountyrecords.com/detail/roger+mills/2026-003315/35464678" xr:uid="{00000000-0004-0000-1300-0000A9000000}"/>
    <hyperlink ref="K200" r:id="rId171" display="https://okcountyrecords.com/detail/roger+mills/2026-003315/35464678" xr:uid="{00000000-0004-0000-1300-0000AA000000}"/>
    <hyperlink ref="K201" r:id="rId172" display="https://okcountyrecords.com/detail/roger+mills/2026-003315/35464678" xr:uid="{00000000-0004-0000-1300-0000AB000000}"/>
    <hyperlink ref="K202" r:id="rId173" display="https://okcountyrecords.com/detail/roger+mills/2026-003315/35464678" xr:uid="{00000000-0004-0000-1300-0000AC000000}"/>
    <hyperlink ref="K203" r:id="rId174" display="https://okcountyrecords.com/detail/roger+mills/2026-003315/35464678" xr:uid="{00000000-0004-0000-1300-0000AD000000}"/>
    <hyperlink ref="K204" r:id="rId175" display="https://okcountyrecords.com/detail/roger+mills/2026-003315/35464678" xr:uid="{00000000-0004-0000-1300-0000AE000000}"/>
    <hyperlink ref="K205" r:id="rId176" display="https://okcountyrecords.com/detail/roger+mills/2026-003315/35464678" xr:uid="{00000000-0004-0000-1300-0000AF000000}"/>
  </hyperlinks>
  <pageMargins left="0.25" right="0.25" top="0.5" bottom="0.5" header="0.5" footer="0.5"/>
  <pageSetup paperSize="5" scale="64" fitToHeight="0" orientation="landscape"/>
  <tableParts count="1">
    <tablePart r:id="rId1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Overview</vt:lpstr>
      <vt:lpstr>Title </vt:lpstr>
      <vt:lpstr>PLAT</vt:lpstr>
      <vt:lpstr>OGLs</vt:lpstr>
      <vt:lpstr>Runsheet</vt:lpstr>
      <vt:lpstr>Tract 1</vt:lpstr>
      <vt:lpstr>Tract 2</vt:lpstr>
      <vt:lpstr>Tract 3</vt:lpstr>
      <vt:lpstr>Tract 4</vt:lpstr>
      <vt:lpstr>Tract 5</vt:lpstr>
      <vt:lpstr>Tract 6</vt:lpstr>
      <vt:lpstr>Tract 7</vt:lpstr>
      <vt:lpstr>Tract 8</vt:lpstr>
      <vt:lpstr>WI 1</vt:lpstr>
      <vt:lpstr>WI 2</vt:lpstr>
      <vt:lpstr>Wells</vt:lpstr>
      <vt:lpstr>raw</vt:lpstr>
      <vt:lpstr>WIsheet</vt:lpstr>
      <vt:lpstr>Title_BACKUP</vt:lpstr>
      <vt:lpstr>Runsheet_BACKUP</vt:lpstr>
      <vt:lpstr>OGLs!Print_Area</vt:lpstr>
      <vt:lpstr>Overview!Print_Area</vt:lpstr>
      <vt:lpstr>Runsheet!Print_Area</vt:lpstr>
      <vt:lpstr>Runsheet_BACKUP!Print_Area</vt:lpstr>
      <vt:lpstr>'Title '!Print_Area</vt:lpstr>
      <vt:lpstr>Title_BACKUP!Print_Area</vt:lpstr>
      <vt:lpstr>'Tract 1'!Print_Area</vt:lpstr>
      <vt:lpstr>'Tract 2'!Print_Area</vt:lpstr>
      <vt:lpstr>'Tract 3'!Print_Area</vt:lpstr>
      <vt:lpstr>'Tract 4'!Print_Area</vt:lpstr>
      <vt:lpstr>'Tract 5'!Print_Area</vt:lpstr>
      <vt:lpstr>Wells!Print_Area</vt:lpstr>
      <vt:lpstr>OGLs!Print_Titles</vt:lpstr>
      <vt:lpstr>Runsheet!Print_Titles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2026-06-17T22:39:48Z</dcterms:modified>
</cp:coreProperties>
</file>