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P_6710\ownCloud\Documents\2. Avaliação Políticas Públicas - ILB\APP3 TCC - Bittencourt_Rita_Pederiva\Projeto do TCC\"/>
    </mc:Choice>
  </mc:AlternateContent>
  <bookViews>
    <workbookView xWindow="60" yWindow="216" windowWidth="12156" windowHeight="9828"/>
  </bookViews>
  <sheets>
    <sheet name="Final" sheetId="17" r:id="rId1"/>
  </sheets>
  <definedNames>
    <definedName name="_xlnm._FilterDatabase" localSheetId="0" hidden="1">Final!$A$1:$BI$121</definedName>
    <definedName name="_xlnm.Print_Area" localSheetId="0">Final!$A$1:$T$13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F20" i="17" l="1"/>
  <c r="BE20" i="17"/>
  <c r="BD20" i="17"/>
  <c r="BC20" i="17"/>
  <c r="BB20" i="17"/>
  <c r="BA20" i="17"/>
  <c r="AS20" i="17"/>
  <c r="BG20" i="17" s="1"/>
  <c r="BF19" i="17"/>
  <c r="BE19" i="17"/>
  <c r="BD19" i="17"/>
  <c r="BC19" i="17"/>
  <c r="BB19" i="17"/>
  <c r="BA19" i="17"/>
  <c r="AS19" i="17"/>
  <c r="BG19" i="17" s="1"/>
  <c r="BF18" i="17"/>
  <c r="BE18" i="17"/>
  <c r="BD18" i="17"/>
  <c r="BC18" i="17"/>
  <c r="BB18" i="17"/>
  <c r="BA18" i="17"/>
  <c r="AS18" i="17"/>
  <c r="BG18" i="17" s="1"/>
  <c r="BG15" i="17"/>
  <c r="BF15" i="17"/>
  <c r="BE15" i="17"/>
  <c r="BD15" i="17"/>
  <c r="BC15" i="17"/>
  <c r="BB15" i="17"/>
  <c r="BA15" i="17"/>
  <c r="BG9" i="17"/>
  <c r="BF9" i="17"/>
  <c r="BE9" i="17"/>
  <c r="BD9" i="17"/>
  <c r="BC9" i="17"/>
  <c r="BB9" i="17"/>
  <c r="BA9" i="17"/>
  <c r="BG11" i="17"/>
  <c r="BF11" i="17"/>
  <c r="BE11" i="17"/>
  <c r="BD11" i="17"/>
  <c r="BC11" i="17"/>
  <c r="BB11" i="17"/>
  <c r="BA11" i="17"/>
  <c r="BG8" i="17"/>
  <c r="BF8" i="17"/>
  <c r="BE8" i="17"/>
  <c r="BD8" i="17"/>
  <c r="BC8" i="17"/>
  <c r="BB8" i="17"/>
  <c r="BA8" i="17"/>
  <c r="BG13" i="17"/>
  <c r="BF13" i="17"/>
  <c r="BE13" i="17"/>
  <c r="BD13" i="17"/>
  <c r="BC13" i="17"/>
  <c r="BB13" i="17"/>
  <c r="BA13" i="17"/>
  <c r="BG3" i="17"/>
  <c r="BF3" i="17"/>
  <c r="BE3" i="17"/>
  <c r="BD3" i="17"/>
  <c r="BC3" i="17"/>
  <c r="BB3" i="17"/>
  <c r="BA3" i="17"/>
  <c r="BI13" i="17" l="1"/>
  <c r="BH13" i="17"/>
  <c r="BI11" i="17"/>
  <c r="BH11" i="17"/>
  <c r="BI15" i="17"/>
  <c r="BH15" i="17"/>
  <c r="BI19" i="17"/>
  <c r="BH19" i="17"/>
  <c r="BI3" i="17"/>
  <c r="BH3" i="17"/>
  <c r="BI8" i="17"/>
  <c r="BH8" i="17"/>
  <c r="BI9" i="17"/>
  <c r="BH9" i="17"/>
  <c r="BI18" i="17"/>
  <c r="BH18" i="17"/>
  <c r="BI20" i="17"/>
  <c r="BH20" i="17"/>
  <c r="AZ7" i="17"/>
  <c r="AY7" i="17"/>
  <c r="AX7" i="17"/>
  <c r="AW7" i="17"/>
  <c r="AV7" i="17"/>
  <c r="AU7" i="17"/>
  <c r="AT7" i="17"/>
  <c r="AS7" i="17"/>
  <c r="AR7" i="17"/>
  <c r="AQ7" i="17"/>
  <c r="AP7" i="17"/>
  <c r="AO7" i="17"/>
  <c r="AN7" i="17"/>
  <c r="AM7" i="17"/>
  <c r="AL7" i="17"/>
  <c r="AK7" i="17"/>
  <c r="AJ7" i="17"/>
  <c r="AI7" i="17"/>
  <c r="AH7" i="17"/>
  <c r="AG7" i="17"/>
  <c r="AF7" i="17"/>
  <c r="AE7" i="17"/>
  <c r="AD7" i="17"/>
  <c r="AC7" i="17"/>
  <c r="AB7" i="17"/>
  <c r="AA7" i="17"/>
  <c r="Z7" i="17"/>
  <c r="Y7" i="17"/>
  <c r="BG14" i="17"/>
  <c r="BF14" i="17"/>
  <c r="BE14" i="17"/>
  <c r="BD14" i="17"/>
  <c r="BC14" i="17"/>
  <c r="BB14" i="17"/>
  <c r="BA14" i="17"/>
  <c r="BG12" i="17"/>
  <c r="BF12" i="17"/>
  <c r="BE12" i="17"/>
  <c r="BD12" i="17"/>
  <c r="BC12" i="17"/>
  <c r="BB12" i="17"/>
  <c r="BA12" i="17"/>
  <c r="BG17" i="17"/>
  <c r="BF17" i="17"/>
  <c r="BE17" i="17"/>
  <c r="BD17" i="17"/>
  <c r="BC17" i="17"/>
  <c r="BB17" i="17"/>
  <c r="BA17" i="17"/>
  <c r="BG16" i="17"/>
  <c r="BF16" i="17"/>
  <c r="BE16" i="17"/>
  <c r="BD16" i="17"/>
  <c r="BC16" i="17"/>
  <c r="BB16" i="17"/>
  <c r="BA16" i="17"/>
  <c r="BG10" i="17"/>
  <c r="BF10" i="17"/>
  <c r="BE10" i="17"/>
  <c r="BD10" i="17"/>
  <c r="BC10" i="17"/>
  <c r="BB10" i="17"/>
  <c r="BA10" i="17"/>
  <c r="BG6" i="17"/>
  <c r="BF6" i="17"/>
  <c r="BE6" i="17"/>
  <c r="BD6" i="17"/>
  <c r="BC6" i="17"/>
  <c r="BB6" i="17"/>
  <c r="BA6" i="17"/>
  <c r="BG5" i="17"/>
  <c r="BF5" i="17"/>
  <c r="BE5" i="17"/>
  <c r="BD5" i="17"/>
  <c r="BC5" i="17"/>
  <c r="BB5" i="17"/>
  <c r="BA5" i="17"/>
  <c r="BG4" i="17"/>
  <c r="BF4" i="17"/>
  <c r="BE4" i="17"/>
  <c r="BD4" i="17"/>
  <c r="BC4" i="17"/>
  <c r="BB4" i="17"/>
  <c r="BA4" i="17"/>
  <c r="BG2" i="17"/>
  <c r="BF2" i="17"/>
  <c r="BE2" i="17"/>
  <c r="BD2" i="17"/>
  <c r="BC2" i="17"/>
  <c r="BB2" i="17"/>
  <c r="BA2" i="17"/>
  <c r="BG41" i="17"/>
  <c r="BF41" i="17"/>
  <c r="BE41" i="17"/>
  <c r="BD41" i="17"/>
  <c r="BC41" i="17"/>
  <c r="BB41" i="17"/>
  <c r="BA41" i="17"/>
  <c r="BG38" i="17"/>
  <c r="BF38" i="17"/>
  <c r="BE38" i="17"/>
  <c r="BD38" i="17"/>
  <c r="BC38" i="17"/>
  <c r="BB38" i="17"/>
  <c r="BA38" i="17"/>
  <c r="BF30" i="17"/>
  <c r="BE30" i="17"/>
  <c r="BD30" i="17"/>
  <c r="BC30" i="17"/>
  <c r="BB30" i="17"/>
  <c r="BA30" i="17"/>
  <c r="AZ30" i="17"/>
  <c r="AS30" i="17"/>
  <c r="BG28" i="17"/>
  <c r="BF28" i="17"/>
  <c r="BE28" i="17"/>
  <c r="BD28" i="17"/>
  <c r="BC28" i="17"/>
  <c r="BB28" i="17"/>
  <c r="BA28" i="17"/>
  <c r="BG25" i="17"/>
  <c r="BF25" i="17"/>
  <c r="BE25" i="17"/>
  <c r="BD25" i="17"/>
  <c r="BC25" i="17"/>
  <c r="BB25" i="17"/>
  <c r="BA25" i="17"/>
  <c r="AZ47" i="17"/>
  <c r="AY47" i="17"/>
  <c r="AX47" i="17"/>
  <c r="AW47" i="17"/>
  <c r="AV47" i="17"/>
  <c r="AU47" i="17"/>
  <c r="AT47" i="17"/>
  <c r="AS47" i="17"/>
  <c r="AQ47" i="17"/>
  <c r="AP47" i="17"/>
  <c r="AO47" i="17"/>
  <c r="AN47" i="17"/>
  <c r="AM47" i="17"/>
  <c r="AL47" i="17"/>
  <c r="AK47" i="17"/>
  <c r="AJ47" i="17"/>
  <c r="AI47" i="17"/>
  <c r="AH47" i="17"/>
  <c r="AG47" i="17"/>
  <c r="AF47" i="17"/>
  <c r="AE47" i="17"/>
  <c r="AC47" i="17"/>
  <c r="AB47" i="17"/>
  <c r="AA47" i="17"/>
  <c r="Z47" i="17"/>
  <c r="Y47" i="17"/>
  <c r="AR47" i="17"/>
  <c r="AD47" i="17"/>
  <c r="AZ29" i="17"/>
  <c r="AY29" i="17"/>
  <c r="AX29" i="17"/>
  <c r="AW29" i="17"/>
  <c r="AV29" i="17"/>
  <c r="AU29" i="17"/>
  <c r="AT29" i="17"/>
  <c r="AS29" i="17"/>
  <c r="AR29" i="17"/>
  <c r="AQ29" i="17"/>
  <c r="AP29" i="17"/>
  <c r="AO29" i="17"/>
  <c r="AN29" i="17"/>
  <c r="AM29" i="17"/>
  <c r="AL29" i="17"/>
  <c r="AK29" i="17"/>
  <c r="AJ29" i="17"/>
  <c r="AI29" i="17"/>
  <c r="AH29" i="17"/>
  <c r="AG29" i="17"/>
  <c r="AF29" i="17"/>
  <c r="AE29" i="17"/>
  <c r="AD29" i="17"/>
  <c r="AC29" i="17"/>
  <c r="AB29" i="17"/>
  <c r="AA29" i="17"/>
  <c r="Z29" i="17"/>
  <c r="Y29" i="17"/>
  <c r="AZ43" i="17"/>
  <c r="AY43" i="17"/>
  <c r="AX43" i="17"/>
  <c r="AW43" i="17"/>
  <c r="AV43" i="17"/>
  <c r="AU43" i="17"/>
  <c r="AT43" i="17"/>
  <c r="AS43" i="17"/>
  <c r="AR43" i="17"/>
  <c r="AQ43" i="17"/>
  <c r="AP43" i="17"/>
  <c r="AO43" i="17"/>
  <c r="AN43" i="17"/>
  <c r="AM43" i="17"/>
  <c r="AL43" i="17"/>
  <c r="AJ43" i="17"/>
  <c r="AI43" i="17"/>
  <c r="AH43" i="17"/>
  <c r="AG43" i="17"/>
  <c r="AF43" i="17"/>
  <c r="AK43" i="17"/>
  <c r="AE43" i="17"/>
  <c r="AD43" i="17"/>
  <c r="AC43" i="17"/>
  <c r="AB43" i="17"/>
  <c r="AA43" i="17"/>
  <c r="Z43" i="17"/>
  <c r="Y43" i="17"/>
  <c r="BG23" i="17"/>
  <c r="BF23" i="17"/>
  <c r="BE23" i="17"/>
  <c r="BD23" i="17"/>
  <c r="BC23" i="17"/>
  <c r="BB23" i="17"/>
  <c r="BA23" i="17"/>
  <c r="BG34" i="17"/>
  <c r="BF34" i="17"/>
  <c r="BE34" i="17"/>
  <c r="BD34" i="17"/>
  <c r="BC34" i="17"/>
  <c r="BB34" i="17"/>
  <c r="BA34" i="17"/>
  <c r="BG44" i="17"/>
  <c r="BF44" i="17"/>
  <c r="BE44" i="17"/>
  <c r="BD44" i="17"/>
  <c r="BC44" i="17"/>
  <c r="BB44" i="17"/>
  <c r="BA44" i="17"/>
  <c r="BG46" i="17"/>
  <c r="BF46" i="17"/>
  <c r="BE46" i="17"/>
  <c r="BD46" i="17"/>
  <c r="BC46" i="17"/>
  <c r="BB46" i="17"/>
  <c r="BA46" i="17"/>
  <c r="AZ45" i="17"/>
  <c r="AY45" i="17"/>
  <c r="AX45" i="17"/>
  <c r="AW45" i="17"/>
  <c r="AV45" i="17"/>
  <c r="AU45" i="17"/>
  <c r="AT45" i="17"/>
  <c r="AS45" i="17"/>
  <c r="AR45" i="17"/>
  <c r="AQ45" i="17"/>
  <c r="AP45" i="17"/>
  <c r="AO45" i="17"/>
  <c r="AN45" i="17"/>
  <c r="AM45" i="17"/>
  <c r="AL45" i="17"/>
  <c r="AK45" i="17"/>
  <c r="AJ45" i="17"/>
  <c r="AI45" i="17"/>
  <c r="AH45" i="17"/>
  <c r="AG45" i="17"/>
  <c r="AF45" i="17"/>
  <c r="AE45" i="17"/>
  <c r="AD45" i="17"/>
  <c r="AC45" i="17"/>
  <c r="AB45" i="17"/>
  <c r="AA45" i="17"/>
  <c r="Z45" i="17"/>
  <c r="Y45" i="17"/>
  <c r="AZ40" i="17"/>
  <c r="AY40" i="17"/>
  <c r="AX40" i="17"/>
  <c r="AW40" i="17"/>
  <c r="AV40" i="17"/>
  <c r="AU40" i="17"/>
  <c r="AT40" i="17"/>
  <c r="AS40" i="17"/>
  <c r="AR40" i="17"/>
  <c r="AQ40" i="17"/>
  <c r="AP40" i="17"/>
  <c r="AO40" i="17"/>
  <c r="AN40" i="17"/>
  <c r="AM40" i="17"/>
  <c r="AL40" i="17"/>
  <c r="AK40" i="17"/>
  <c r="AJ40" i="17"/>
  <c r="AI40" i="17"/>
  <c r="AH40" i="17"/>
  <c r="AG40" i="17"/>
  <c r="AF40" i="17"/>
  <c r="AE40" i="17"/>
  <c r="AD40" i="17"/>
  <c r="AC40" i="17"/>
  <c r="AB40" i="17"/>
  <c r="AA40" i="17"/>
  <c r="Z40" i="17"/>
  <c r="Y40" i="17"/>
  <c r="AZ35" i="17"/>
  <c r="AY35" i="17"/>
  <c r="AX35" i="17"/>
  <c r="AW35" i="17"/>
  <c r="AV35" i="17"/>
  <c r="AU35" i="17"/>
  <c r="AT35" i="17"/>
  <c r="AS35" i="17"/>
  <c r="AR35" i="17"/>
  <c r="AQ35" i="17"/>
  <c r="AP35" i="17"/>
  <c r="AO35" i="17"/>
  <c r="AN35" i="17"/>
  <c r="AM35" i="17"/>
  <c r="AL35" i="17"/>
  <c r="AK35" i="17"/>
  <c r="AJ35" i="17"/>
  <c r="AI35" i="17"/>
  <c r="AH35" i="17"/>
  <c r="AG35" i="17"/>
  <c r="AF35" i="17"/>
  <c r="AE35" i="17"/>
  <c r="AD35" i="17"/>
  <c r="AC35" i="17"/>
  <c r="AB35" i="17"/>
  <c r="AA35" i="17"/>
  <c r="Z35" i="17"/>
  <c r="Y35"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AZ31" i="17"/>
  <c r="AY31" i="17"/>
  <c r="AX31" i="17"/>
  <c r="AW31" i="17"/>
  <c r="AV31" i="17"/>
  <c r="AU31" i="17"/>
  <c r="AT31" i="17"/>
  <c r="AS31" i="17"/>
  <c r="AR31" i="17"/>
  <c r="AQ31" i="17"/>
  <c r="AP31" i="17"/>
  <c r="AO31" i="17"/>
  <c r="AN31" i="17"/>
  <c r="AM31" i="17"/>
  <c r="AL31" i="17"/>
  <c r="AK31" i="17"/>
  <c r="AJ31" i="17"/>
  <c r="AI31" i="17"/>
  <c r="AH31" i="17"/>
  <c r="AG31" i="17"/>
  <c r="AF31" i="17"/>
  <c r="AE31" i="17"/>
  <c r="AD31" i="17"/>
  <c r="AC31" i="17"/>
  <c r="AB31" i="17"/>
  <c r="AA31" i="17"/>
  <c r="Z31" i="17"/>
  <c r="Y31" i="17"/>
  <c r="AZ27" i="17"/>
  <c r="AY27" i="17"/>
  <c r="AX27" i="17"/>
  <c r="AW27" i="17"/>
  <c r="AV27" i="17"/>
  <c r="AU27" i="17"/>
  <c r="AT27" i="17"/>
  <c r="AS27" i="17"/>
  <c r="AR27" i="17"/>
  <c r="AQ27" i="17"/>
  <c r="AP27" i="17"/>
  <c r="AO27" i="17"/>
  <c r="AN27" i="17"/>
  <c r="AM27" i="17"/>
  <c r="AL27" i="17"/>
  <c r="AK27" i="17"/>
  <c r="AJ27" i="17"/>
  <c r="AI27" i="17"/>
  <c r="AH27" i="17"/>
  <c r="AG27" i="17"/>
  <c r="AF27" i="17"/>
  <c r="AE27" i="17"/>
  <c r="AD27" i="17"/>
  <c r="AC27" i="17"/>
  <c r="AB27" i="17"/>
  <c r="AA27" i="17"/>
  <c r="Z27" i="17"/>
  <c r="Y27" i="17"/>
  <c r="AZ26" i="17"/>
  <c r="AY26" i="17"/>
  <c r="AX26" i="17"/>
  <c r="AW26" i="17"/>
  <c r="AV26" i="17"/>
  <c r="AU26" i="17"/>
  <c r="AT26" i="17"/>
  <c r="AS26" i="17"/>
  <c r="AR26" i="17"/>
  <c r="AQ26" i="17"/>
  <c r="AP26" i="17"/>
  <c r="AO26" i="17"/>
  <c r="AN26" i="17"/>
  <c r="AM26" i="17"/>
  <c r="AL26" i="17"/>
  <c r="AK26" i="17"/>
  <c r="AJ26" i="17"/>
  <c r="AI26" i="17"/>
  <c r="AH26" i="17"/>
  <c r="AG26" i="17"/>
  <c r="AF26" i="17"/>
  <c r="AE26" i="17"/>
  <c r="AD26" i="17"/>
  <c r="AC26" i="17"/>
  <c r="AB26" i="17"/>
  <c r="AA26" i="17"/>
  <c r="Z26" i="17"/>
  <c r="Y26" i="17"/>
  <c r="AZ24" i="17"/>
  <c r="AY24" i="17"/>
  <c r="AX24" i="17"/>
  <c r="AW24" i="17"/>
  <c r="AV24" i="17"/>
  <c r="AU24" i="17"/>
  <c r="AT24" i="17"/>
  <c r="AS24" i="17"/>
  <c r="AR24" i="17"/>
  <c r="AQ24" i="17"/>
  <c r="AP24" i="17"/>
  <c r="AO24" i="17"/>
  <c r="AN24" i="17"/>
  <c r="AM24" i="17"/>
  <c r="AL24" i="17"/>
  <c r="AK24" i="17"/>
  <c r="AJ24" i="17"/>
  <c r="AI24" i="17"/>
  <c r="AH24" i="17"/>
  <c r="AG24" i="17"/>
  <c r="AF24" i="17"/>
  <c r="AE24" i="17"/>
  <c r="AD24" i="17"/>
  <c r="AC24" i="17"/>
  <c r="AB24" i="17"/>
  <c r="AA24" i="17"/>
  <c r="Z24" i="17"/>
  <c r="Y24" i="17"/>
  <c r="AZ22" i="17"/>
  <c r="AY22" i="17"/>
  <c r="AX22" i="17"/>
  <c r="AW22" i="17"/>
  <c r="AV22" i="17"/>
  <c r="AU22" i="17"/>
  <c r="AT22" i="17"/>
  <c r="AS22" i="17"/>
  <c r="AR22" i="17"/>
  <c r="AQ22" i="17"/>
  <c r="AP22" i="17"/>
  <c r="AO22" i="17"/>
  <c r="AN22" i="17"/>
  <c r="AM22" i="17"/>
  <c r="AL22" i="17"/>
  <c r="AK22" i="17"/>
  <c r="AJ22" i="17"/>
  <c r="AI22" i="17"/>
  <c r="AH22" i="17"/>
  <c r="AG22" i="17"/>
  <c r="AF22" i="17"/>
  <c r="AE22" i="17"/>
  <c r="AD22" i="17"/>
  <c r="AC22" i="17"/>
  <c r="AB22" i="17"/>
  <c r="AA22" i="17"/>
  <c r="Z22" i="17"/>
  <c r="Y22" i="17"/>
  <c r="AZ21" i="17"/>
  <c r="AY21" i="17"/>
  <c r="AX21" i="17"/>
  <c r="AW21" i="17"/>
  <c r="AV21" i="17"/>
  <c r="AU21" i="17"/>
  <c r="AT21" i="17"/>
  <c r="AS21" i="17"/>
  <c r="AR21" i="17"/>
  <c r="AQ21" i="17"/>
  <c r="AP21" i="17"/>
  <c r="AO21" i="17"/>
  <c r="AN21" i="17"/>
  <c r="BB21" i="17" s="1"/>
  <c r="AM21" i="17"/>
  <c r="AL21" i="17"/>
  <c r="AK21" i="17"/>
  <c r="AJ21" i="17"/>
  <c r="AI21" i="17"/>
  <c r="AH21" i="17"/>
  <c r="AG21" i="17"/>
  <c r="AF21" i="17"/>
  <c r="AE21" i="17"/>
  <c r="AC21" i="17"/>
  <c r="AB21" i="17"/>
  <c r="AA21" i="17"/>
  <c r="Z21" i="17"/>
  <c r="Y21" i="17"/>
  <c r="BG39" i="17"/>
  <c r="BF39" i="17"/>
  <c r="BE39" i="17"/>
  <c r="BD39" i="17"/>
  <c r="BC39" i="17"/>
  <c r="BB39" i="17"/>
  <c r="BA39" i="17"/>
  <c r="BG37" i="17"/>
  <c r="BF37" i="17"/>
  <c r="BE37" i="17"/>
  <c r="BD37" i="17"/>
  <c r="BC37" i="17"/>
  <c r="BB37" i="17"/>
  <c r="BA37" i="17"/>
  <c r="AD21" i="17"/>
  <c r="BG36" i="17"/>
  <c r="BF36" i="17"/>
  <c r="BE36" i="17"/>
  <c r="BD36" i="17"/>
  <c r="BC36" i="17"/>
  <c r="BB36" i="17"/>
  <c r="BA36" i="17"/>
  <c r="BG42" i="17"/>
  <c r="BF42" i="17"/>
  <c r="BE42" i="17"/>
  <c r="BD42" i="17"/>
  <c r="BC42" i="17"/>
  <c r="BB42" i="17"/>
  <c r="BA42" i="17"/>
  <c r="BG33" i="17"/>
  <c r="BF33" i="17"/>
  <c r="BE33" i="17"/>
  <c r="BD33" i="17"/>
  <c r="BC33" i="17"/>
  <c r="BB33" i="17"/>
  <c r="BA33" i="17"/>
  <c r="BG65" i="17"/>
  <c r="BF65" i="17"/>
  <c r="BE65" i="17"/>
  <c r="BD65" i="17"/>
  <c r="BC65" i="17"/>
  <c r="BB65" i="17"/>
  <c r="BA65" i="17"/>
  <c r="BG64" i="17"/>
  <c r="BF64" i="17"/>
  <c r="BE64" i="17"/>
  <c r="BD64" i="17"/>
  <c r="BC64" i="17"/>
  <c r="BB64" i="17"/>
  <c r="BA64" i="17"/>
  <c r="BG59" i="17"/>
  <c r="BF59" i="17"/>
  <c r="BE59" i="17"/>
  <c r="BD59" i="17"/>
  <c r="BC59" i="17"/>
  <c r="BB59" i="17"/>
  <c r="BA59" i="17"/>
  <c r="BG52" i="17"/>
  <c r="BF52" i="17"/>
  <c r="BE52" i="17"/>
  <c r="BD52" i="17"/>
  <c r="BC52" i="17"/>
  <c r="BB52" i="17"/>
  <c r="BA52" i="17"/>
  <c r="BG51" i="17"/>
  <c r="BF51" i="17"/>
  <c r="BE51" i="17"/>
  <c r="BD51" i="17"/>
  <c r="BC51" i="17"/>
  <c r="BB51" i="17"/>
  <c r="BA51" i="17"/>
  <c r="BG48" i="17"/>
  <c r="BF48" i="17"/>
  <c r="BE48" i="17"/>
  <c r="BD48" i="17"/>
  <c r="BC48" i="17"/>
  <c r="BB48" i="17"/>
  <c r="BA48" i="17"/>
  <c r="BG30" i="17" l="1"/>
  <c r="BI30" i="17" s="1"/>
  <c r="BB7" i="17"/>
  <c r="BF7" i="17"/>
  <c r="BD47" i="17"/>
  <c r="BD7" i="17"/>
  <c r="BI51" i="17"/>
  <c r="BH51" i="17"/>
  <c r="BI59" i="17"/>
  <c r="BH59" i="17"/>
  <c r="BI65" i="17"/>
  <c r="BH65" i="17"/>
  <c r="BI42" i="17"/>
  <c r="BH42" i="17"/>
  <c r="BI37" i="17"/>
  <c r="BH37" i="17"/>
  <c r="BI44" i="17"/>
  <c r="BH44" i="17"/>
  <c r="BI23" i="17"/>
  <c r="BH23" i="17"/>
  <c r="BI28" i="17"/>
  <c r="BH28" i="17"/>
  <c r="BI41" i="17"/>
  <c r="BH41" i="17"/>
  <c r="BI4" i="17"/>
  <c r="BH4" i="17"/>
  <c r="BI6" i="17"/>
  <c r="BH6" i="17"/>
  <c r="BI16" i="17"/>
  <c r="BH16" i="17"/>
  <c r="BI12" i="17"/>
  <c r="BH12" i="17"/>
  <c r="BI48" i="17"/>
  <c r="BH48" i="17"/>
  <c r="BI52" i="17"/>
  <c r="BH52" i="17"/>
  <c r="BI64" i="17"/>
  <c r="BH64" i="17"/>
  <c r="BI33" i="17"/>
  <c r="BH33" i="17"/>
  <c r="BI36" i="17"/>
  <c r="BH36" i="17"/>
  <c r="BI39" i="17"/>
  <c r="BH39" i="17"/>
  <c r="BI46" i="17"/>
  <c r="BH46" i="17"/>
  <c r="BI34" i="17"/>
  <c r="BH34" i="17"/>
  <c r="BI25" i="17"/>
  <c r="BH25" i="17"/>
  <c r="BI38" i="17"/>
  <c r="BH38" i="17"/>
  <c r="BI2" i="17"/>
  <c r="BH2" i="17"/>
  <c r="BI5" i="17"/>
  <c r="BH5" i="17"/>
  <c r="BI10" i="17"/>
  <c r="BH10" i="17"/>
  <c r="BI17" i="17"/>
  <c r="BH17" i="17"/>
  <c r="BI14" i="17"/>
  <c r="BH14" i="17"/>
  <c r="BA21" i="17"/>
  <c r="BC21" i="17"/>
  <c r="BD21" i="17"/>
  <c r="BB22" i="17"/>
  <c r="BD22" i="17"/>
  <c r="BF22" i="17"/>
  <c r="BB24" i="17"/>
  <c r="BD24" i="17"/>
  <c r="BF24" i="17"/>
  <c r="BB26" i="17"/>
  <c r="BD26" i="17"/>
  <c r="BF26" i="17"/>
  <c r="BB27" i="17"/>
  <c r="BD27" i="17"/>
  <c r="BF27" i="17"/>
  <c r="BB31" i="17"/>
  <c r="BD31" i="17"/>
  <c r="BF31" i="17"/>
  <c r="BB32" i="17"/>
  <c r="BD32" i="17"/>
  <c r="BF32" i="17"/>
  <c r="BB35" i="17"/>
  <c r="BD35" i="17"/>
  <c r="BB40" i="17"/>
  <c r="BD40" i="17"/>
  <c r="BF40" i="17"/>
  <c r="BB45" i="17"/>
  <c r="BD45" i="17"/>
  <c r="BF45" i="17"/>
  <c r="BB43" i="17"/>
  <c r="BD43" i="17"/>
  <c r="BF43" i="17"/>
  <c r="BB29" i="17"/>
  <c r="BD29" i="17"/>
  <c r="BF29" i="17"/>
  <c r="BA7" i="17"/>
  <c r="BC7" i="17"/>
  <c r="BE7" i="17"/>
  <c r="BG7" i="17"/>
  <c r="BF21" i="17"/>
  <c r="BB47" i="17"/>
  <c r="BG47" i="17"/>
  <c r="BA47" i="17"/>
  <c r="BC47" i="17"/>
  <c r="BE47" i="17"/>
  <c r="BA22" i="17"/>
  <c r="BC22" i="17"/>
  <c r="BE22" i="17"/>
  <c r="BG22" i="17"/>
  <c r="BA24" i="17"/>
  <c r="BC24" i="17"/>
  <c r="BE24" i="17"/>
  <c r="BG24" i="17"/>
  <c r="BA26" i="17"/>
  <c r="BC26" i="17"/>
  <c r="BE26" i="17"/>
  <c r="BG26" i="17"/>
  <c r="BA27" i="17"/>
  <c r="BC27" i="17"/>
  <c r="BE27" i="17"/>
  <c r="BG27" i="17"/>
  <c r="BA31" i="17"/>
  <c r="BC31" i="17"/>
  <c r="BE31" i="17"/>
  <c r="BG31" i="17"/>
  <c r="BA32" i="17"/>
  <c r="BC32" i="17"/>
  <c r="BE32" i="17"/>
  <c r="BG32" i="17"/>
  <c r="BA35" i="17"/>
  <c r="BC35" i="17"/>
  <c r="BE35" i="17"/>
  <c r="BG35" i="17"/>
  <c r="BA40" i="17"/>
  <c r="BC40" i="17"/>
  <c r="BE40" i="17"/>
  <c r="BG40" i="17"/>
  <c r="BA45" i="17"/>
  <c r="BC45" i="17"/>
  <c r="BE45" i="17"/>
  <c r="BG45" i="17"/>
  <c r="BC43" i="17"/>
  <c r="BE43" i="17"/>
  <c r="BA29" i="17"/>
  <c r="BC29" i="17"/>
  <c r="BE29" i="17"/>
  <c r="BG29" i="17"/>
  <c r="BF47" i="17"/>
  <c r="BG43" i="17"/>
  <c r="BA43" i="17"/>
  <c r="BF35" i="17"/>
  <c r="BE21" i="17"/>
  <c r="BG21" i="17"/>
  <c r="BH30" i="17" l="1"/>
  <c r="BI21" i="17"/>
  <c r="BH21" i="17"/>
  <c r="BI43" i="17"/>
  <c r="BH43" i="17"/>
  <c r="BI29" i="17"/>
  <c r="BH29" i="17"/>
  <c r="BI45" i="17"/>
  <c r="BH45" i="17"/>
  <c r="BI40" i="17"/>
  <c r="BH40" i="17"/>
  <c r="BI35" i="17"/>
  <c r="BH35" i="17"/>
  <c r="BI32" i="17"/>
  <c r="BH32" i="17"/>
  <c r="BI31" i="17"/>
  <c r="BH31" i="17"/>
  <c r="BI27" i="17"/>
  <c r="BH27" i="17"/>
  <c r="BI26" i="17"/>
  <c r="BH26" i="17"/>
  <c r="BI24" i="17"/>
  <c r="BH24" i="17"/>
  <c r="BI22" i="17"/>
  <c r="BH22" i="17"/>
  <c r="BI7" i="17"/>
  <c r="BH7" i="17"/>
  <c r="BI47" i="17"/>
  <c r="BH47" i="17"/>
  <c r="BG63" i="17"/>
  <c r="BF63" i="17"/>
  <c r="BE63" i="17"/>
  <c r="BD63" i="17"/>
  <c r="BC63" i="17"/>
  <c r="BB63" i="17"/>
  <c r="BA63" i="17"/>
  <c r="BG60" i="17"/>
  <c r="BF60" i="17"/>
  <c r="BE60" i="17"/>
  <c r="BD60" i="17"/>
  <c r="BC60" i="17"/>
  <c r="BB60" i="17"/>
  <c r="BA60" i="17"/>
  <c r="BG68" i="17"/>
  <c r="BF68" i="17"/>
  <c r="BE68" i="17"/>
  <c r="BD68" i="17"/>
  <c r="BC68" i="17"/>
  <c r="BB68" i="17"/>
  <c r="BA68" i="17"/>
  <c r="BG67" i="17"/>
  <c r="BF67" i="17"/>
  <c r="BE67" i="17"/>
  <c r="BD67" i="17"/>
  <c r="BC67" i="17"/>
  <c r="BB67" i="17"/>
  <c r="BA67" i="17"/>
  <c r="BG62" i="17"/>
  <c r="BF62" i="17"/>
  <c r="BE62" i="17"/>
  <c r="BD62" i="17"/>
  <c r="BC62" i="17"/>
  <c r="BB62" i="17"/>
  <c r="BA62" i="17"/>
  <c r="BG61" i="17"/>
  <c r="BF61" i="17"/>
  <c r="BE61" i="17"/>
  <c r="BD61" i="17"/>
  <c r="BC61" i="17"/>
  <c r="BB61" i="17"/>
  <c r="BA61" i="17"/>
  <c r="BG58" i="17"/>
  <c r="BF58" i="17"/>
  <c r="BE58" i="17"/>
  <c r="BD58" i="17"/>
  <c r="BC58" i="17"/>
  <c r="BB58" i="17"/>
  <c r="BA58" i="17"/>
  <c r="BG57" i="17"/>
  <c r="BF57" i="17"/>
  <c r="BE57" i="17"/>
  <c r="BD57" i="17"/>
  <c r="BC57" i="17"/>
  <c r="BB57" i="17"/>
  <c r="BA57" i="17"/>
  <c r="BG56" i="17"/>
  <c r="BF56" i="17"/>
  <c r="BE56" i="17"/>
  <c r="BD56" i="17"/>
  <c r="BC56" i="17"/>
  <c r="BB56" i="17"/>
  <c r="BA56" i="17"/>
  <c r="BG55" i="17"/>
  <c r="BF55" i="17"/>
  <c r="BE55" i="17"/>
  <c r="BD55" i="17"/>
  <c r="BC55" i="17"/>
  <c r="BB55" i="17"/>
  <c r="BA55" i="17"/>
  <c r="BG54" i="17"/>
  <c r="BF54" i="17"/>
  <c r="BE54" i="17"/>
  <c r="BD54" i="17"/>
  <c r="BC54" i="17"/>
  <c r="BB54" i="17"/>
  <c r="BA54" i="17"/>
  <c r="BG53" i="17"/>
  <c r="BF53" i="17"/>
  <c r="BE53" i="17"/>
  <c r="BD53" i="17"/>
  <c r="BC53" i="17"/>
  <c r="BB53" i="17"/>
  <c r="BA53" i="17"/>
  <c r="BG50" i="17"/>
  <c r="BF50" i="17"/>
  <c r="BE50" i="17"/>
  <c r="BD50" i="17"/>
  <c r="BC50" i="17"/>
  <c r="BB50" i="17"/>
  <c r="BA50" i="17"/>
  <c r="BG49" i="17"/>
  <c r="BF49" i="17"/>
  <c r="BE49" i="17"/>
  <c r="BD49" i="17"/>
  <c r="BC49" i="17"/>
  <c r="BB49" i="17"/>
  <c r="BA49" i="17"/>
  <c r="BG73" i="17"/>
  <c r="BF73" i="17"/>
  <c r="BE73" i="17"/>
  <c r="BD73" i="17"/>
  <c r="BC73" i="17"/>
  <c r="BB73" i="17"/>
  <c r="BA73" i="17"/>
  <c r="AZ75" i="17"/>
  <c r="AS75" i="17"/>
  <c r="AZ74" i="17"/>
  <c r="AS74" i="17"/>
  <c r="AZ72" i="17"/>
  <c r="AS72" i="17"/>
  <c r="AZ71" i="17"/>
  <c r="AS71" i="17"/>
  <c r="BF70" i="17"/>
  <c r="BE70" i="17"/>
  <c r="BD70" i="17"/>
  <c r="BC70" i="17"/>
  <c r="BB70" i="17"/>
  <c r="BA70" i="17"/>
  <c r="AZ70" i="17"/>
  <c r="AS70" i="17"/>
  <c r="BF75" i="17"/>
  <c r="BE75" i="17"/>
  <c r="BD75" i="17"/>
  <c r="BC75" i="17"/>
  <c r="BB75" i="17"/>
  <c r="BA75" i="17"/>
  <c r="BF74" i="17"/>
  <c r="BE74" i="17"/>
  <c r="BD74" i="17"/>
  <c r="BC74" i="17"/>
  <c r="BB74" i="17"/>
  <c r="BA74" i="17"/>
  <c r="BF72" i="17"/>
  <c r="BE72" i="17"/>
  <c r="BD72" i="17"/>
  <c r="BC72" i="17"/>
  <c r="BB72" i="17"/>
  <c r="BA72" i="17"/>
  <c r="BF71" i="17"/>
  <c r="BE71" i="17"/>
  <c r="BD71" i="17"/>
  <c r="BC71" i="17"/>
  <c r="BB71" i="17"/>
  <c r="BA71" i="17"/>
  <c r="BG80" i="17"/>
  <c r="BF80" i="17"/>
  <c r="BE80" i="17"/>
  <c r="BD80" i="17"/>
  <c r="BC80" i="17"/>
  <c r="BB80" i="17"/>
  <c r="BA80" i="17"/>
  <c r="BI80" i="17" l="1"/>
  <c r="BH80" i="17"/>
  <c r="BI73" i="17"/>
  <c r="BI50" i="17"/>
  <c r="BI54" i="17"/>
  <c r="BI56" i="17"/>
  <c r="BI58" i="17"/>
  <c r="BI62" i="17"/>
  <c r="BI68" i="17"/>
  <c r="BI63" i="17"/>
  <c r="BI49" i="17"/>
  <c r="BI53" i="17"/>
  <c r="BI55" i="17"/>
  <c r="BI57" i="17"/>
  <c r="BI61" i="17"/>
  <c r="BI67" i="17"/>
  <c r="BI60" i="17"/>
  <c r="BH73" i="17"/>
  <c r="BH50" i="17"/>
  <c r="BH56" i="17"/>
  <c r="BH49" i="17"/>
  <c r="BH53" i="17"/>
  <c r="BH55" i="17"/>
  <c r="BH57" i="17"/>
  <c r="BH61" i="17"/>
  <c r="BH67" i="17"/>
  <c r="BH60" i="17"/>
  <c r="BH54" i="17"/>
  <c r="BH58" i="17"/>
  <c r="BH62" i="17"/>
  <c r="BH68" i="17"/>
  <c r="BH63" i="17"/>
  <c r="BG71" i="17"/>
  <c r="BG72" i="17"/>
  <c r="BG74" i="17"/>
  <c r="BG75" i="17"/>
  <c r="BG70" i="17"/>
  <c r="BG77" i="17"/>
  <c r="BF77" i="17"/>
  <c r="BE77" i="17"/>
  <c r="BD77" i="17"/>
  <c r="BC77" i="17"/>
  <c r="BB77" i="17"/>
  <c r="BA77" i="17"/>
  <c r="BG76" i="17"/>
  <c r="BF76" i="17"/>
  <c r="BE76" i="17"/>
  <c r="BD76" i="17"/>
  <c r="BC76" i="17"/>
  <c r="BB76" i="17"/>
  <c r="BA76" i="17"/>
  <c r="BG82" i="17"/>
  <c r="BF82" i="17"/>
  <c r="BE82" i="17"/>
  <c r="BD82" i="17"/>
  <c r="BC82" i="17"/>
  <c r="BB82" i="17"/>
  <c r="BA82" i="17"/>
  <c r="BG81" i="17"/>
  <c r="BF81" i="17"/>
  <c r="BE81" i="17"/>
  <c r="BD81" i="17"/>
  <c r="BC81" i="17"/>
  <c r="BB81" i="17"/>
  <c r="BA81" i="17"/>
  <c r="BG79" i="17"/>
  <c r="BF79" i="17"/>
  <c r="BE79" i="17"/>
  <c r="BD79" i="17"/>
  <c r="BC79" i="17"/>
  <c r="BB79" i="17"/>
  <c r="BA79" i="17"/>
  <c r="BG78" i="17"/>
  <c r="BF78" i="17"/>
  <c r="BE78" i="17"/>
  <c r="BD78" i="17"/>
  <c r="BC78" i="17"/>
  <c r="BB78" i="17"/>
  <c r="BA78" i="17"/>
  <c r="BG87" i="17"/>
  <c r="BF87" i="17"/>
  <c r="BE87" i="17"/>
  <c r="BD87" i="17"/>
  <c r="BC87" i="17"/>
  <c r="BB87" i="17"/>
  <c r="BA87" i="17"/>
  <c r="BG86" i="17"/>
  <c r="BF86" i="17"/>
  <c r="BE86" i="17"/>
  <c r="BD86" i="17"/>
  <c r="BC86" i="17"/>
  <c r="BB86" i="17"/>
  <c r="BA86" i="17"/>
  <c r="BG84" i="17"/>
  <c r="BF84" i="17"/>
  <c r="BE84" i="17"/>
  <c r="BD84" i="17"/>
  <c r="BC84" i="17"/>
  <c r="BB84" i="17"/>
  <c r="BA84" i="17"/>
  <c r="BG83" i="17"/>
  <c r="BF83" i="17"/>
  <c r="BE83" i="17"/>
  <c r="BD83" i="17"/>
  <c r="BC83" i="17"/>
  <c r="BB83" i="17"/>
  <c r="BA83" i="17"/>
  <c r="BG88" i="17"/>
  <c r="BF88" i="17"/>
  <c r="BE88" i="17"/>
  <c r="BD88" i="17"/>
  <c r="BC88" i="17"/>
  <c r="BB88" i="17"/>
  <c r="BA88" i="17"/>
  <c r="BG85" i="17"/>
  <c r="BF85" i="17"/>
  <c r="BE85" i="17"/>
  <c r="BD85" i="17"/>
  <c r="BC85" i="17"/>
  <c r="BB85" i="17"/>
  <c r="BA85" i="17"/>
  <c r="BG101" i="17"/>
  <c r="BF101" i="17"/>
  <c r="BE101" i="17"/>
  <c r="BD101" i="17"/>
  <c r="BC101" i="17"/>
  <c r="BB101" i="17"/>
  <c r="BA101" i="17"/>
  <c r="BG100" i="17"/>
  <c r="BF100" i="17"/>
  <c r="BE100" i="17"/>
  <c r="BD100" i="17"/>
  <c r="BC100" i="17"/>
  <c r="BB100" i="17"/>
  <c r="BA100" i="17"/>
  <c r="BG99" i="17"/>
  <c r="BF99" i="17"/>
  <c r="BE99" i="17"/>
  <c r="BD99" i="17"/>
  <c r="BC99" i="17"/>
  <c r="BB99" i="17"/>
  <c r="BA99" i="17"/>
  <c r="BG98" i="17"/>
  <c r="BF98" i="17"/>
  <c r="BE98" i="17"/>
  <c r="BD98" i="17"/>
  <c r="BC98" i="17"/>
  <c r="BB98" i="17"/>
  <c r="BA98" i="17"/>
  <c r="BG97" i="17"/>
  <c r="BF97" i="17"/>
  <c r="BE97" i="17"/>
  <c r="BD97" i="17"/>
  <c r="BC97" i="17"/>
  <c r="BB97" i="17"/>
  <c r="BA97" i="17"/>
  <c r="BG96" i="17"/>
  <c r="BF96" i="17"/>
  <c r="BE96" i="17"/>
  <c r="BD96" i="17"/>
  <c r="BC96" i="17"/>
  <c r="BB96" i="17"/>
  <c r="BA96" i="17"/>
  <c r="BG95" i="17"/>
  <c r="BF95" i="17"/>
  <c r="BE95" i="17"/>
  <c r="BD95" i="17"/>
  <c r="BC95" i="17"/>
  <c r="BB95" i="17"/>
  <c r="BA95" i="17"/>
  <c r="BG94" i="17"/>
  <c r="BF94" i="17"/>
  <c r="BE94" i="17"/>
  <c r="BD94" i="17"/>
  <c r="BC94" i="17"/>
  <c r="BB94" i="17"/>
  <c r="BA94" i="17"/>
  <c r="BG93" i="17"/>
  <c r="BF93" i="17"/>
  <c r="BE93" i="17"/>
  <c r="BD93" i="17"/>
  <c r="BC93" i="17"/>
  <c r="BB93" i="17"/>
  <c r="BA93" i="17"/>
  <c r="BG92" i="17"/>
  <c r="BF92" i="17"/>
  <c r="BE92" i="17"/>
  <c r="BD92" i="17"/>
  <c r="BC92" i="17"/>
  <c r="BB92" i="17"/>
  <c r="BA92" i="17"/>
  <c r="BG91" i="17"/>
  <c r="BF91" i="17"/>
  <c r="BE91" i="17"/>
  <c r="BD91" i="17"/>
  <c r="BC91" i="17"/>
  <c r="BB91" i="17"/>
  <c r="BA91" i="17"/>
  <c r="BG90" i="17"/>
  <c r="BF90" i="17"/>
  <c r="BE90" i="17"/>
  <c r="BD90" i="17"/>
  <c r="BC90" i="17"/>
  <c r="BB90" i="17"/>
  <c r="BA90" i="17"/>
  <c r="BG89" i="17"/>
  <c r="BF89" i="17"/>
  <c r="BE89" i="17"/>
  <c r="BD89" i="17"/>
  <c r="BC89" i="17"/>
  <c r="BB89" i="17"/>
  <c r="BA89" i="17"/>
  <c r="BG107" i="17"/>
  <c r="BF107" i="17"/>
  <c r="BE107" i="17"/>
  <c r="BD107" i="17"/>
  <c r="BC107" i="17"/>
  <c r="BB107" i="17"/>
  <c r="BA107" i="17"/>
  <c r="BG106" i="17"/>
  <c r="BF106" i="17"/>
  <c r="BE106" i="17"/>
  <c r="BD106" i="17"/>
  <c r="BC106" i="17"/>
  <c r="BB106" i="17"/>
  <c r="BA106" i="17"/>
  <c r="BG105" i="17"/>
  <c r="BF105" i="17"/>
  <c r="BE105" i="17"/>
  <c r="BD105" i="17"/>
  <c r="BC105" i="17"/>
  <c r="BB105" i="17"/>
  <c r="BA105" i="17"/>
  <c r="BG104" i="17"/>
  <c r="BF104" i="17"/>
  <c r="BE104" i="17"/>
  <c r="BD104" i="17"/>
  <c r="BC104" i="17"/>
  <c r="BB104" i="17"/>
  <c r="BA104" i="17"/>
  <c r="BG103" i="17"/>
  <c r="BF103" i="17"/>
  <c r="BE103" i="17"/>
  <c r="BD103" i="17"/>
  <c r="BC103" i="17"/>
  <c r="BB103" i="17"/>
  <c r="BA103" i="17"/>
  <c r="BG102" i="17"/>
  <c r="BF102" i="17"/>
  <c r="BE102" i="17"/>
  <c r="BD102" i="17"/>
  <c r="BC102" i="17"/>
  <c r="BB102" i="17"/>
  <c r="BA102" i="17"/>
  <c r="BG113" i="17"/>
  <c r="BF113" i="17"/>
  <c r="BE113" i="17"/>
  <c r="BD113" i="17"/>
  <c r="BC113" i="17"/>
  <c r="BB113" i="17"/>
  <c r="BA113" i="17"/>
  <c r="BG112" i="17"/>
  <c r="BF112" i="17"/>
  <c r="BE112" i="17"/>
  <c r="BD112" i="17"/>
  <c r="BC112" i="17"/>
  <c r="BB112" i="17"/>
  <c r="BA112" i="17"/>
  <c r="BG111" i="17"/>
  <c r="BF111" i="17"/>
  <c r="BE111" i="17"/>
  <c r="BD111" i="17"/>
  <c r="BC111" i="17"/>
  <c r="BB111" i="17"/>
  <c r="BA111" i="17"/>
  <c r="BG110" i="17"/>
  <c r="BF110" i="17"/>
  <c r="BE110" i="17"/>
  <c r="BD110" i="17"/>
  <c r="BC110" i="17"/>
  <c r="BB110" i="17"/>
  <c r="BA110" i="17"/>
  <c r="BG109" i="17"/>
  <c r="BF109" i="17"/>
  <c r="BE109" i="17"/>
  <c r="BD109" i="17"/>
  <c r="BC109" i="17"/>
  <c r="BB109" i="17"/>
  <c r="BA109" i="17"/>
  <c r="BG108" i="17"/>
  <c r="BF108" i="17"/>
  <c r="BE108" i="17"/>
  <c r="BD108" i="17"/>
  <c r="BC108" i="17"/>
  <c r="BB108" i="17"/>
  <c r="BA108" i="17"/>
  <c r="BG121" i="17"/>
  <c r="BF121" i="17"/>
  <c r="BE121" i="17"/>
  <c r="BD121" i="17"/>
  <c r="BC121" i="17"/>
  <c r="BB121" i="17"/>
  <c r="BA121" i="17"/>
  <c r="BG120" i="17"/>
  <c r="BF120" i="17"/>
  <c r="BE120" i="17"/>
  <c r="BD120" i="17"/>
  <c r="BC120" i="17"/>
  <c r="BB120" i="17"/>
  <c r="BA120" i="17"/>
  <c r="BG117" i="17"/>
  <c r="BF117" i="17"/>
  <c r="BE117" i="17"/>
  <c r="BD117" i="17"/>
  <c r="BC117" i="17"/>
  <c r="BB117" i="17"/>
  <c r="BA117" i="17"/>
  <c r="BG116" i="17"/>
  <c r="BF116" i="17"/>
  <c r="BE116" i="17"/>
  <c r="BD116" i="17"/>
  <c r="BC116" i="17"/>
  <c r="BB116" i="17"/>
  <c r="BA116" i="17"/>
  <c r="BG115" i="17"/>
  <c r="BF115" i="17"/>
  <c r="BE115" i="17"/>
  <c r="BD115" i="17"/>
  <c r="BC115" i="17"/>
  <c r="BB115" i="17"/>
  <c r="BA115" i="17"/>
  <c r="AZ114" i="17"/>
  <c r="AY114" i="17"/>
  <c r="AS114" i="17"/>
  <c r="AR114" i="17"/>
  <c r="AL114" i="17"/>
  <c r="AK114" i="17"/>
  <c r="AE114" i="17"/>
  <c r="AD114" i="17"/>
  <c r="BF114" i="17" s="1"/>
  <c r="AX114" i="17"/>
  <c r="AW114" i="17"/>
  <c r="AV114" i="17"/>
  <c r="AU114" i="17"/>
  <c r="AT114" i="17"/>
  <c r="AQ114" i="17"/>
  <c r="AP114" i="17"/>
  <c r="AO114" i="17"/>
  <c r="AN114" i="17"/>
  <c r="AM114" i="17"/>
  <c r="AJ114" i="17"/>
  <c r="AI114" i="17"/>
  <c r="AH114" i="17"/>
  <c r="AG114" i="17"/>
  <c r="AF114" i="17"/>
  <c r="AC114" i="17"/>
  <c r="AB114" i="17"/>
  <c r="AA114" i="17"/>
  <c r="Z114" i="17"/>
  <c r="Y114" i="17"/>
  <c r="BI116" i="17" l="1"/>
  <c r="BH116" i="17"/>
  <c r="BI110" i="17"/>
  <c r="BH110" i="17"/>
  <c r="BI112" i="17"/>
  <c r="BH112" i="17"/>
  <c r="BI102" i="17"/>
  <c r="BH102" i="17"/>
  <c r="BI104" i="17"/>
  <c r="BH104" i="17"/>
  <c r="BI106" i="17"/>
  <c r="BH106" i="17"/>
  <c r="BI89" i="17"/>
  <c r="BH89" i="17"/>
  <c r="BI91" i="17"/>
  <c r="BH91" i="17"/>
  <c r="BI93" i="17"/>
  <c r="BH93" i="17"/>
  <c r="BI95" i="17"/>
  <c r="BH95" i="17"/>
  <c r="BI97" i="17"/>
  <c r="BH97" i="17"/>
  <c r="BI99" i="17"/>
  <c r="BH99" i="17"/>
  <c r="BI101" i="17"/>
  <c r="BH101" i="17"/>
  <c r="BI88" i="17"/>
  <c r="BH88" i="17"/>
  <c r="BI84" i="17"/>
  <c r="BH84" i="17"/>
  <c r="BI87" i="17"/>
  <c r="BH87" i="17"/>
  <c r="BI82" i="17"/>
  <c r="BH82" i="17"/>
  <c r="BI120" i="17"/>
  <c r="BH120" i="17"/>
  <c r="BI108" i="17"/>
  <c r="BH108" i="17"/>
  <c r="BI115" i="17"/>
  <c r="BH115" i="17"/>
  <c r="BI117" i="17"/>
  <c r="BH117" i="17"/>
  <c r="BI121" i="17"/>
  <c r="BH121" i="17"/>
  <c r="BI109" i="17"/>
  <c r="BH109" i="17"/>
  <c r="BI111" i="17"/>
  <c r="BH111" i="17"/>
  <c r="BI113" i="17"/>
  <c r="BH113" i="17"/>
  <c r="BI103" i="17"/>
  <c r="BH103" i="17"/>
  <c r="BI105" i="17"/>
  <c r="BH105" i="17"/>
  <c r="BI107" i="17"/>
  <c r="BH107" i="17"/>
  <c r="BI90" i="17"/>
  <c r="BH90" i="17"/>
  <c r="BI92" i="17"/>
  <c r="BH92" i="17"/>
  <c r="BI94" i="17"/>
  <c r="BH94" i="17"/>
  <c r="BI96" i="17"/>
  <c r="BH96" i="17"/>
  <c r="BI98" i="17"/>
  <c r="BH98" i="17"/>
  <c r="BI100" i="17"/>
  <c r="BH100" i="17"/>
  <c r="BI85" i="17"/>
  <c r="BH85" i="17"/>
  <c r="BI83" i="17"/>
  <c r="BH83" i="17"/>
  <c r="BI86" i="17"/>
  <c r="BH86" i="17"/>
  <c r="BI78" i="17"/>
  <c r="BI81" i="17"/>
  <c r="BH81" i="17"/>
  <c r="BI76" i="17"/>
  <c r="BH70" i="17"/>
  <c r="BI70" i="17"/>
  <c r="BH71" i="17"/>
  <c r="BI71" i="17"/>
  <c r="BI79" i="17"/>
  <c r="BI77" i="17"/>
  <c r="BH75" i="17"/>
  <c r="BI75" i="17"/>
  <c r="BH72" i="17"/>
  <c r="BI72" i="17"/>
  <c r="BH74" i="17"/>
  <c r="BI74" i="17"/>
  <c r="BH78" i="17"/>
  <c r="BH76" i="17"/>
  <c r="BH79" i="17"/>
  <c r="BH77" i="17"/>
  <c r="BA114" i="17"/>
  <c r="BC114" i="17"/>
  <c r="BE114" i="17"/>
  <c r="BB114" i="17"/>
  <c r="BD114" i="17"/>
  <c r="BG114" i="17"/>
  <c r="H121" i="17"/>
  <c r="H120" i="17"/>
  <c r="H119" i="17"/>
  <c r="H118" i="17"/>
  <c r="H116" i="17"/>
  <c r="H113" i="17"/>
  <c r="H112" i="17"/>
  <c r="H111" i="17"/>
  <c r="H110" i="17"/>
  <c r="H109" i="17"/>
  <c r="H108" i="17"/>
  <c r="H107" i="17"/>
  <c r="H106" i="17"/>
  <c r="H105" i="17"/>
  <c r="H104" i="17"/>
  <c r="H103" i="17"/>
  <c r="H102" i="17"/>
  <c r="BI114" i="17" l="1"/>
  <c r="BH114" i="17"/>
  <c r="H100" i="17"/>
  <c r="H98" i="17"/>
  <c r="H97" i="17"/>
  <c r="H96" i="17"/>
  <c r="H94" i="17"/>
  <c r="H93" i="17"/>
  <c r="H92" i="17"/>
  <c r="H91" i="17"/>
  <c r="H90" i="17"/>
  <c r="H88" i="17"/>
  <c r="H87" i="17"/>
  <c r="H86" i="17"/>
  <c r="H85" i="17"/>
  <c r="H84" i="17"/>
  <c r="H83" i="17"/>
  <c r="H82" i="17"/>
  <c r="H81" i="17"/>
  <c r="H79" i="17"/>
  <c r="H78" i="17"/>
  <c r="H77" i="17"/>
  <c r="H76" i="17"/>
  <c r="H75" i="17"/>
  <c r="H74" i="17"/>
  <c r="H72" i="17"/>
  <c r="H71" i="17"/>
  <c r="H70" i="17"/>
  <c r="H69" i="17"/>
  <c r="H68" i="17"/>
  <c r="H67" i="17"/>
  <c r="H66" i="17"/>
  <c r="H64" i="17"/>
  <c r="H63" i="17"/>
  <c r="H62" i="17"/>
  <c r="H61" i="17"/>
  <c r="H60" i="17"/>
  <c r="H59" i="17"/>
  <c r="H58" i="17"/>
  <c r="H57" i="17"/>
  <c r="H56" i="17"/>
  <c r="H55" i="17"/>
  <c r="H54" i="17"/>
  <c r="H53" i="17"/>
  <c r="H51" i="17"/>
  <c r="H50" i="17"/>
  <c r="H49" i="17"/>
  <c r="H46" i="17"/>
  <c r="H45" i="17"/>
  <c r="H44" i="17"/>
  <c r="H43" i="17"/>
  <c r="H41" i="17"/>
  <c r="H39" i="17"/>
  <c r="H38" i="17"/>
  <c r="H37" i="17"/>
  <c r="H34" i="17"/>
  <c r="H33" i="17"/>
  <c r="H32" i="17"/>
  <c r="H31" i="17"/>
  <c r="H30" i="17"/>
  <c r="H29" i="17"/>
  <c r="H28" i="17"/>
  <c r="H27" i="17"/>
  <c r="H26" i="17"/>
  <c r="H25" i="17"/>
  <c r="H24" i="17"/>
  <c r="H23" i="17"/>
  <c r="H20" i="17"/>
  <c r="H19" i="17"/>
  <c r="H18" i="17"/>
  <c r="H17" i="17"/>
  <c r="H16" i="17"/>
  <c r="H15" i="17"/>
  <c r="H14" i="17"/>
  <c r="H13" i="17"/>
  <c r="H12" i="17"/>
  <c r="H11" i="17"/>
  <c r="H10" i="17"/>
  <c r="H9" i="17"/>
  <c r="H8" i="17"/>
  <c r="H7" i="17"/>
  <c r="H6" i="17"/>
  <c r="H5" i="17"/>
  <c r="H4" i="17"/>
  <c r="H3" i="17"/>
  <c r="H2" i="17"/>
</calcChain>
</file>

<file path=xl/sharedStrings.xml><?xml version="1.0" encoding="utf-8"?>
<sst xmlns="http://schemas.openxmlformats.org/spreadsheetml/2006/main" count="1303" uniqueCount="646">
  <si>
    <t>Descrição da Meta 2012-2015</t>
  </si>
  <si>
    <t>Meta Prevista 2012-2015</t>
  </si>
  <si>
    <t>Unidade de Medida</t>
  </si>
  <si>
    <t>Meta Realizada Até 2015</t>
  </si>
  <si>
    <t>Considerações</t>
  </si>
  <si>
    <t>Alocar 13,2 mil médicos brasileiros e estrangeiros em regiões prioritárias para o SUS, por meio do Programa Mais Médicos.</t>
  </si>
  <si>
    <t>Médicos</t>
  </si>
  <si>
    <t>Ampliar a área física e/ou reformar 23 mil unidades básicas de saúde (UBS), priorizando 5.000 unidades na Região Nordeste.</t>
  </si>
  <si>
    <t>Unidades básicas de saúde</t>
  </si>
  <si>
    <t>Ampliar em 33,6 mil o número de agentes comunitários de saúde, passando de 250,6 mil agentes em dezembro de 2011 para 284,2 mil até 2015.</t>
  </si>
  <si>
    <t>Agentes comunitários de saúde</t>
  </si>
  <si>
    <t>Ampliar em 3,5 mil o número de equipes de saúde bucal, passando de 21,4 mil equipes em dezembro de 2011 para 24,9 mil até 2015.</t>
  </si>
  <si>
    <t>Equipes de saúde bucal</t>
  </si>
  <si>
    <t>Ampliar em 8,1 mil o número de Equipes da Estratégia Saúde da Família, passando de 32,3 mil equipes em dezembro de 2011 para 40,4 mil em 2015.</t>
  </si>
  <si>
    <t>Equipes da Estratégia Saúde da Família</t>
  </si>
  <si>
    <t>Aumentar em 10% ao ano o número de transplantes de órgãos sólidos e não sólidos realizados, passando de 21.000 para 30.800</t>
  </si>
  <si>
    <t>Transplantes de órgãos sólidos e não sólidos</t>
  </si>
  <si>
    <t>Capacitar 7.970 profissionais na área de Regulação, Controle, Avaliação e Auditoria do SUS e Sistemas de Informação em Saúde</t>
  </si>
  <si>
    <t>Profissionais</t>
  </si>
  <si>
    <t>Um dos cursos ofertados, o Curso Básico de Regulação, Controle, Avaliação e Auditoria do SUS, entrou em processo de revisão e atualização, tendo sido interrompido, em parte do período, o ciclo de aplicação do curso e formação de turmas, não completando o quantitativo previsto de profissionais a serem capacitados.</t>
  </si>
  <si>
    <t>Concluir o novo complexo integrado do Instituto Nacional de Câncer</t>
  </si>
  <si>
    <t>Complexo</t>
  </si>
  <si>
    <t>Em 2015 houve a desmobilização dos equipamentos da parede diafragma. Em abril/15 a contratada Schahin rescindiu unilateralmente o contrato. A viga de coroamento da parede diafragma foi concluída após contratação emergencial e as operações do canteiro foram paralisadas.</t>
  </si>
  <si>
    <t>Implantar 1.400 equipes de atenção domiciliar até 2015.</t>
  </si>
  <si>
    <t>Equipes de atenção domiciliar</t>
  </si>
  <si>
    <t>Desde o início da implantação do Melhor em Casa, um indiscutível desafio é o financiamento, não somente quanto aos valores repassados serem ou não adequados à proposta de atuação dos serviços, mas também quanto à garantia do repasse regular. Em 2015, o valor final do orçamento destinado ao Melhor em Casa foi inferior ao necessário à manutenção das equipes atuais, restringindo a expansão do programa, apesar de sua inegável efetividade e alto grau de satisfação da população e dos gestores.</t>
  </si>
  <si>
    <t>Implantar 187 Centrais de Regulação.</t>
  </si>
  <si>
    <t>Centrais de Regulação</t>
  </si>
  <si>
    <t>Implantar 1 unidade de Monitoramento Externo de Qualidade - MEQ dos exames citopatológicos em cada uma das 27 UF, até 2015.</t>
  </si>
  <si>
    <t>Implantar 3.358 unidades básicas de saúde(UBS), passando de 36.892 UBS em 2011 para 40.250 até 2015</t>
  </si>
  <si>
    <t>Implantar 416 Centros de Especialidades Odontológicas, passando de 882 em dezembro de 2011 para 1.298 em 2015.</t>
  </si>
  <si>
    <t>Implantar, em todas as 27 unidades da federação do país, a Política de Atenção às Pessoas com Doença Falciforme e outras Hemoglobinopatias</t>
  </si>
  <si>
    <t>Programa Saúde na Escola ampliado para creches e pré-escolas de 100% dos municípios que aderirem ao programa.</t>
  </si>
  <si>
    <t>%</t>
  </si>
  <si>
    <t>Promover a adesão de 78% dos municípios brasileiros ao Programa Saúde na Escola até 2015.</t>
  </si>
  <si>
    <t>Qualificar 35 novos serviços de saúde no sistema prisional.</t>
  </si>
  <si>
    <t>Serviços de saúde</t>
  </si>
  <si>
    <t>Qualificar 4 estados no Plano Nacional de Saúde no Sistema Penitenciário</t>
  </si>
  <si>
    <t>Estados</t>
  </si>
  <si>
    <t>Requalificar 235 serviços de saúde existentes no sistema prisional.</t>
  </si>
  <si>
    <t>A meta não foi alcançada, uma vez que os gestores estaduais e municipais optaram, no processo de adesão, pela implantação de serviços novos, e não pela requalificação dos já existentes.</t>
  </si>
  <si>
    <t>Ampliar a confirmação laboratorial dos casos de Hepatite C, passando de 17 UF em 2010 para as 27 UF até 2015.</t>
  </si>
  <si>
    <t>Unidades da Federação</t>
  </si>
  <si>
    <t>Ampliar a taxa de cura dos casos novos de tuberculose pulmonar bacilífera, passando de 74,3% em 2009 para 85% até 2015.</t>
  </si>
  <si>
    <t>Ampliar em 25 pontos percentuais o número de amostras de água analisadas para o parâmetro coliforme total, passando de 25% em 2010 para 50% até 2015.</t>
  </si>
  <si>
    <t>Ampliar em 25 pontos percentuais o número de amostras de água analisadas para o parâmetro turbidez, passando de 25% em 2010 para 50% até 2015.</t>
  </si>
  <si>
    <t>Ampliar o número de UF com 90% de investigação de óbitos com causa básica definida, passando de 20 UF em 2010 para 27 UF até 2015.</t>
  </si>
  <si>
    <t>Unidades da federação</t>
  </si>
  <si>
    <t>Ampliar o número de unidades de saúde com notificação da violência doméstica, sexual e/ou outras violências, passando de 5.898 em 2011 para 12.200 até 2015.</t>
  </si>
  <si>
    <t>Unidades de saúde</t>
  </si>
  <si>
    <t>Ampliar o percentual de Centros de Referência em Saúde do Trabalhador (Cerest) que desenvolvem ações de vigilância em saúde do trabalhador, passando de 12% em 2010 para 100% até 2015.</t>
  </si>
  <si>
    <t>Ampliar o percentual de municípios prioritários realizando notificação no SINAN dos casos de intoxicações exógenas por agrotóxicos, passando de 30% em 2013 para 100% até 2015.</t>
  </si>
  <si>
    <t>Apesar do número de municípios prioritários notificando intoxicações por agrotóxicos ter mais que dobrado em 2 anos (30% para 65%), este incremento não foi suficiente para superar a histórica baixa sensibilidade dos serviços de saúde em reconhecer e diagnosticar intoxicações cujos sintomas são inespecíficos, e a também histórica subnotificação de agravos no Sinan, inviabilizando que os 35% restantes dos municípios prioritários realizassem pelo menos 1 notificação.</t>
  </si>
  <si>
    <t>Ampliar para 70% o percentual de municípios com cobertura vacinal adequada (95%) de tetravalente/pentavalente em menores de 1 ano, em todos os anos, até 2015.</t>
  </si>
  <si>
    <t>Apoiar 34 estudos e pesquisas com vistas a sustentabilidade dos serviços e ações de saúde e saneamento ambiental</t>
  </si>
  <si>
    <t>Estudos e pesquisas</t>
  </si>
  <si>
    <t>Apoiar e fortalecer os Núcleos de Prevenção de Violências e Promoção da Saúde nas 27 Unidades da Federação, considerando-se as populações vulneráveis e os índices de homicídios e agressões.</t>
  </si>
  <si>
    <t>Apoiar financeiramente 30 Centrais de Rede de Frio para construção, reforma, ampliação e aquisição de equipamentos até 2015.</t>
  </si>
  <si>
    <t>Centrais de Rede de Frio</t>
  </si>
  <si>
    <t>Beneficiar 160 municípios com melhorias habitacionais para controle da doença de Chagas</t>
  </si>
  <si>
    <t>Municípios</t>
  </si>
  <si>
    <t>Implantar as academias de saúde, chegando a 4800 academias em 2015</t>
  </si>
  <si>
    <t>Academias de saúde</t>
  </si>
  <si>
    <t>Implantar a Vigilância em Saúde de Populações Expostas a Agrotóxicos nas 27 UF até o ano de 2015.</t>
  </si>
  <si>
    <t>Implantar o Sistema GAL (Sistema Gerenciador de Ambiente Laboratorial) em 50 laboratórios de referência da Fiocruz garantindo 100% de rastreabilidade das amostras  em ambiente WEB</t>
  </si>
  <si>
    <t>Laboratórios</t>
  </si>
  <si>
    <t>Implantar técnicas de Biologia Molecular para diagnóstico de dengue, influenza e meningite bacteriana em todos os 27 Laboratórios Centrais de Saúde Pública (Lacen) até 2015.</t>
  </si>
  <si>
    <t>Laboratórios Centrais de Saúde Pública (Lacen)</t>
  </si>
  <si>
    <t>Introduzir a vacina DTPa no calendário nacional de vacinação da gestante, ampliando a cobertura vacinal para 95% até 2015.</t>
  </si>
  <si>
    <t>Importante ressaltar que esse dado é preliminar e, portanto, pode sofrer variação. É preciso considerar também que a implantação da vacina foi postergada em função do atraso na entrega desse imunobiológico, tendo sido implantada apenas em novembro de 2014.</t>
  </si>
  <si>
    <t>Introduzir a vacina Hepatite A no calendário vacinal infantil para crianças de 1 ano, ampliando a cobertura para 95% até 2015.</t>
  </si>
  <si>
    <t>Introduzir a vacina Varicela no calendário vacinal infantil para crianças de 1 ano e 3 meses, ampliando a cobertura para 95% até 2015.</t>
  </si>
  <si>
    <t>Ressalta-se que esse dado é preliminar e, portanto, está sujeito a alterações. A inclusão da vacina ocorreu em setembro de 2013, postergando a sua implementação.</t>
  </si>
  <si>
    <t>Número de óbitos por dengue reduzido em 50%, passando de 656 óbitos em 2011 para 328 óbitos até 2015.</t>
  </si>
  <si>
    <t>Óbitos</t>
  </si>
  <si>
    <t>Diversos fatores dificultam a erradicação dos vetores que transmitem a dengue: o crescimento desordenado dos centros urbanos, a irregularidade do abastecimento de água, a coleta e o destino inadequado dos resíduos sólidos, a acelerada expansão da indústria de materiais não biodegradáveis e o aquecimento global. Os fatores que podem levar ao aumento do número de óbitos por dengue são aqueles relacionados a falhas na assistência ao paciente. Em 2015, ocorreu a maior epidemia de dengue no país.</t>
  </si>
  <si>
    <t>Qualificar 27 Laboratórios de Saúde Pública  para realização de  análises de qualidade de produtos e insumos de saúde</t>
  </si>
  <si>
    <t>Realizar 600 pesquisas em medicina tropical e meio ambiente até 2015.</t>
  </si>
  <si>
    <t>Pesquisas</t>
  </si>
  <si>
    <t>Reduzir a incidência parasitária anual de malária (estimada pelo IPA) na Região Amazônica em 30%, passando de 13,1/1.000 hab. Em 2010 para 9,45/1.000 hab. até 2015.</t>
  </si>
  <si>
    <t>Reduzir a taxa de incidência de Aids de 20,2/100.000 hab. em 2011 para 18,9/100.000 hab. até 2015.</t>
  </si>
  <si>
    <t>Taxa de incidência de Aids por 100.000 hab.</t>
  </si>
  <si>
    <t>Reduzir o coeficiente de prevalência da hanseníase, passando de 1,54/10.000 hab. em 2011 para 0,98/10.000 hab. até 2015.</t>
  </si>
  <si>
    <t>Validar duas novas tecnologias na Fiocruz para diagnóstico e tratamento da tuberculose</t>
  </si>
  <si>
    <t>Novas tecnologias</t>
  </si>
  <si>
    <t>3.034 municípios realizando suplementação de megadoses de vitamina A para crianças de 6 a 59 meses de idade.</t>
  </si>
  <si>
    <t>60% das Equipes de Atenção Básica referindo disponibilidade de sulfato ferroso na UBS para prevenção de anemia em crianças menores de 2 anos.</t>
  </si>
  <si>
    <t>Adequar a ambiência de 120 maternidades (reforma, aquisição de equipamentos e materiais) para a atenção humanizada ao parto e nascimento</t>
  </si>
  <si>
    <t>Maternidades</t>
  </si>
  <si>
    <t>Ampliar a investigação de óbitos infantis e fetais, passando de 24% em 2010 para 70% até 2015.</t>
  </si>
  <si>
    <t>Ampliar a investigação dos óbitos de mulheres em idade fértil (MIF) para, no mínimo, 85% até 2015.</t>
  </si>
  <si>
    <t>Ampliar a investigação dos óbitos maternos para 85% até 2015.</t>
  </si>
  <si>
    <t>Ampliar a utilização da Caderneta de Saúde do Adolescente pelos serviços de atenção básica, passando de 1.000 serviços de atenção básica em 2011, para 13.000 até 2015 fazendo uso da caderneta.</t>
  </si>
  <si>
    <t>Serviços de atenção básica</t>
  </si>
  <si>
    <t>Ampliar de 6.000 para 7.500 o número de gestantes atendidas (com risco fetal)/ano no IFF/FIOCRUZ</t>
  </si>
  <si>
    <t>Gestantes</t>
  </si>
  <si>
    <t>Ampliar em 684 o número de leitos de unidade de terapia intensiva neonatal, passando de 3.775 leitos em 2011 para 4.459 até 2015</t>
  </si>
  <si>
    <t>Leitos de UTI neonatal</t>
  </si>
  <si>
    <t>Capacitar 1.300 parteiras tradicionais até 2015.</t>
  </si>
  <si>
    <t>Parteiras tradicionais</t>
  </si>
  <si>
    <t>A capacitação é realizada em parcerias com Secretarias Estaduais e Municipais de Saúde. Há dificuldade na identificação de parteiras tradicionais, pois a maioria de parteiras indicadas pelos territórios possuem cursos de auxiliar/ técnico de enfermagem. Para 2016, existe um convênio firmado para capacitar parteiras nos estados do AM, PA, TO, PB e BA.</t>
  </si>
  <si>
    <t>Custear 3.141 leitos adicionais de unidades de cuidado intermediário neonatal (UCI), passando de 349 leitos custeados em 2011 para 3.490 até 2015</t>
  </si>
  <si>
    <t>Leitos</t>
  </si>
  <si>
    <t>Distribuir 13,2 milhões de Cadernetas de Saúde da Criança para todos os estados, incluindo a divulgação da Classe Hospitalar</t>
  </si>
  <si>
    <t>Cadernetas de Saúde da Criança</t>
  </si>
  <si>
    <t>Garantir a oferta do teste de eletroforese para as gestantes usuárias do SUS em 100% dos municípios brasileiros, de acordo com o protocolo de pré-natal proposto pela Rede Cegonha.</t>
  </si>
  <si>
    <t>Foram repassados recursos para a realização dos testes pelos municípios. A maioria não tinha tradição em realizá-los, principalmente os municípios que não têm prevalência de população negra. Por ser um teste recente, vários necessitaram incluir o teste em sua rotina e construir estratégias de tratamento.</t>
  </si>
  <si>
    <t>Habilitar 276 serviços como Maternidade para Atenção à Gestação de Alto Risco, passando de 197 serviços em 2012 para 473 até 2015.</t>
  </si>
  <si>
    <t>Maternidades GAR</t>
  </si>
  <si>
    <t>Implantar 20 novas Casas de Gestante, Bebê e Puérpera (CGBP), passando de 36 casas em 2011 para 56 até 2015.</t>
  </si>
  <si>
    <t>Consideradas para efeito de quantidade alcançada as 8 obras em andamento e as 5 que foram habilitadas e recebem custeio. No entanto, no período de 2012 a 2015 foram empenhadas 47 propostas/serviços (8 em andamento e 39 em ação preparatória), e mais 4 estão em processo de habilitação.</t>
  </si>
  <si>
    <t>Implantar 20 serviços para ampliação do acesso à confirmação diagnóstica e tratamento de lesões precursoras de câncer de colo de útero, até 2015.</t>
  </si>
  <si>
    <t>Serviços</t>
  </si>
  <si>
    <t>Implantar 30 novos Centros de Parto Normal, passando de 35 para 65 até 2015.</t>
  </si>
  <si>
    <t>Centros de Parto Normal</t>
  </si>
  <si>
    <t>Implantar 50 serviços de referência para o diagnóstico do câncer de mama, até 2015.</t>
  </si>
  <si>
    <t>Quando a meta foi elaborada considerava-se como serviço implantado a celebração dos convênios. A partir da Portaria GM/MS 189/2014 passou a ser considerado serviço implantado o serviço em funcionamento. A estratégia não logrou êxito por demandar a agregação de diferentes tecnologias de diagnóstico (radiologia, ultrassonografia e biópsias) em um mesmo estabelecimento e contrapartida local em investimento não prevista no programa (equipamentos, ampliações e reformas).</t>
  </si>
  <si>
    <t>Qualificação de 1.410 profissionais de saúde em técnicas para coleta de vestígios (cadeia de custódia e sexologia forense) em 94 hospitais de referência selecionados no SUS.</t>
  </si>
  <si>
    <t>Profissionais de saúde</t>
  </si>
  <si>
    <t>Durante a execução do Programa Mulher Viver sem Violência acordou-se entre o 3 ministérios envolvidos que seriam capacitados 5 profissionais por hospital, ao invés de 15 profissionais, como previamente estabelecido, com o objetivo de ampliar o número de hospitais qualificados para a coleta de vestígios no SUS. Ainda assim, foram capacitados apenas 52 hospitais, ao invés dos 94 inicialmente previstos.</t>
  </si>
  <si>
    <t>Realizar 12 milhões de mamografias, na faixa etária de 50 a 69 anos, entre os anos de 2012 a 2015.</t>
  </si>
  <si>
    <t>Mamografias</t>
  </si>
  <si>
    <t>Realizar 36 milhões de exames de citopatologia, na faixa etária de 25 a 64 anos, entre os anos de 2012 a 2015.</t>
  </si>
  <si>
    <t>Exames de citopatologia</t>
  </si>
  <si>
    <t>Reforma/ampliação de ambientes para a implantação/implementação da atenção a pessoas em situação de violência sexual, com cadeia de custódia, em 94 hospitais de referência selecionados no SUS.</t>
  </si>
  <si>
    <t>Hospitais</t>
  </si>
  <si>
    <t>O processo de elaboração da minuta de portaria foi longo e, quando finalizado, não foi possível publicar devido ao contingenciamento orçamentário. Está em tramitação uma minuta de portaria para financiamento destas reformas.</t>
  </si>
  <si>
    <t>Adquirir 2.160 ambulâncias até 2015</t>
  </si>
  <si>
    <t>Ambulâncias</t>
  </si>
  <si>
    <t>Estruturar 231 unidades de atenção especializada dentro das Redes de Urgência e Emergência até 2015</t>
  </si>
  <si>
    <t>Unidades de atenção especializada</t>
  </si>
  <si>
    <t>Implantar 2.163 leitos hospitalares (leitos de UTI, UCI, UTI neonatal, leitos clínicos de retaguarda, leitos de reabilitação) dentro das Redes de Urgência e Emergência até 2015</t>
  </si>
  <si>
    <t>Leitos hospitalares</t>
  </si>
  <si>
    <t>Implantar 500 unidades de pronto atendimento, passando de 596 em 2011 para 1.096 até 2015</t>
  </si>
  <si>
    <t>Unidades de pronto atendimento</t>
  </si>
  <si>
    <t>Implantar ou expandir 64 novas centrais de regulação do Serviço de Atendimento Móvel de Urgência (SAMU), até 2015</t>
  </si>
  <si>
    <t>Centrais de regulação</t>
  </si>
  <si>
    <t>A baixa realização deve-se à baixa adesão de novos municípios ao SAMU 192.</t>
  </si>
  <si>
    <t>Reestruturação física e tecnológica completa de 40 unidades de urgência e emergência.</t>
  </si>
  <si>
    <t>Unidades de urgência e emergência</t>
  </si>
  <si>
    <t>Ampliar em 2.400 o número de beneficiários do Programa de Volta para Casa, passando de 3.786 em 2011 para 6.186 até 2015</t>
  </si>
  <si>
    <t>Beneficiários</t>
  </si>
  <si>
    <t>Criação/qualificação de 175 Centros de Atenção Psicossocial Álcool e Drogas (CAPSad) 24h.</t>
  </si>
  <si>
    <t>Criação/qualificação de 188 Unidades de Acolhimento Infantojuvenil até 2014.</t>
  </si>
  <si>
    <t>Criação/qualificação de 430 Unidades de Acolhimento Adulto até 2014.</t>
  </si>
  <si>
    <t>Unidades de Acolhimento Adulto</t>
  </si>
  <si>
    <t>O cumprimento das metas no que se refere à expansão dos Pontos de Atenção da RAPS enfrenta desafios: o contingenciamento financeiro; a necessidade de que o serviço esteja em funcionamento, com custeio próprio, no momento da solicitação de habilitação; a dificuldade de se encontrar imóvel adequado; e a necessidade de cumprimento da LRF versus ampliação de recursos humanos, principal instrumento de cuidado na atenção psicossocial.</t>
  </si>
  <si>
    <t>Implantar 179 Consultórios na Rua, com atendimento direcionado à população em situação de rua até 2015.</t>
  </si>
  <si>
    <t>Consultórios na Rua</t>
  </si>
  <si>
    <t>Implantar e implementar 3.600 leitos de atenção integral de saúde mental em hospitais gerais até 2015.</t>
  </si>
  <si>
    <t>A expansão dos Pontos de Atenção da RAPS enfrenta vários desafios, como a demanda dos gestores locais e da pactuação regional e estadual dos planos de ação da RAPS. Os entes federados também enfrentam dificuldades financeiras, incluindo o MS, que represou os processos de habilitação/incorporação, inibindo a iniciativa dos municípios em expandir/qualificar os pontos de atenção da RAPS.</t>
  </si>
  <si>
    <t>Implantar e implementar 640 Centros de Atenção Psicossocial - CAPS (CAPS I, CAPS II, CAPS III, CAPSi e CAPSad), passando de 1.650 em 2011 para 2.290 até 2015.</t>
  </si>
  <si>
    <t>45 Centros Especializados em Reabilitação em funcionamento até o final de 2014, no âmbito do Programa Viver sem Limites.</t>
  </si>
  <si>
    <t>Gestores e profissionais</t>
  </si>
  <si>
    <t>Implantar 6 oficinas ortopédicas fixas, 7 oficinas ortopédicas itinerantes terrestres e 6 oficinas ortopédicas fluviais no país, até 2014, no âmbito do Programa Viver sem Limites.</t>
  </si>
  <si>
    <t>Oficinas</t>
  </si>
  <si>
    <t>24 oficinas ortopédicas fixas habilitadas entre os anos 2012 a 2014, ou seja, estão em efetivo funcionamento. O sistema não foi aberto para o cadastramento de propostas de habilitação em 2015. No que se refere às Oficinas Ortopédicas Itinerantes Fluviais, o novo Termo de Referência encontra-se em elaboração. Quanto às Oficinas Ortopédicas Itinerantes Terrestres, 05 oficinas foram entregues, mas os gestores locais ainda não finalizaram as propostas de habilitação.</t>
  </si>
  <si>
    <t>Implantar a Fase IV do Programa Nacional de Triagem Neonatal em todas as Unidades da Federação, até 2014, no âmbito do Programa Viver sem Limites.</t>
  </si>
  <si>
    <t>Qualificação de 420 Centros de Especialidades Odontológicas - CEO para atendimento a pessoas com deficiência até 2014.</t>
  </si>
  <si>
    <t>Qualificar 60 oficinas ortopédicas existentes no país, até 2014, no âmbito do Programa Viver sem Limites.</t>
  </si>
  <si>
    <t>Oficinas ortopédicas</t>
  </si>
  <si>
    <t>Alcançar 6.600 bolsistas beneficiados pelo Pró-Residência até 2015.</t>
  </si>
  <si>
    <t>Bolsistas</t>
  </si>
  <si>
    <t>Ampliar de 1.100 para 4.000 o número de egressos/ano em programas de qualificação/Fiocruz até 2015.</t>
  </si>
  <si>
    <t>Egressos/ano</t>
  </si>
  <si>
    <t>Ampliar de 240 h para 414h/ano a produção de programas veiculados pelo Canal Saúde até 2015</t>
  </si>
  <si>
    <t>Horas ao ano</t>
  </si>
  <si>
    <t>Ampliar de 600 para 1000 o número de egressos/ano com formação técnica de nível médio na Fiocruz, em áreas estratégicas do SUS até 2015</t>
  </si>
  <si>
    <t>Ampliar e qualificar a formação profissional de 380 mil trabalhadores de nível médio do SUS até 2015.</t>
  </si>
  <si>
    <t>Trabalhadores</t>
  </si>
  <si>
    <t>Atingir até 2014 a meta de beneficiar 12 mil bolsistas/ano, garantindo a multiprofissionalidade, através do Programa de Educação pelo Trabalho em Saúde (PET-Saúde) articulado ao Pró-Saúde.</t>
  </si>
  <si>
    <t>Bolsistas/ano</t>
  </si>
  <si>
    <t>O  pagamento das bolsas referentes ao PRÓSAÚDE/PET-SAÚDE encerraram-se em dez/2014; o pagamento das bolsas referentes ao PETSaúde/Vigilância em Saúde encerraram-se em abril/2015, e o pagamento das bolsas do PETSaúde/Redes de Atenção encerraram-se em junho/2015 com a finalização dos Editais. A meta do PPA foi prevista para ser desenvolvida entre os anos de 2012 e 2014, período de vigência dos Editas. Acrescenta-se que, em 2014, ano de referência da meta, havia 15.255 bolsistas.</t>
  </si>
  <si>
    <t>Capacitar 360 docentes das Escolas Técnicas do SUS até 2015</t>
  </si>
  <si>
    <t>Docentes</t>
  </si>
  <si>
    <t>Elevar de 4 para 10 o número de programas stricto sensu da Fiocruz com nota de avaliação da CAPES igual ou superior a  6 até 2015</t>
  </si>
  <si>
    <t>Programas stricto sensu</t>
  </si>
  <si>
    <t>Expandir de 52 para 62 o número de programas/cursos lato sensu na Fiocruz até 2015</t>
  </si>
  <si>
    <t>Programas/cursos lato sensu</t>
  </si>
  <si>
    <t>Expandir o Programa Nacional de Reorientação da Formação Profissional em Saúde (Pró-Saúde) para atingir um total de 709 cursos de graduação da área da saúde até 2015.</t>
  </si>
  <si>
    <t>Cursos de graduação</t>
  </si>
  <si>
    <t>Implantar 18 Núcleos Estaduais de Telessaúde Brasil até 2015, cobrindo todos os estados</t>
  </si>
  <si>
    <t>Núcleos de Telessaúde Brasil</t>
  </si>
  <si>
    <t>Inserir 100 mil profissionais de saúde e gestores em processos de educação permanente com foco nas redes prioritárias.</t>
  </si>
  <si>
    <t>Profissionais e gestores</t>
  </si>
  <si>
    <t>Capacitar 50 mil pessoas para o controle social e gestão participativa no SUS (conselheiros, lideranças de movimentos sociais, ACS, ACE, educadores populares e gestores) até 2015.</t>
  </si>
  <si>
    <t>Pessoas</t>
  </si>
  <si>
    <t>Contrato Organizativo de Ação Pública (COAP) assinado em 80% das Regiões de Saúde até 2015.</t>
  </si>
  <si>
    <t>Alguns elementos contribuíram para a baixa adesão ao processo de contratualização: imprecisões e ambiguidades contidas no texto do Decreto 7508/11, modelo de contrato inadequado, cultura de centralização, hierarquização e verticalismo no sistema, insuficiência na apropriação do COAP por parte do MS, dissociação entre o processo de contratualização interfederativa e o financiamento das ações e serviços de saúde, baixa capacidade políticoadministrativa de alguns estados e municípios.</t>
  </si>
  <si>
    <t>Fomentar a implementação de 27 Comitês Estaduais de Promoção da Equidade para Populações Vulneráveis até 2015.</t>
  </si>
  <si>
    <t>Comitês</t>
  </si>
  <si>
    <t>Fomentar a mobilização de 80 mil pessoas em eventos com foco na gestão participativa e no controle social nas ações de saúde.</t>
  </si>
  <si>
    <t>Realizar 6 encontros nacionais envolvendo lideranças do campo e da floresta, do movimento de lésbicas, gays, bissexuais e transsexuais, da população em situação de rua, dos ciganos e dos gestores do SUS até 2015</t>
  </si>
  <si>
    <t>Encontros nacionais</t>
  </si>
  <si>
    <t>Realizar 6 seminários regionalizados envolvendo as comunidades quilombolas até 2015, com participação de gestores, profissionais de saúde e lideranças das comunidades.</t>
  </si>
  <si>
    <t>Seminários</t>
  </si>
  <si>
    <t>Ampliar o Disque Saúde 136, com foco na pesquisa da Rede Cegonha, por meio da realização de 400 mil entrevistas até 2015.</t>
  </si>
  <si>
    <t>Entrevistas</t>
  </si>
  <si>
    <t>Apoiar a implantação de 125 ouvidorias/ano com sistema informatizado</t>
  </si>
  <si>
    <t>Ouvidorias/ano</t>
  </si>
  <si>
    <t>Apoiar o desenvolvimento institucional da gestão orçamentária, financeira e contábil em 100% dos Fundos Estaduais de Saúde anualmente</t>
  </si>
  <si>
    <t>Realizar 4 mil ações de controle interno e auditorias com foco nos contratos de ação pública até 2015</t>
  </si>
  <si>
    <t>Ações de controle interno e auditorias</t>
  </si>
  <si>
    <t>Realizar ações de Ouvidoria Ativa no âmbito do SUS, com envio de 10 milhões de CartaSUS/ano até 2015.</t>
  </si>
  <si>
    <t>CartaSUS por ano</t>
  </si>
  <si>
    <t>Ampliar a cobertura do Programa Farmácia Popular - Aqui Tem Farmácia Popular - nos municípios brasileiros do mapa da extrema pobreza que tenham farmácias, passando de 962 municípios em 2011 para 2.365 municípios até 2015.</t>
  </si>
  <si>
    <t>Ampliar o elenco de medicamentos fitoterápicos da assistência farmacêutica básica, passando de 8 medicamentos em 2011 para 16 até 2015.</t>
  </si>
  <si>
    <t>Medicamentos fitoterápicos</t>
  </si>
  <si>
    <t>Apoiar 20 Arranjos Produtivos Locais - APL até 2015, visando promover o acesso a plantas medicinais e fitoterápicos no SUS</t>
  </si>
  <si>
    <t>Ampliar o cadastramento dos Comitês de Ética em Pesquisas (CEP) na Comissão Nacional de Ética em Pesquisa (CONEP), passando de 10% em 2011 para 100% até 2015</t>
  </si>
  <si>
    <t>Aprovar no Grupo Executivo do Complexo Industrial da Saúde (GECIS)  3(três) propostas para a otimização do marco regulatório do complexo produtivo e de ciência, tecnologia e inovação em saúde, relacionadas aos temas de compras governamentais, regulação sanitária, econômica, tributária e fiscal e de propriedade intelectual</t>
  </si>
  <si>
    <t>Proposta</t>
  </si>
  <si>
    <t>Celebrar 15 acordos regionais para realinhamento das prioridades de pesquisa em saúde no SUS, em consonância com os Planos Estaduais de Saúde</t>
  </si>
  <si>
    <t>Acordos regionais</t>
  </si>
  <si>
    <t>Projetos de pesquisa</t>
  </si>
  <si>
    <t>Fomentar a realização de 100 estudos nacionais em temas contemplados na agenda de prioridades de pesquisa do Ministério da Saúde, até 2015</t>
  </si>
  <si>
    <t>Estudos nacionais</t>
  </si>
  <si>
    <t>Apoiar o desenvolvimento institucional da gestão orçamentária, financeira e contábil em 100% dos Fundos Municipais de Saúde até 2015</t>
  </si>
  <si>
    <t>Inserir 5 mil profissionais de saúde no Programa de Valorização do Profissional da Atenção Básica (Provab) para atuação em municípios e localidades desprovidos de atenção à saúde, até 2015.</t>
  </si>
  <si>
    <t>Centros de Especialidades Odontológicas - CEO</t>
  </si>
  <si>
    <t>Centros Especializados em Reabilitação</t>
  </si>
  <si>
    <t>Contratar 200 projetos de pesquisa no âmbito do programa de pesquisa para o SUS (PPSUS) até 2015, em parceria com o Conselho Nacional de Desenvolvimento Científico e Tecnológico (CNPq), Secretarias Estaduais de Saúde e Fundações de amparo à pesquisa</t>
  </si>
  <si>
    <t>Centros de Atenção Psicossocial Álcool e Drogas (CAPSad)</t>
  </si>
  <si>
    <t>Centros de Atenção Psicossocial - CAPS</t>
  </si>
  <si>
    <t>Unidades de Acolhimento Infantojuvenil</t>
  </si>
  <si>
    <t>Nível de desempenho</t>
  </si>
  <si>
    <t>Laboratórios da Saúde (Lacen) Pública</t>
  </si>
  <si>
    <t>Coeficiente de prevalência da hanseníase por 10.000 hab.</t>
  </si>
  <si>
    <t>Casas de Gestante,Bebê e Puérpera (CGBP)</t>
  </si>
  <si>
    <t>A variação desejada era de 0,56; mas foi alcançada 0,46; o que representa 82% da meta</t>
  </si>
  <si>
    <t>A variação desejada era de 6302; sendo alcançada 6002; o que representa 82% da meta</t>
  </si>
  <si>
    <t>A variação desejada era de 88; sendo alcançada 77,9; o que representa 89% da meta</t>
  </si>
  <si>
    <t>A variação desejada era de 7; sendo alcançada 5; o que representa 71% da meta</t>
  </si>
  <si>
    <t>A variação desejada era de 12000; sendo alcançada 21355; o que representa z% da meta</t>
  </si>
  <si>
    <t>Será que foram avaliados "leitos adicionais" ou apenas "leitos"?</t>
  </si>
  <si>
    <t>Será que foram avaliados "novos centros" ou apenas "centros"?</t>
  </si>
  <si>
    <t>A variação desejada era de 46; sendo alcançada 50,2; o que representa z% da meta</t>
  </si>
  <si>
    <t>A variação desejada era de 1500; sendo alcançada 398; o que representa 27% da meta</t>
  </si>
  <si>
    <t>Será que foram avaliados "novos serviços" ou apenas "serviços"?</t>
  </si>
  <si>
    <t>A variação desejada era de 500; sendo alcançada 391; o que representa 78% da meta</t>
  </si>
  <si>
    <t>A variação desejada era de 2400; sendo alcançada 608; o que representa 25% da meta</t>
  </si>
  <si>
    <t>Aparentemente indicador foi bem preenchido</t>
  </si>
  <si>
    <t>A variação desejada era de 2900; sendo alcançada 8305; o que representa 208% da meta</t>
  </si>
  <si>
    <r>
      <t xml:space="preserve">Em 2015 pretendia-se alcançar 414 horas próprias produzidas, contudo o Canal Saúde teve que investir em outras áreas, como na Veiculação (transmissão via satélite e TV Aberta Digital) e na Programação (licenciamentos de vídeos). Os acréscimos orçamentários não foram suficientes para investir no aumento da produção. </t>
    </r>
    <r>
      <rPr>
        <sz val="11"/>
        <color rgb="FFFF0000"/>
        <rFont val="Arial"/>
        <family val="2"/>
      </rPr>
      <t>A variação desejada era de 174; sendo alcançada 26; o que representa 15% da meta</t>
    </r>
  </si>
  <si>
    <r>
      <t xml:space="preserve">Em 2015 ocorreu uma diminuição no quantitativo de egressos devido a obras realizadas na Unidade que realiza os cursos e à ampliação no quantitativo de anos necessários para a conclusão dos cursos, associada às restrições orçamentárias praticadas no exercício. </t>
    </r>
    <r>
      <rPr>
        <sz val="11"/>
        <color rgb="FFFF0000"/>
        <rFont val="Arial"/>
        <family val="2"/>
      </rPr>
      <t>A variação desejada era de 400; aparentemente a meta caiu.</t>
    </r>
  </si>
  <si>
    <t>A variação desejada era de 6; sendo alcançada 3; o que representa 50% da meta</t>
  </si>
  <si>
    <t>A variação desejada era de 10; sendo alcançada12; o que representa 208% da meta</t>
  </si>
  <si>
    <r>
      <t xml:space="preserve">Houve necessidade de redimensionamento da meta no período, uma vez que foi verificado junto ao CFF que 399 municípios mapeados pelo BSM não possuíam farmácias, portanto, não seria possível atingir a totalidade da meta. Ademais, apesar de alguns municípios do BSM possuírem farmácias, muitas não estão em condições de atuar no programa devido à falta de profissionais farmacêuticos e, principalmente, de acesso à internet. O PNS 20122015 alterou a meta para 1.614 municípios atendidos. </t>
    </r>
    <r>
      <rPr>
        <sz val="11"/>
        <color rgb="FFFF0000"/>
        <rFont val="Arial"/>
        <family val="2"/>
      </rPr>
      <t>A variação desejada era de 1403; sendo alcançada 721; o que representa 51% da meta</t>
    </r>
  </si>
  <si>
    <t>A variação desejada era de 8; sendo alcançada4; o que representa 50% da meta</t>
  </si>
  <si>
    <t>A variação desejada era de 90; sendo alcançada 90; o que representa 100% da meta</t>
  </si>
  <si>
    <t>Objetivo</t>
  </si>
  <si>
    <t>-</t>
  </si>
  <si>
    <t>Desempenho</t>
  </si>
  <si>
    <t>Unidades de Monitoramento Externo de Qualidade – MEQ</t>
  </si>
  <si>
    <t>Centros de Especialidades Odontológicas</t>
  </si>
  <si>
    <t>UF</t>
  </si>
  <si>
    <r>
      <t xml:space="preserve">Embora a epidemia esteja estabilizada no país e se observe ligeira queda no indicador, existe concentração dos casos em alguns estados. Além disso, a epidemia também apresenta crescimento em algumas populações, como em jovens gays. </t>
    </r>
    <r>
      <rPr>
        <sz val="11"/>
        <color rgb="FFFF0000"/>
        <rFont val="Arial"/>
        <family val="2"/>
      </rPr>
      <t xml:space="preserve"> A variação desejada era de 1,3; mas foi alcançada 0,5; o que representa 38% da meta.</t>
    </r>
  </si>
  <si>
    <t>Arranjos Produtivos Locais - APL</t>
  </si>
  <si>
    <t>Quase idêntica - PAS arredondou meta</t>
  </si>
  <si>
    <t>Quase idêntica - PAS retirou regionalização</t>
  </si>
  <si>
    <t>Idêntica</t>
  </si>
  <si>
    <t>Idêntica - PAS colocou em outra diretriz</t>
  </si>
  <si>
    <t>PAS alterou a meta</t>
  </si>
  <si>
    <t>Quase idêntica - PAS atualizou vacina mantendo a meta</t>
  </si>
  <si>
    <t>Sem meta na PAS</t>
  </si>
  <si>
    <t>PAS unificou 2 metas</t>
  </si>
  <si>
    <t>Capacitar 5.500 gestores e profissionais do SUS em Saúde da Pessoa Idosa e Envelhecimento.</t>
  </si>
  <si>
    <t>ID</t>
  </si>
  <si>
    <t>713.01</t>
  </si>
  <si>
    <t>713.02</t>
  </si>
  <si>
    <t>713.03</t>
  </si>
  <si>
    <t>713.04</t>
  </si>
  <si>
    <t>713.05</t>
  </si>
  <si>
    <t>713.06</t>
  </si>
  <si>
    <t>713.07</t>
  </si>
  <si>
    <t>713.08</t>
  </si>
  <si>
    <t>713.09</t>
  </si>
  <si>
    <t>713.10</t>
  </si>
  <si>
    <t>713.11</t>
  </si>
  <si>
    <t>713.12</t>
  </si>
  <si>
    <t>713.13</t>
  </si>
  <si>
    <t>713.14</t>
  </si>
  <si>
    <t>713.15</t>
  </si>
  <si>
    <t>713.16</t>
  </si>
  <si>
    <t>713.17</t>
  </si>
  <si>
    <t>713.18</t>
  </si>
  <si>
    <t>713.19</t>
  </si>
  <si>
    <t>714.01</t>
  </si>
  <si>
    <t>714.02</t>
  </si>
  <si>
    <t>714.03</t>
  </si>
  <si>
    <t>714.04</t>
  </si>
  <si>
    <t>714.05</t>
  </si>
  <si>
    <t>714.06</t>
  </si>
  <si>
    <t>714.07</t>
  </si>
  <si>
    <t>714.08</t>
  </si>
  <si>
    <t>714.09</t>
  </si>
  <si>
    <t>714.10</t>
  </si>
  <si>
    <t>714.11</t>
  </si>
  <si>
    <t>714.12</t>
  </si>
  <si>
    <t>714.13</t>
  </si>
  <si>
    <t>714.14</t>
  </si>
  <si>
    <t>714.15</t>
  </si>
  <si>
    <t>714.16</t>
  </si>
  <si>
    <t>714.17</t>
  </si>
  <si>
    <t>714.18</t>
  </si>
  <si>
    <t>714.19</t>
  </si>
  <si>
    <t>714.20</t>
  </si>
  <si>
    <t>714.21</t>
  </si>
  <si>
    <t>714.22</t>
  </si>
  <si>
    <t>714.23</t>
  </si>
  <si>
    <t>714.24</t>
  </si>
  <si>
    <t>714.25</t>
  </si>
  <si>
    <t>714.26</t>
  </si>
  <si>
    <t>714.27</t>
  </si>
  <si>
    <t>715.01</t>
  </si>
  <si>
    <t>715.02</t>
  </si>
  <si>
    <t>715.03</t>
  </si>
  <si>
    <t>715.04</t>
  </si>
  <si>
    <t>715.05</t>
  </si>
  <si>
    <t>715.06</t>
  </si>
  <si>
    <t>715.07</t>
  </si>
  <si>
    <t>715.08</t>
  </si>
  <si>
    <t>715.09</t>
  </si>
  <si>
    <t>715.10</t>
  </si>
  <si>
    <t>715.11</t>
  </si>
  <si>
    <t>715.12</t>
  </si>
  <si>
    <t>715.13</t>
  </si>
  <si>
    <t>715.14</t>
  </si>
  <si>
    <t>715.15</t>
  </si>
  <si>
    <t>715.16</t>
  </si>
  <si>
    <t>715.17</t>
  </si>
  <si>
    <t>715.18</t>
  </si>
  <si>
    <t>715.19</t>
  </si>
  <si>
    <t>715.20</t>
  </si>
  <si>
    <t>715.21</t>
  </si>
  <si>
    <t>715.22</t>
  </si>
  <si>
    <t>717.01</t>
  </si>
  <si>
    <t>717.02</t>
  </si>
  <si>
    <t>717.03</t>
  </si>
  <si>
    <t>717.04</t>
  </si>
  <si>
    <t>717.05</t>
  </si>
  <si>
    <t>717.06</t>
  </si>
  <si>
    <t>718.01</t>
  </si>
  <si>
    <t>718.02</t>
  </si>
  <si>
    <t>718.03</t>
  </si>
  <si>
    <t>718.04</t>
  </si>
  <si>
    <t>718.05</t>
  </si>
  <si>
    <t>718.06</t>
  </si>
  <si>
    <t>718.07</t>
  </si>
  <si>
    <t>719.01</t>
  </si>
  <si>
    <t>719.02</t>
  </si>
  <si>
    <t>719.03</t>
  </si>
  <si>
    <t>719.04</t>
  </si>
  <si>
    <t>719.05</t>
  </si>
  <si>
    <t>719.06</t>
  </si>
  <si>
    <t>721.01</t>
  </si>
  <si>
    <t>721.02</t>
  </si>
  <si>
    <t>721.03</t>
  </si>
  <si>
    <t>721.04</t>
  </si>
  <si>
    <t>721.05</t>
  </si>
  <si>
    <t>721.06</t>
  </si>
  <si>
    <t>721.07</t>
  </si>
  <si>
    <t>721.08</t>
  </si>
  <si>
    <t>721.09</t>
  </si>
  <si>
    <t>721.10</t>
  </si>
  <si>
    <t>721.11</t>
  </si>
  <si>
    <t>721.12</t>
  </si>
  <si>
    <t>721.13</t>
  </si>
  <si>
    <t>724.01</t>
  </si>
  <si>
    <t>724.02</t>
  </si>
  <si>
    <t>724.03</t>
  </si>
  <si>
    <t>724.04</t>
  </si>
  <si>
    <t>724.05</t>
  </si>
  <si>
    <t>724.06</t>
  </si>
  <si>
    <t>725.01</t>
  </si>
  <si>
    <t>725.02</t>
  </si>
  <si>
    <t>725.03</t>
  </si>
  <si>
    <t>725.04</t>
  </si>
  <si>
    <t>725.05</t>
  </si>
  <si>
    <t>725.06</t>
  </si>
  <si>
    <t>726.01</t>
  </si>
  <si>
    <t>726.02</t>
  </si>
  <si>
    <t>726.03</t>
  </si>
  <si>
    <t>727.01</t>
  </si>
  <si>
    <t>727.02</t>
  </si>
  <si>
    <t>727.03</t>
  </si>
  <si>
    <t>727.04</t>
  </si>
  <si>
    <t>727.05</t>
  </si>
  <si>
    <t>PAS alterou a redação e diretriz, com meta similar</t>
  </si>
  <si>
    <t>Produto PAS 2015</t>
  </si>
  <si>
    <t>Proposta Meta física PAS 2015</t>
  </si>
  <si>
    <t>Ação PLOA 2015</t>
  </si>
  <si>
    <t>Valor Total da Ação Orçamentária – PLOA 2015 (R$1)</t>
  </si>
  <si>
    <t>Médico alocado no âmbito de Programa Mais Médicos</t>
  </si>
  <si>
    <t>Meta Alcançada</t>
  </si>
  <si>
    <t>2015.20AD - Piso de Atenção Básica Variável - Saúde da Família (PO 0009)</t>
  </si>
  <si>
    <t>Nova UBS com obra de ampliação/ reforma concluída</t>
  </si>
  <si>
    <r>
      <rPr>
        <sz val="11"/>
        <rFont val="Arial"/>
        <family val="2"/>
      </rPr>
      <t>4.368
(1.805 ampliações
/ 2.563 reformas)</t>
    </r>
  </si>
  <si>
    <t>2015.12L5 - Construção e Ampliação de Unidades Básicas de Saúde - UBS</t>
  </si>
  <si>
    <t>ACS implantado</t>
  </si>
  <si>
    <t>2015.20AD - Piso de Atenção Básica Variável - Saúde da Família</t>
  </si>
  <si>
    <t>ESB implantada</t>
  </si>
  <si>
    <t>Equipe implantada</t>
  </si>
  <si>
    <t>Transplante de órgãos sólidos e não sólidos realizado</t>
  </si>
  <si>
    <r>
      <t>24.000</t>
    </r>
    <r>
      <rPr>
        <vertAlign val="superscript"/>
        <sz val="11"/>
        <rFont val="Arial"/>
        <family val="2"/>
      </rPr>
      <t>1</t>
    </r>
  </si>
  <si>
    <r>
      <rPr>
        <sz val="11"/>
        <rFont val="Arial"/>
        <family val="2"/>
      </rPr>
      <t>2015.8585 - Atenção à Saúde da População para Procedimentos em Média e Alta Complexidade 2015.20SP - Operacionalização do Sistema Nacional de
Transplantes</t>
    </r>
  </si>
  <si>
    <r>
      <rPr>
        <sz val="11"/>
        <rFont val="Arial"/>
        <family val="2"/>
      </rPr>
      <t>40.802.652.512;
61.250.0002</t>
    </r>
  </si>
  <si>
    <t>6 e 1</t>
  </si>
  <si>
    <t>Complexo Implantado (%)</t>
  </si>
  <si>
    <r>
      <t>14%</t>
    </r>
    <r>
      <rPr>
        <vertAlign val="superscript"/>
        <sz val="11"/>
        <rFont val="Arial"/>
        <family val="2"/>
      </rPr>
      <t>2</t>
    </r>
  </si>
  <si>
    <t>2015.125H - Implantação do Complexo Integrado do Instituto Nacional de Câncer - INCa</t>
  </si>
  <si>
    <t>Equipe de atenção à saúde domiciliar implantada</t>
  </si>
  <si>
    <r>
      <rPr>
        <sz val="11"/>
        <rFont val="Arial"/>
        <family val="2"/>
      </rPr>
      <t>360 (240 EMAD e
120 EMAP)</t>
    </r>
  </si>
  <si>
    <t>Central de Regulação implantada</t>
  </si>
  <si>
    <t>2015.8721 - Implementação da Regulação, Controle e Avaliação da Atenção à Saúde</t>
  </si>
  <si>
    <t>Unidade MEQ implantada</t>
  </si>
  <si>
    <t>2015.20R4 - Apoio à Implementação da Rede Cegonha</t>
  </si>
  <si>
    <t>Nova UBS com obra de construção concluída</t>
  </si>
  <si>
    <t>CEO implantado</t>
  </si>
  <si>
    <t>2015.8730 - Ampliação da Resolutividade da Saúde Bucal na Atenção Básica e Especializada</t>
  </si>
  <si>
    <t>UF com Política implantada</t>
  </si>
  <si>
    <t>Meta alcançada</t>
  </si>
  <si>
    <r>
      <rPr>
        <sz val="11"/>
        <rFont val="Arial"/>
        <family val="2"/>
      </rPr>
      <t>Percentual de municípios com adesão ao Programa
"Saúde na Escola"</t>
    </r>
  </si>
  <si>
    <t>Serviço qualificado</t>
  </si>
  <si>
    <t>2015.20B1 - Serviços de Atenção à Saúde da População do Sistema Penitenciário Nacional</t>
  </si>
  <si>
    <t>Serviço requalificado</t>
  </si>
  <si>
    <t>Percentual de redução do número de óbitos por dengue (com relação a 2013)
(Número de óbitos por dengue)</t>
  </si>
  <si>
    <t>2015.20AL - Incentivo Financeiro aos Estados, Distrito Federal e Municípios para a Vigilância em Saúde. 2015.20YJ - Sistema Nacional de Vigilância em Saúde (PO - 0009)</t>
  </si>
  <si>
    <t>12 e 18</t>
  </si>
  <si>
    <t>18 e 12</t>
  </si>
  <si>
    <t>6 e 18</t>
  </si>
  <si>
    <t>Produtos estratégicos com pedido de registro junto à Anvisa relacionados às PDPs</t>
  </si>
  <si>
    <t>2015.20AE - Promoção da Assistência Farmacêutica e Insumos Estratégicos na Atenção Básica em Saúde</t>
  </si>
  <si>
    <t>2015.20YJ - Sistema Nacional de Vigilância em Saúde (PO -  0001); 2015.20AC - Incentivo Financeiro a Estados, Distrito Federal  e Municípios para Ações de Prevenção e Qualificação da Atenção em HIV/Aids e outras Doenças Sexualmente
Transmissíveis</t>
  </si>
  <si>
    <t>18 e 1</t>
  </si>
  <si>
    <t>Centro de parto normal implantado</t>
  </si>
  <si>
    <t>2015.8735 - Alimentação e Nutrição para a Saúde</t>
  </si>
  <si>
    <t>2015.20YJ - Sistema Nacional de Vigilância em Saúde (PO - 000A)</t>
  </si>
  <si>
    <t>Leito de UTI neonatal implantado</t>
  </si>
  <si>
    <t>Leito adicional de UCI custeado</t>
  </si>
  <si>
    <t>2015.8585 - Atenção à Saúde da População para Procedimentos em Média e Alta Complexidade</t>
  </si>
  <si>
    <t>Proporção de óbitos maternos investigados</t>
  </si>
  <si>
    <t>Proporção de óbitos de mulheres em idade fértil (MIF) investigados</t>
  </si>
  <si>
    <t>Município realizando suplementação</t>
  </si>
  <si>
    <t>Exame citopatológico realizado</t>
  </si>
  <si>
    <t>Serviço habilitado</t>
  </si>
  <si>
    <t>Mamografia realizada</t>
  </si>
  <si>
    <t>Serviço de diagnóstico e tratamento de lesões precursoras implantado</t>
  </si>
  <si>
    <t>2015.8535 - Estruturação de Unidades de Atenção Especializada em Saúde</t>
  </si>
  <si>
    <t>CGBP implantada</t>
  </si>
  <si>
    <t>Parteira capacitada</t>
  </si>
  <si>
    <t>Percentual de municípios com teste disponibilizado</t>
  </si>
  <si>
    <t>Serviço de referência implantado</t>
  </si>
  <si>
    <t>Ambulância adquirida</t>
  </si>
  <si>
    <t>2015.8933 - Serviços de Atenção às Urgências e Emergências na Rede Assistencial (PO 0005)</t>
  </si>
  <si>
    <t>Unidade de atenção especializada estruturada</t>
  </si>
  <si>
    <t>2015.8933 - Serviços de Atenção às Urgências e Emergências na Rede Hospitalar</t>
  </si>
  <si>
    <t>Leito hospitalar implantado</t>
  </si>
  <si>
    <t>UPA em funcionamento</t>
  </si>
  <si>
    <t>2015.12L4 - Implantação, Construção e Ampliação de Unidades de Pronto Atendimento - UPA</t>
  </si>
  <si>
    <t>2015.8287 - Aprimoramento, do Pacto Federativo, com desenvolvimento do processo de contratualização, cooperação
interfederativa e gestão compartilhada do SUS</t>
  </si>
  <si>
    <t>1 e 1</t>
  </si>
  <si>
    <t>Estudo nacional realizado</t>
  </si>
  <si>
    <t>2015.6146 – Pesquisa em saúde e avaliação de novas tecnologias para o SUS</t>
  </si>
  <si>
    <t>2015.20YM - Ampliação das Práticas de Gestão Participativa, de Controle Social, de Educação Popular em Saúde e Implementação de Políticas de Promoção da Equidade (PO 0003)</t>
  </si>
  <si>
    <t>2015.20YM - Ampliação das Práticas de Gestão Participativa, de Controle Social, de Educação Popular em Saúde e Implementação de Políticas de Promoção da Equidade (PO 0002)</t>
  </si>
  <si>
    <t>LOA 2015</t>
  </si>
  <si>
    <t>LOA e Créditos 2015</t>
  </si>
  <si>
    <t>Empenhado 2015</t>
  </si>
  <si>
    <t>Liquidado 2015</t>
  </si>
  <si>
    <t>Pago 2015</t>
  </si>
  <si>
    <t>RAP pago 2015</t>
  </si>
  <si>
    <t>Pgmto efetivo 2015</t>
  </si>
  <si>
    <t>2015.20YE - Imunobiológicos e Insumos para Prevenção e Controle de Doenças (PO - 0002)</t>
  </si>
  <si>
    <t>Ação orçamentária provável</t>
  </si>
  <si>
    <t>?</t>
  </si>
  <si>
    <t>20B1</t>
  </si>
  <si>
    <t>20QF</t>
  </si>
  <si>
    <t>20K2</t>
  </si>
  <si>
    <t>20B0</t>
  </si>
  <si>
    <t>20YD</t>
  </si>
  <si>
    <t>20Q4</t>
  </si>
  <si>
    <t>20YM</t>
  </si>
  <si>
    <t>20K5</t>
  </si>
  <si>
    <t>20K4</t>
  </si>
  <si>
    <t>unificado</t>
  </si>
  <si>
    <t>Meta realcionada a quantas ações orçamentárias? PAS</t>
  </si>
  <si>
    <t>Ação orçamentária financia quantas metas? PAS</t>
  </si>
  <si>
    <t>Meta realcionada a quantas ações orçamentárias? PAS+Provável</t>
  </si>
  <si>
    <t>Ação orçamentária financia quantas metas? PAS+Provável</t>
  </si>
  <si>
    <t>Ação orçamentária PAS+Provável</t>
  </si>
  <si>
    <t>125H</t>
  </si>
  <si>
    <t>12L4</t>
  </si>
  <si>
    <t>20AI</t>
  </si>
  <si>
    <t>2B52</t>
  </si>
  <si>
    <t>12L5</t>
  </si>
  <si>
    <t>2015.6178 - Implementação de Políticas de Atenção à Saúde da Pessoa Idosa</t>
  </si>
  <si>
    <t>Profissional capacitado</t>
  </si>
  <si>
    <t>CAPS implantado/ implementado</t>
  </si>
  <si>
    <t>2015.20B0 - Atenção Especializada em Saúde Mental</t>
  </si>
  <si>
    <t>CEO qualificado</t>
  </si>
  <si>
    <r>
      <rPr>
        <sz val="11"/>
        <rFont val="Arial"/>
        <family val="2"/>
      </rPr>
      <t>UA
implantadas/implementadas</t>
    </r>
  </si>
  <si>
    <t>50% (328)</t>
  </si>
  <si>
    <t>Proporção de cura de casos novos de tuberculose pulmonar bacilífera ampliado</t>
  </si>
  <si>
    <t>Número de Centrais de Rede de Frio apoiadas financeiramente</t>
  </si>
  <si>
    <t>Incidência parasitária anual de malária</t>
  </si>
  <si>
    <t>Percentual de amostras de água analisadas para o parâmetro coliforme total</t>
  </si>
  <si>
    <t>Percentual de amostras de água analisadas para o parâmetro turbidez</t>
  </si>
  <si>
    <t>Município beneficiado</t>
  </si>
  <si>
    <t>2015.3921 - Implantação de Melhorias Habitacionais para Controle da Doença de Chagas</t>
  </si>
  <si>
    <t>UF com 93% de confirmação sorologica dos casos de Hepatite C</t>
  </si>
  <si>
    <t>UF com Núcleo de Prevenção de Violências e Promoção da Saúde apoiado</t>
  </si>
  <si>
    <t>UF com Vigilância em saúde de populações expostas a agrotóxico implantada</t>
  </si>
  <si>
    <t>Cobertura vacinal com a vacina Hepatite A em crianças de 1 ano (%)</t>
  </si>
  <si>
    <t>Percentual de Cerest desenvolvendo ações programadas de vigilância em saúde do trabalhador</t>
  </si>
  <si>
    <t>Lacen com técnicas de biologia molecular implantadas</t>
  </si>
  <si>
    <t>2015.20AL - Incentivo Financeiro aos Estados, Distrito Federal e Municípios para a Vigilância em Saúde</t>
  </si>
  <si>
    <t>Polo de Academia da Saúde habilitado</t>
  </si>
  <si>
    <t>Coeficiente anual de prevalência da hanseníase reduzido</t>
  </si>
  <si>
    <t>1,4/10.000 hab</t>
  </si>
  <si>
    <t>UF com percentual de óbitos com causa básica definida</t>
  </si>
  <si>
    <t>Percentual dos municípios com 95% da cobertura vacinal de pentavalente</t>
  </si>
  <si>
    <t>Cobertura vacinal com a vacina tetra viral  em crianças de 1 ano e 3 meses (%)</t>
  </si>
  <si>
    <t>Cobertura vacinal com a vacina DTPa em gestantes (%)</t>
  </si>
  <si>
    <t>Taxa de Incidência de Aids reduzida</t>
  </si>
  <si>
    <t>Consultório na Rua implantado</t>
  </si>
  <si>
    <t>Leito implantado / qualificado</t>
  </si>
  <si>
    <t>Novo beneficiado com o Programa "De Volta para Casa"</t>
  </si>
  <si>
    <t>Centro Especializado em Reabilitação em funcionamento</t>
  </si>
  <si>
    <t>Oficina Ortopédica implantada</t>
  </si>
  <si>
    <t>Fase IV Implantadas em todas as Unidades da Federação</t>
  </si>
  <si>
    <t>Bolsa disponibilizada pelo Pró-Residência</t>
  </si>
  <si>
    <t>2015.20YD - Educação e Formação em Saúde (PO 0003)</t>
  </si>
  <si>
    <t>2015.20YD - Educação e Formação em Saúde (PO 0005)</t>
  </si>
  <si>
    <t>Curso de graduação oferecido</t>
  </si>
  <si>
    <t>Núcleo Estadual de Telessaúde Brasil implantado</t>
  </si>
  <si>
    <t>2015.20YD - Educação e Formação em Saúde (PO 0004)</t>
  </si>
  <si>
    <t>Trabalhador qualificado</t>
  </si>
  <si>
    <t>2015.20YD - Educação e Formação em Saúde (PO 0002)</t>
  </si>
  <si>
    <t>Bolsa concedida através do PET- Saúde</t>
  </si>
  <si>
    <t>Pessoa capacitada</t>
  </si>
  <si>
    <t>Região de saúde com contrato assinado</t>
  </si>
  <si>
    <t>Comitê temático de promoção de equidade implementado</t>
  </si>
  <si>
    <t>Entrevista realizada</t>
  </si>
  <si>
    <t>2015.6182 - Ouvidoria Nacional de Saúde</t>
  </si>
  <si>
    <t>Ouvidoria com implantação apoiada</t>
  </si>
  <si>
    <t>Fundos aperfeiçoados</t>
  </si>
  <si>
    <r>
      <rPr>
        <sz val="11"/>
        <rFont val="Arial"/>
        <family val="2"/>
      </rPr>
      <t>2B52 - Desenvolvimento Institucional da Gestão Orçamentária, Financeira e Contábil do Fundo Nacional de Saúde e dos Fundos Estaduais e
Municipais de Saúde</t>
    </r>
  </si>
  <si>
    <r>
      <rPr>
        <sz val="11"/>
        <rFont val="Arial"/>
        <family val="2"/>
      </rPr>
      <t>Ação de controle
interno e auditoria realizada</t>
    </r>
  </si>
  <si>
    <t>2015.8708 - Auditoria do Sistema Único de Saúde</t>
  </si>
  <si>
    <t>Ação de ouvidoria ativa realizada</t>
  </si>
  <si>
    <t>2015.20YR - Manutenção e Funcionamento de Farmácias Populares - GRATUIDADE; 20YS - Manutenção e Funcionamento de Farmácias Populares - CO - PAGAMENTO</t>
  </si>
  <si>
    <t>Medicamento fitoterápico inserido no elenco da Assistência Farmacêutica básica.</t>
  </si>
  <si>
    <r>
      <rPr>
        <sz val="11"/>
        <rFont val="Arial"/>
        <family val="2"/>
      </rPr>
      <t>2.072.000.000;
431.400.000</t>
    </r>
  </si>
  <si>
    <r>
      <rPr>
        <sz val="11"/>
        <rFont val="Arial"/>
        <family val="2"/>
      </rPr>
      <t>2015.20YJ - Sistema Nacional de Vigilância em Saúde (PO - 0006) 2015.20AL - Incentivo Financeiro aos Estados, Distrito Federal e Municípios
para a Vigilância em Saúde</t>
    </r>
  </si>
  <si>
    <r>
      <rPr>
        <sz val="11"/>
        <rFont val="Arial"/>
        <family val="2"/>
      </rPr>
      <t>431.400.000;
2.072.000.000</t>
    </r>
  </si>
  <si>
    <r>
      <rPr>
        <sz val="11"/>
        <rFont val="Arial"/>
        <family val="2"/>
      </rPr>
      <t>2015.20YJ - Sistema Nacional de Vigilância em Saúde (PO - 0008) 2015.20AL - Incentivo Financeiro aos Estados, Distrito Federal e Municípios
para a Vigilância em Saúde</t>
    </r>
  </si>
  <si>
    <r>
      <rPr>
        <sz val="11"/>
        <rFont val="Arial"/>
        <family val="2"/>
      </rPr>
      <t>2015.20YJ - Sistema Nacional de Vigilância em Saúde (PO - 000B) 2015.20AL - Incentivo Financeiro aos Estados, Distrito Federal e Municípios
para a Vigilância em Saúde</t>
    </r>
  </si>
  <si>
    <r>
      <rPr>
        <sz val="11"/>
        <rFont val="Arial"/>
        <family val="2"/>
      </rPr>
      <t>2015.20YJ - Sistema Nacional de Vigilância em Saúde (PO - 000B) 2015.20AL - Incentivo Financeiro aos
Estados, Distrito Federal e Municípios para a Vigilância em Saúde</t>
    </r>
  </si>
  <si>
    <r>
      <rPr>
        <sz val="11"/>
        <rFont val="Arial"/>
        <family val="2"/>
      </rPr>
      <t>2015.20YE - Imunobiológicos e Insumos para Prevenção e Controle de Doenças (PO - 0001); 2015.20YJ -
Sistema Nacional de Vigilância em Saúde (PO -  0001)</t>
    </r>
  </si>
  <si>
    <r>
      <rPr>
        <sz val="11"/>
        <rFont val="Arial"/>
        <family val="2"/>
      </rPr>
      <t>2.870.000.000;
431.400.000</t>
    </r>
  </si>
  <si>
    <r>
      <rPr>
        <sz val="11"/>
        <rFont val="Arial"/>
        <family val="2"/>
      </rPr>
      <t>2015.20YJ - Sistema Nacional de Vigilância em Saúde (PO - 000G) 2015.20AL - Incentivo Financeiro aos
Estados, Distrito Federal e Municípios para a Vigilância em Saúde</t>
    </r>
  </si>
  <si>
    <r>
      <rPr>
        <sz val="11"/>
        <rFont val="Arial"/>
        <family val="2"/>
      </rPr>
      <t>Unidades de saúde com notificação da violência doméstica, sexual e/ou outras violências
implantada</t>
    </r>
  </si>
  <si>
    <r>
      <rPr>
        <sz val="11"/>
        <rFont val="Arial"/>
        <family val="2"/>
      </rPr>
      <t>2015.20YJ - Sistema Nacional de Vigilância em Saúde (PO - 000G) 2015.20AL - Incentivo Financeiro aos Estados, Distrito Federal e Municípios
para a Vigilância em Saúde</t>
    </r>
  </si>
  <si>
    <r>
      <rPr>
        <sz val="11"/>
        <rFont val="Arial"/>
        <family val="2"/>
      </rPr>
      <t>2015.20YJ - Sistema Nacional de Vigilância em Saúde (PO - 0007) 2015.20AL - Incentivo Financeiro aos
Estados, Distrito Federal e Municípios para a Vigilância em Saúde</t>
    </r>
  </si>
  <si>
    <r>
      <rPr>
        <sz val="11"/>
        <rFont val="Arial"/>
        <family val="2"/>
      </rPr>
      <t>2015.20YE - Imunobiológicos e Insumos para Prevenção e Controle de Doenças (PO - 0002)
2015.20YJ - Sistema Nacional de Vigilância em Saúde (PO - 0002)</t>
    </r>
  </si>
  <si>
    <r>
      <rPr>
        <sz val="11"/>
        <rFont val="Arial"/>
        <family val="2"/>
      </rPr>
      <t>Proporção de municipios prioritários realizando notificação dos casos de
intoxicações exógenas por agrotóxicos no Sinan</t>
    </r>
  </si>
  <si>
    <r>
      <rPr>
        <sz val="11"/>
        <rFont val="Arial"/>
        <family val="2"/>
      </rPr>
      <t>2015.20YJ - Sistema Nacional de Vigilância em Saúde (PO - 0002) 2015.20AL - Incentivo Financeiro aos
Estados, Distrito Federal e Municípios para a Vigilância em Saúde</t>
    </r>
  </si>
  <si>
    <r>
      <rPr>
        <sz val="11"/>
        <rFont val="Arial"/>
        <family val="2"/>
      </rPr>
      <t>18,9/100.000
hab</t>
    </r>
  </si>
  <si>
    <r>
      <rPr>
        <sz val="11"/>
        <rFont val="Arial"/>
        <family val="2"/>
      </rPr>
      <t>431.400.000;
178.500.000</t>
    </r>
  </si>
  <si>
    <r>
      <t>Maternidade com ambiência adequada</t>
    </r>
    <r>
      <rPr>
        <vertAlign val="superscript"/>
        <sz val="11"/>
        <rFont val="Arial"/>
        <family val="2"/>
      </rPr>
      <t>5</t>
    </r>
  </si>
  <si>
    <r>
      <rPr>
        <sz val="11"/>
        <rFont val="Arial"/>
        <family val="2"/>
      </rPr>
      <t>Equipe de Atenção Básica referindo disponibilidade de sulfato
ferroso nas UBS (%)</t>
    </r>
  </si>
  <si>
    <r>
      <rPr>
        <sz val="11"/>
        <rFont val="Arial"/>
        <family val="2"/>
      </rPr>
      <t>Proporção de óbitos
infantis e fetais investigados</t>
    </r>
  </si>
  <si>
    <r>
      <t>1.436</t>
    </r>
    <r>
      <rPr>
        <vertAlign val="superscript"/>
        <sz val="11"/>
        <rFont val="Arial"/>
        <family val="2"/>
      </rPr>
      <t>6</t>
    </r>
  </si>
  <si>
    <r>
      <rPr>
        <sz val="11"/>
        <rFont val="Arial"/>
        <family val="2"/>
      </rPr>
      <t>2015.8585 - Atenção à Saúde da População para Procedimentos em
Média e Alta Complexidade</t>
    </r>
  </si>
  <si>
    <r>
      <rPr>
        <sz val="11"/>
        <rFont val="Arial"/>
        <family val="2"/>
      </rPr>
      <t>2015.8585 - Atenção à Saúde da
População para Procedimentos em Média e Alta Complexidade</t>
    </r>
  </si>
  <si>
    <r>
      <rPr>
        <sz val="11"/>
        <rFont val="Arial"/>
        <family val="2"/>
      </rPr>
      <t>2015.8762 - Implementação de Ações e Serviços às Populações em Localidades Estratégicas e
Vulneráveis de Agravo</t>
    </r>
  </si>
  <si>
    <r>
      <rPr>
        <sz val="11"/>
        <rFont val="Arial"/>
        <family val="2"/>
      </rPr>
      <t>Central de Regulação do SAMU implantada/
expandida</t>
    </r>
  </si>
  <si>
    <r>
      <rPr>
        <sz val="11"/>
        <rFont val="Arial"/>
        <family val="2"/>
      </rPr>
      <t>2015.8933 - Serviços de Atenção às Urgências e Emergências na Rede
Hospitalar</t>
    </r>
  </si>
  <si>
    <r>
      <rPr>
        <sz val="11"/>
        <rFont val="Arial"/>
        <family val="2"/>
      </rPr>
      <t>2015.20AI - Auxílio-Reabilitação Psicossocial aos Egressos de Longas Internações Psiquiátricas no Sistema Único de Saúde (De
Volta Pra Casa)</t>
    </r>
  </si>
  <si>
    <r>
      <rPr>
        <sz val="11"/>
        <rFont val="Arial"/>
        <family val="2"/>
      </rPr>
      <t>Profissionais de
saúde inseridos no PROVAB</t>
    </r>
  </si>
  <si>
    <r>
      <t>Meta Alcançada</t>
    </r>
    <r>
      <rPr>
        <vertAlign val="superscript"/>
        <sz val="11"/>
        <rFont val="Arial"/>
        <family val="2"/>
      </rPr>
      <t>11</t>
    </r>
  </si>
  <si>
    <r>
      <rPr>
        <sz val="11"/>
        <rFont val="Arial"/>
        <family val="2"/>
      </rPr>
      <t>Município do Mapa da Extrema Pobreza com ao menos uma farmácia/drogaria credenciada no Programa Farmácia
Popular do Brasil.</t>
    </r>
  </si>
  <si>
    <r>
      <rPr>
        <vertAlign val="subscript"/>
        <sz val="11"/>
        <rFont val="Arial"/>
        <family val="2"/>
      </rPr>
      <t>16</t>
    </r>
    <r>
      <rPr>
        <sz val="11"/>
        <rFont val="Arial"/>
        <family val="2"/>
      </rPr>
      <t>10</t>
    </r>
  </si>
  <si>
    <t>20YJ</t>
  </si>
  <si>
    <t>20AE</t>
  </si>
  <si>
    <t>20YE</t>
  </si>
  <si>
    <t>20YE/20YJ</t>
  </si>
  <si>
    <t>20AD</t>
  </si>
  <si>
    <t>20R4</t>
  </si>
  <si>
    <t>8585/20SP</t>
  </si>
  <si>
    <t>20YJ/20AL</t>
  </si>
  <si>
    <t>20YJ/20AC</t>
  </si>
  <si>
    <t>20YR/20YS</t>
  </si>
  <si>
    <t>20AL</t>
  </si>
  <si>
    <t>19 e 12</t>
  </si>
  <si>
    <t>6 e 19</t>
  </si>
  <si>
    <t>19 e 1</t>
  </si>
  <si>
    <t>20YI</t>
  </si>
  <si>
    <t>LOA 2014</t>
  </si>
  <si>
    <t>LOA e Créditos 2014</t>
  </si>
  <si>
    <t>Empenhado 2014</t>
  </si>
  <si>
    <t>Liquidado 2014</t>
  </si>
  <si>
    <t>Pago 2014</t>
  </si>
  <si>
    <t>RAP pago 2014</t>
  </si>
  <si>
    <t>Pgmto efetivo 2014</t>
  </si>
  <si>
    <t>LOA 2012</t>
  </si>
  <si>
    <t>LOA e Créditos 2012</t>
  </si>
  <si>
    <t>Empenhado 2012</t>
  </si>
  <si>
    <t>Liquidado 2012</t>
  </si>
  <si>
    <t>Pago 2012</t>
  </si>
  <si>
    <t>RAP pago 2012</t>
  </si>
  <si>
    <t>Pgmto efetivo 2012</t>
  </si>
  <si>
    <t>LOA 2013</t>
  </si>
  <si>
    <t>LOA e Créditos 2013</t>
  </si>
  <si>
    <t>Empenhado 2013</t>
  </si>
  <si>
    <t>Liquidado 2013</t>
  </si>
  <si>
    <t>Pago 2013</t>
  </si>
  <si>
    <t>RAP pago 2013</t>
  </si>
  <si>
    <t>Pgmto efetivo 2013</t>
  </si>
  <si>
    <t>LOA 2012 a 2015</t>
  </si>
  <si>
    <t>LOA e Créditos 2012 a 2015</t>
  </si>
  <si>
    <t>Empenhado 2012 a 2015</t>
  </si>
  <si>
    <t>Liquidado 2012 a 2015</t>
  </si>
  <si>
    <t>Pago 2012 a 2015</t>
  </si>
  <si>
    <t>RAP pago 2012 a 2015</t>
  </si>
  <si>
    <t>Pgmto efetivo 2012 a 2015</t>
  </si>
  <si>
    <t>% Pgmto efetivo 2012 a 2015/Empenhado 2012 a 2015</t>
  </si>
  <si>
    <t>Nível de desempenho ajustado</t>
  </si>
  <si>
    <t>% Pgmto efetivo 2012 a 2015/LOA+Créditos</t>
  </si>
  <si>
    <t>Natureza da meta</t>
  </si>
  <si>
    <t>Processo</t>
  </si>
  <si>
    <t>Amplo</t>
  </si>
  <si>
    <t>Complexidade / esforço</t>
  </si>
  <si>
    <t>Estrutura</t>
  </si>
  <si>
    <t>Resultado</t>
  </si>
  <si>
    <t>Restrito</t>
  </si>
  <si>
    <t>Detalhe da Natureza</t>
  </si>
  <si>
    <t>Atendimento</t>
  </si>
  <si>
    <t>Cobertura</t>
  </si>
  <si>
    <t>Impacto</t>
  </si>
  <si>
    <t>Capacitação</t>
  </si>
  <si>
    <t>Pesquisa</t>
  </si>
  <si>
    <t>Outro fim</t>
  </si>
  <si>
    <t>Outros processos</t>
  </si>
  <si>
    <t>Meta na PAS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</si>
</sst>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009933"/>
      <name val="Arial"/>
      <family val="2"/>
    </font>
    <font>
      <sz val="11"/>
      <color rgb="FF000000"/>
      <name val="Arial"/>
      <family val="2"/>
    </font>
    <font>
      <sz val="11"/>
      <color theme="1"/>
      <name val="Arial"/>
      <family val="2"/>
    </font>
    <font>
      <sz val="11"/>
      <color theme="0"/>
      <name val="Arial"/>
      <family val="2"/>
    </font>
    <font>
      <sz val="11"/>
      <color rgb="FFFF0000"/>
      <name val="Arial"/>
      <family val="2"/>
    </font>
    <font>
      <sz val="11"/>
      <name val="Arial"/>
      <family val="2"/>
    </font>
    <font>
      <vertAlign val="superscript"/>
      <sz val="11"/>
      <name val="Arial"/>
      <family val="2"/>
    </font>
    <font>
      <vertAlign val="subscript"/>
      <sz val="11"/>
      <name val="Arial"/>
      <family val="2"/>
    </font>
    <font>
      <sz val="11"/>
      <color indexed="8"/>
      <name val="Arial"/>
      <family val="2"/>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12">
    <border>
      <left/>
      <right/>
      <top/>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6">
    <xf numFmtId="0" fontId="0" fillId="0" borderId="0" xfId="0"/>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3" fillId="0" borderId="4" xfId="0" applyFont="1" applyBorder="1" applyAlignment="1">
      <alignment horizontal="center" vertical="center"/>
    </xf>
    <xf numFmtId="0" fontId="2" fillId="2" borderId="2"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3" fillId="0" borderId="2" xfId="0" applyFont="1" applyBorder="1" applyAlignment="1">
      <alignment horizontal="center" vertical="center" wrapText="1"/>
    </xf>
    <xf numFmtId="0" fontId="6" fillId="0" borderId="6" xfId="0" applyFont="1" applyFill="1" applyBorder="1" applyAlignment="1">
      <alignment horizontal="center" vertical="center" wrapText="1"/>
    </xf>
    <xf numFmtId="3" fontId="2" fillId="0" borderId="5"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5" xfId="0" applyFont="1" applyFill="1" applyBorder="1" applyAlignment="1">
      <alignment horizontal="center" vertical="center" wrapText="1"/>
    </xf>
    <xf numFmtId="1" fontId="2" fillId="0" borderId="5" xfId="0" applyNumberFormat="1" applyFont="1" applyFill="1" applyBorder="1" applyAlignment="1">
      <alignment horizontal="center" vertical="center" wrapText="1" shrinkToFit="1"/>
    </xf>
    <xf numFmtId="9" fontId="2" fillId="0" borderId="5" xfId="0" applyNumberFormat="1" applyFont="1" applyFill="1" applyBorder="1" applyAlignment="1">
      <alignment horizontal="center" vertical="center" wrapText="1" shrinkToFit="1"/>
    </xf>
    <xf numFmtId="1" fontId="2" fillId="0" borderId="6" xfId="0" applyNumberFormat="1" applyFont="1" applyFill="1" applyBorder="1" applyAlignment="1">
      <alignment horizontal="center" vertical="center" wrapText="1" shrinkToFit="1"/>
    </xf>
    <xf numFmtId="0" fontId="2" fillId="0" borderId="6" xfId="0" applyFont="1" applyFill="1" applyBorder="1" applyAlignment="1">
      <alignment horizontal="center" vertical="center" wrapText="1"/>
    </xf>
    <xf numFmtId="3" fontId="2" fillId="0" borderId="6"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xf>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2" xfId="0" applyFont="1" applyFill="1" applyBorder="1" applyAlignment="1">
      <alignment horizontal="center" vertical="center" wrapText="1"/>
    </xf>
    <xf numFmtId="3" fontId="3" fillId="0" borderId="2" xfId="0" applyNumberFormat="1" applyFont="1" applyBorder="1" applyAlignment="1">
      <alignment horizontal="center" vertical="center"/>
    </xf>
    <xf numFmtId="0" fontId="3" fillId="0" borderId="6" xfId="0" applyFont="1" applyFill="1" applyBorder="1" applyAlignment="1">
      <alignment horizontal="center" vertical="center" wrapText="1"/>
    </xf>
    <xf numFmtId="3" fontId="3" fillId="0" borderId="2" xfId="0" applyNumberFormat="1" applyFont="1" applyBorder="1" applyAlignment="1">
      <alignment horizontal="center" vertical="center" wrapText="1"/>
    </xf>
    <xf numFmtId="3" fontId="2" fillId="0" borderId="2" xfId="0" applyNumberFormat="1" applyFont="1" applyBorder="1" applyAlignment="1">
      <alignment horizontal="center" vertical="center" wrapText="1"/>
    </xf>
    <xf numFmtId="1" fontId="2" fillId="0" borderId="6" xfId="0" applyNumberFormat="1" applyFont="1" applyFill="1" applyBorder="1" applyAlignment="1">
      <alignment horizontal="center" vertical="center" shrinkToFit="1"/>
    </xf>
    <xf numFmtId="3" fontId="2" fillId="0" borderId="5" xfId="0" applyNumberFormat="1" applyFont="1" applyFill="1" applyBorder="1" applyAlignment="1">
      <alignment horizontal="center" vertical="center" shrinkToFit="1"/>
    </xf>
    <xf numFmtId="0" fontId="3" fillId="0" borderId="5" xfId="0" applyFont="1" applyFill="1" applyBorder="1" applyAlignment="1">
      <alignment horizontal="center" vertical="center" wrapText="1"/>
    </xf>
    <xf numFmtId="9" fontId="2" fillId="0" borderId="6" xfId="0" applyNumberFormat="1" applyFont="1" applyFill="1" applyBorder="1" applyAlignment="1">
      <alignment horizontal="center" vertical="center" wrapText="1" shrinkToFit="1"/>
    </xf>
    <xf numFmtId="2" fontId="2" fillId="0" borderId="6" xfId="0" applyNumberFormat="1" applyFont="1" applyFill="1" applyBorder="1" applyAlignment="1">
      <alignment horizontal="center" vertical="center" wrapText="1" shrinkToFit="1"/>
    </xf>
    <xf numFmtId="3" fontId="2" fillId="0" borderId="2" xfId="0" applyNumberFormat="1" applyFont="1" applyFill="1" applyBorder="1" applyAlignment="1">
      <alignment horizontal="center" vertical="center" wrapText="1"/>
    </xf>
    <xf numFmtId="3" fontId="3" fillId="0" borderId="2" xfId="0" applyNumberFormat="1" applyFont="1" applyFill="1" applyBorder="1" applyAlignment="1">
      <alignment horizontal="center" vertical="center" wrapText="1"/>
    </xf>
    <xf numFmtId="3" fontId="3" fillId="2" borderId="2" xfId="0" applyNumberFormat="1" applyFont="1" applyFill="1" applyBorder="1" applyAlignment="1">
      <alignment horizontal="center" vertical="center" wrapText="1"/>
    </xf>
    <xf numFmtId="1" fontId="3" fillId="2" borderId="2" xfId="0" applyNumberFormat="1" applyFont="1" applyFill="1" applyBorder="1" applyAlignment="1">
      <alignment horizontal="center" vertical="center" wrapText="1"/>
    </xf>
    <xf numFmtId="3" fontId="3" fillId="2" borderId="1"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1" fontId="3" fillId="2" borderId="3" xfId="0" applyNumberFormat="1" applyFont="1" applyFill="1" applyBorder="1" applyAlignment="1">
      <alignment horizontal="center" vertical="center" wrapText="1"/>
    </xf>
    <xf numFmtId="1" fontId="3" fillId="2" borderId="0" xfId="0" applyNumberFormat="1" applyFont="1" applyFill="1" applyBorder="1" applyAlignment="1">
      <alignment horizontal="center" vertical="center" wrapText="1"/>
    </xf>
    <xf numFmtId="0" fontId="3" fillId="2" borderId="2" xfId="0" applyNumberFormat="1"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0" xfId="0" applyFont="1" applyFill="1" applyAlignment="1">
      <alignment horizontal="center" vertical="center"/>
    </xf>
    <xf numFmtId="0" fontId="3" fillId="0" borderId="0" xfId="0" applyFont="1" applyAlignment="1">
      <alignment horizontal="left" vertical="center"/>
    </xf>
    <xf numFmtId="3" fontId="9" fillId="3" borderId="2" xfId="0" applyNumberFormat="1" applyFont="1" applyFill="1" applyBorder="1" applyAlignment="1">
      <alignment horizontal="center" vertical="center"/>
    </xf>
    <xf numFmtId="3" fontId="9" fillId="2" borderId="2" xfId="0" applyNumberFormat="1" applyFont="1" applyFill="1" applyBorder="1" applyAlignment="1">
      <alignment horizontal="center" vertical="center"/>
    </xf>
    <xf numFmtId="3" fontId="9" fillId="2" borderId="0" xfId="0" applyNumberFormat="1" applyFont="1" applyFill="1" applyBorder="1" applyAlignment="1">
      <alignment horizontal="center" vertical="center"/>
    </xf>
    <xf numFmtId="3" fontId="9" fillId="3" borderId="8" xfId="0" applyNumberFormat="1" applyFont="1" applyFill="1" applyBorder="1"/>
    <xf numFmtId="0" fontId="3" fillId="0" borderId="0" xfId="0" applyFont="1" applyBorder="1" applyAlignment="1">
      <alignment horizontal="center" vertical="center"/>
    </xf>
    <xf numFmtId="0" fontId="3" fillId="0" borderId="0" xfId="0" applyFont="1" applyBorder="1" applyAlignment="1">
      <alignment horizontal="left" vertical="center"/>
    </xf>
    <xf numFmtId="0" fontId="3" fillId="2" borderId="0" xfId="0" applyFont="1" applyFill="1" applyBorder="1" applyAlignment="1">
      <alignment horizontal="center" vertical="center"/>
    </xf>
    <xf numFmtId="4" fontId="3" fillId="0" borderId="2" xfId="0" applyNumberFormat="1" applyFont="1" applyBorder="1" applyAlignment="1">
      <alignment horizontal="center" vertical="center"/>
    </xf>
    <xf numFmtId="0" fontId="2" fillId="0" borderId="5" xfId="0" applyFont="1" applyBorder="1" applyAlignment="1">
      <alignment horizontal="center" vertical="center" wrapText="1"/>
    </xf>
    <xf numFmtId="0" fontId="6" fillId="0" borderId="2" xfId="0"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3" fontId="3" fillId="0" borderId="7" xfId="0" applyNumberFormat="1" applyFont="1" applyBorder="1" applyAlignment="1">
      <alignment horizontal="center" vertical="center"/>
    </xf>
    <xf numFmtId="3" fontId="3" fillId="0" borderId="7" xfId="0" applyNumberFormat="1" applyFont="1" applyFill="1" applyBorder="1" applyAlignment="1">
      <alignment horizontal="center" vertical="center" wrapText="1"/>
    </xf>
    <xf numFmtId="3" fontId="3" fillId="0" borderId="7" xfId="0" applyNumberFormat="1" applyFont="1" applyBorder="1" applyAlignment="1">
      <alignment horizontal="center" vertical="center" wrapText="1"/>
    </xf>
    <xf numFmtId="0" fontId="1" fillId="0" borderId="4" xfId="0" applyFont="1" applyBorder="1" applyAlignment="1">
      <alignment horizontal="center" vertical="center" wrapText="1"/>
    </xf>
    <xf numFmtId="0" fontId="2" fillId="0" borderId="4" xfId="0" applyFont="1" applyBorder="1" applyAlignment="1">
      <alignment horizontal="center" vertical="center" wrapText="1"/>
    </xf>
    <xf numFmtId="0" fontId="3" fillId="0" borderId="4" xfId="0" applyFont="1" applyBorder="1" applyAlignment="1">
      <alignment horizontal="center" vertical="center" wrapText="1"/>
    </xf>
    <xf numFmtId="0" fontId="5" fillId="0" borderId="4" xfId="0" applyFont="1" applyBorder="1" applyAlignment="1">
      <alignment horizontal="center" vertical="center" wrapText="1"/>
    </xf>
    <xf numFmtId="0" fontId="2" fillId="0" borderId="9" xfId="0" applyFont="1" applyBorder="1" applyAlignment="1">
      <alignment horizontal="center" vertical="center" wrapText="1"/>
    </xf>
    <xf numFmtId="0" fontId="5" fillId="0" borderId="9" xfId="0" applyFont="1" applyBorder="1" applyAlignment="1">
      <alignment horizontal="center" vertical="center" wrapText="1"/>
    </xf>
    <xf numFmtId="0" fontId="1" fillId="0" borderId="9" xfId="0" applyFont="1" applyBorder="1" applyAlignment="1">
      <alignment horizontal="center" vertical="center" wrapText="1"/>
    </xf>
    <xf numFmtId="0" fontId="6" fillId="0" borderId="10"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3" fillId="0" borderId="11" xfId="0" applyFont="1" applyFill="1" applyBorder="1" applyAlignment="1">
      <alignment horizontal="center" vertical="center" wrapText="1"/>
    </xf>
    <xf numFmtId="2" fontId="2" fillId="2" borderId="2" xfId="0" applyNumberFormat="1" applyFont="1" applyFill="1" applyBorder="1" applyAlignment="1">
      <alignment horizontal="center" vertical="center" wrapText="1"/>
    </xf>
    <xf numFmtId="2" fontId="4" fillId="2" borderId="2" xfId="0" applyNumberFormat="1" applyFont="1" applyFill="1" applyBorder="1" applyAlignment="1">
      <alignment horizontal="center" vertical="center" wrapText="1"/>
    </xf>
    <xf numFmtId="2" fontId="3" fillId="2" borderId="2" xfId="0" applyNumberFormat="1" applyFont="1" applyFill="1" applyBorder="1" applyAlignment="1">
      <alignment horizontal="center" vertical="center" wrapText="1"/>
    </xf>
    <xf numFmtId="2" fontId="2" fillId="2" borderId="1" xfId="0" applyNumberFormat="1" applyFont="1" applyFill="1" applyBorder="1" applyAlignment="1">
      <alignment horizontal="center" vertical="center" wrapText="1"/>
    </xf>
    <xf numFmtId="2" fontId="2" fillId="2" borderId="0" xfId="0" applyNumberFormat="1" applyFont="1" applyFill="1" applyBorder="1" applyAlignment="1">
      <alignment horizontal="center" vertical="center" wrapText="1"/>
    </xf>
    <xf numFmtId="2" fontId="4" fillId="2" borderId="3" xfId="0" applyNumberFormat="1" applyFont="1" applyFill="1" applyBorder="1" applyAlignment="1">
      <alignment horizontal="center" vertical="center" wrapText="1"/>
    </xf>
    <xf numFmtId="2" fontId="2" fillId="2" borderId="3" xfId="0" applyNumberFormat="1" applyFont="1" applyFill="1" applyBorder="1" applyAlignment="1">
      <alignment horizontal="center" vertical="center" wrapText="1"/>
    </xf>
    <xf numFmtId="0" fontId="3" fillId="2"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C27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I125"/>
  <sheetViews>
    <sheetView tabSelected="1" zoomScale="90" zoomScaleNormal="90" workbookViewId="0">
      <pane ySplit="1" topLeftCell="A2" activePane="bottomLeft" state="frozen"/>
      <selection pane="bottomLeft" activeCell="C6" sqref="C6"/>
    </sheetView>
  </sheetViews>
  <sheetFormatPr defaultColWidth="8.88671875" defaultRowHeight="24.9" customHeight="1" x14ac:dyDescent="0.3"/>
  <cols>
    <col min="1" max="1" width="9.109375" style="18" customWidth="1"/>
    <col min="2" max="2" width="7.6640625" style="18" customWidth="1"/>
    <col min="3" max="3" width="62.33203125" style="41" customWidth="1"/>
    <col min="4" max="7" width="10.77734375" style="18" customWidth="1"/>
    <col min="8" max="10" width="10.77734375" style="40" customWidth="1"/>
    <col min="11" max="24" width="10.77734375" style="18" customWidth="1"/>
    <col min="25" max="59" width="20.77734375" style="18" customWidth="1"/>
    <col min="60" max="61" width="10.77734375" style="18" customWidth="1"/>
    <col min="62" max="16384" width="8.88671875" style="18"/>
  </cols>
  <sheetData>
    <row r="1" spans="1:61" s="40" customFormat="1" ht="59.4" customHeight="1" x14ac:dyDescent="0.3">
      <c r="A1" s="75" t="s">
        <v>267</v>
      </c>
      <c r="B1" s="75" t="s">
        <v>250</v>
      </c>
      <c r="C1" s="5" t="s">
        <v>0</v>
      </c>
      <c r="D1" s="5" t="s">
        <v>645</v>
      </c>
      <c r="E1" s="5" t="s">
        <v>1</v>
      </c>
      <c r="F1" s="5" t="s">
        <v>2</v>
      </c>
      <c r="G1" s="5" t="s">
        <v>3</v>
      </c>
      <c r="H1" s="5" t="s">
        <v>225</v>
      </c>
      <c r="I1" s="5" t="s">
        <v>628</v>
      </c>
      <c r="J1" s="5" t="s">
        <v>252</v>
      </c>
      <c r="K1" s="39" t="s">
        <v>4</v>
      </c>
      <c r="L1" s="39" t="s">
        <v>630</v>
      </c>
      <c r="M1" s="39" t="s">
        <v>637</v>
      </c>
      <c r="N1" s="39" t="s">
        <v>633</v>
      </c>
      <c r="O1" s="5" t="s">
        <v>389</v>
      </c>
      <c r="P1" s="5" t="s">
        <v>390</v>
      </c>
      <c r="Q1" s="5" t="s">
        <v>391</v>
      </c>
      <c r="R1" s="5" t="s">
        <v>392</v>
      </c>
      <c r="S1" s="5" t="s">
        <v>486</v>
      </c>
      <c r="T1" s="5" t="s">
        <v>487</v>
      </c>
      <c r="U1" s="39" t="s">
        <v>474</v>
      </c>
      <c r="V1" s="39" t="s">
        <v>490</v>
      </c>
      <c r="W1" s="5" t="s">
        <v>488</v>
      </c>
      <c r="X1" s="5" t="s">
        <v>489</v>
      </c>
      <c r="Y1" s="39" t="s">
        <v>606</v>
      </c>
      <c r="Z1" s="39" t="s">
        <v>607</v>
      </c>
      <c r="AA1" s="39" t="s">
        <v>608</v>
      </c>
      <c r="AB1" s="39" t="s">
        <v>609</v>
      </c>
      <c r="AC1" s="39" t="s">
        <v>610</v>
      </c>
      <c r="AD1" s="39" t="s">
        <v>611</v>
      </c>
      <c r="AE1" s="39" t="s">
        <v>612</v>
      </c>
      <c r="AF1" s="39" t="s">
        <v>613</v>
      </c>
      <c r="AG1" s="39" t="s">
        <v>614</v>
      </c>
      <c r="AH1" s="39" t="s">
        <v>615</v>
      </c>
      <c r="AI1" s="39" t="s">
        <v>616</v>
      </c>
      <c r="AJ1" s="39" t="s">
        <v>617</v>
      </c>
      <c r="AK1" s="39" t="s">
        <v>618</v>
      </c>
      <c r="AL1" s="39" t="s">
        <v>619</v>
      </c>
      <c r="AM1" s="39" t="s">
        <v>599</v>
      </c>
      <c r="AN1" s="39" t="s">
        <v>600</v>
      </c>
      <c r="AO1" s="39" t="s">
        <v>601</v>
      </c>
      <c r="AP1" s="39" t="s">
        <v>602</v>
      </c>
      <c r="AQ1" s="39" t="s">
        <v>603</v>
      </c>
      <c r="AR1" s="39" t="s">
        <v>604</v>
      </c>
      <c r="AS1" s="39" t="s">
        <v>605</v>
      </c>
      <c r="AT1" s="39" t="s">
        <v>466</v>
      </c>
      <c r="AU1" s="39" t="s">
        <v>467</v>
      </c>
      <c r="AV1" s="39" t="s">
        <v>468</v>
      </c>
      <c r="AW1" s="39" t="s">
        <v>469</v>
      </c>
      <c r="AX1" s="39" t="s">
        <v>470</v>
      </c>
      <c r="AY1" s="39" t="s">
        <v>471</v>
      </c>
      <c r="AZ1" s="39" t="s">
        <v>472</v>
      </c>
      <c r="BA1" s="39" t="s">
        <v>620</v>
      </c>
      <c r="BB1" s="39" t="s">
        <v>621</v>
      </c>
      <c r="BC1" s="39" t="s">
        <v>622</v>
      </c>
      <c r="BD1" s="39" t="s">
        <v>623</v>
      </c>
      <c r="BE1" s="39" t="s">
        <v>624</v>
      </c>
      <c r="BF1" s="39" t="s">
        <v>625</v>
      </c>
      <c r="BG1" s="39" t="s">
        <v>626</v>
      </c>
      <c r="BH1" s="39" t="s">
        <v>627</v>
      </c>
      <c r="BI1" s="39" t="s">
        <v>629</v>
      </c>
    </row>
    <row r="2" spans="1:61" ht="49.95" customHeight="1" x14ac:dyDescent="0.3">
      <c r="A2" s="19" t="s">
        <v>268</v>
      </c>
      <c r="B2" s="19">
        <v>713</v>
      </c>
      <c r="C2" s="2" t="s">
        <v>5</v>
      </c>
      <c r="D2" s="6" t="s">
        <v>258</v>
      </c>
      <c r="E2" s="24">
        <v>13200</v>
      </c>
      <c r="F2" s="1" t="s">
        <v>6</v>
      </c>
      <c r="G2" s="24">
        <v>18240</v>
      </c>
      <c r="H2" s="68">
        <f t="shared" ref="H2:H20" si="0">G2*100/E2</f>
        <v>138.18181818181819</v>
      </c>
      <c r="I2" s="68">
        <v>100</v>
      </c>
      <c r="J2" s="32">
        <v>5</v>
      </c>
      <c r="K2" s="56"/>
      <c r="L2" s="7" t="s">
        <v>635</v>
      </c>
      <c r="M2" s="7" t="s">
        <v>639</v>
      </c>
      <c r="N2" s="7" t="s">
        <v>632</v>
      </c>
      <c r="O2" s="63" t="s">
        <v>393</v>
      </c>
      <c r="P2" s="6" t="s">
        <v>394</v>
      </c>
      <c r="Q2" s="6" t="s">
        <v>395</v>
      </c>
      <c r="R2" s="9">
        <v>13005000000</v>
      </c>
      <c r="S2" s="10">
        <v>1</v>
      </c>
      <c r="T2" s="10">
        <v>7</v>
      </c>
      <c r="U2" s="4"/>
      <c r="V2" s="4" t="s">
        <v>588</v>
      </c>
      <c r="W2" s="10">
        <v>1</v>
      </c>
      <c r="X2" s="10">
        <v>8</v>
      </c>
      <c r="Y2" s="43">
        <v>8310000000</v>
      </c>
      <c r="Z2" s="43">
        <v>8128167000</v>
      </c>
      <c r="AA2" s="43">
        <v>8128167000</v>
      </c>
      <c r="AB2" s="43">
        <v>8065567432.96</v>
      </c>
      <c r="AC2" s="43">
        <v>8065567432.96</v>
      </c>
      <c r="AD2" s="43">
        <v>0</v>
      </c>
      <c r="AE2" s="43">
        <v>8065567432.96</v>
      </c>
      <c r="AF2" s="43">
        <v>9437758513</v>
      </c>
      <c r="AG2" s="43">
        <v>9097758513</v>
      </c>
      <c r="AH2" s="43">
        <v>9090882507.8299999</v>
      </c>
      <c r="AI2" s="43">
        <v>8799902880.6899986</v>
      </c>
      <c r="AJ2" s="43">
        <v>8799336312.1499996</v>
      </c>
      <c r="AK2" s="43">
        <v>11021735.890000001</v>
      </c>
      <c r="AL2" s="43">
        <v>8810358048.039999</v>
      </c>
      <c r="AM2" s="43">
        <v>11173500000</v>
      </c>
      <c r="AN2" s="43">
        <v>11025043000</v>
      </c>
      <c r="AO2" s="43">
        <v>11017263936.820002</v>
      </c>
      <c r="AP2" s="43">
        <v>10979104161.189999</v>
      </c>
      <c r="AQ2" s="43">
        <v>10977931477.679998</v>
      </c>
      <c r="AR2" s="43">
        <v>285443489.39999998</v>
      </c>
      <c r="AS2" s="43">
        <v>11263374967.079998</v>
      </c>
      <c r="AT2" s="43">
        <v>13005000000</v>
      </c>
      <c r="AU2" s="43">
        <v>12477000000</v>
      </c>
      <c r="AV2" s="43">
        <v>12469221346.609999</v>
      </c>
      <c r="AW2" s="43">
        <v>12340179421.469999</v>
      </c>
      <c r="AX2" s="43">
        <v>12339655066.240002</v>
      </c>
      <c r="AY2" s="43">
        <v>6154583.0899999999</v>
      </c>
      <c r="AZ2" s="43">
        <v>12345809649.330002</v>
      </c>
      <c r="BA2" s="21">
        <f t="shared" ref="BA2:BA33" si="1">SUM(Y2+AF2+AM2+AT2)</f>
        <v>41926258513</v>
      </c>
      <c r="BB2" s="21">
        <f t="shared" ref="BB2:BB33" si="2">SUM(Z2+AG2+AN2+AU2)</f>
        <v>40727968513</v>
      </c>
      <c r="BC2" s="21">
        <f t="shared" ref="BC2:BC33" si="3">SUM(AA2+AH2+AO2+AV2)</f>
        <v>40705534791.260002</v>
      </c>
      <c r="BD2" s="21">
        <f t="shared" ref="BD2:BD33" si="4">SUM(AB2+AI2+AP2+AW2)</f>
        <v>40184753896.309998</v>
      </c>
      <c r="BE2" s="21">
        <f t="shared" ref="BE2:BE33" si="5">SUM(AC2+AJ2+AQ2+AX2)</f>
        <v>40182490289.029999</v>
      </c>
      <c r="BF2" s="21">
        <f t="shared" ref="BF2:BF33" si="6">SUM(AD2+AK2+AR2+AY2)</f>
        <v>302619808.37999994</v>
      </c>
      <c r="BG2" s="21">
        <f t="shared" ref="BG2:BG33" si="7">SUM(AE2+AL2+AS2+AZ2)</f>
        <v>40485110097.410004</v>
      </c>
      <c r="BH2" s="49">
        <f t="shared" ref="BH2:BH33" si="8">BG2*100/BC2</f>
        <v>99.458489625599213</v>
      </c>
      <c r="BI2" s="49">
        <f t="shared" ref="BI2:BI33" si="9">BG2*100/BB2</f>
        <v>99.40370604167876</v>
      </c>
    </row>
    <row r="3" spans="1:61" ht="49.95" customHeight="1" x14ac:dyDescent="0.3">
      <c r="A3" s="19" t="s">
        <v>269</v>
      </c>
      <c r="B3" s="19">
        <v>713</v>
      </c>
      <c r="C3" s="2" t="s">
        <v>7</v>
      </c>
      <c r="D3" s="6" t="s">
        <v>259</v>
      </c>
      <c r="E3" s="24">
        <v>23000</v>
      </c>
      <c r="F3" s="1" t="s">
        <v>8</v>
      </c>
      <c r="G3" s="24">
        <v>16801</v>
      </c>
      <c r="H3" s="68">
        <f t="shared" si="0"/>
        <v>73.047826086956519</v>
      </c>
      <c r="I3" s="68">
        <v>73.047826086956519</v>
      </c>
      <c r="J3" s="32">
        <v>3</v>
      </c>
      <c r="K3" s="56"/>
      <c r="L3" s="7" t="s">
        <v>634</v>
      </c>
      <c r="M3" s="7" t="s">
        <v>638</v>
      </c>
      <c r="N3" s="7" t="s">
        <v>632</v>
      </c>
      <c r="O3" s="63" t="s">
        <v>396</v>
      </c>
      <c r="P3" s="11" t="s">
        <v>397</v>
      </c>
      <c r="Q3" s="6" t="s">
        <v>398</v>
      </c>
      <c r="R3" s="9">
        <v>704630000</v>
      </c>
      <c r="S3" s="10">
        <v>1</v>
      </c>
      <c r="T3" s="10">
        <v>2</v>
      </c>
      <c r="U3" s="4"/>
      <c r="V3" s="4" t="s">
        <v>495</v>
      </c>
      <c r="W3" s="10">
        <v>1</v>
      </c>
      <c r="X3" s="10">
        <v>2</v>
      </c>
      <c r="Y3" s="43">
        <v>498000000</v>
      </c>
      <c r="Z3" s="43">
        <v>942466667</v>
      </c>
      <c r="AA3" s="43">
        <v>556299531.63999999</v>
      </c>
      <c r="AB3" s="43">
        <v>110314380.27000001</v>
      </c>
      <c r="AC3" s="43">
        <v>110314380.27000001</v>
      </c>
      <c r="AD3" s="43">
        <v>0</v>
      </c>
      <c r="AE3" s="43">
        <v>110314380.27000001</v>
      </c>
      <c r="AF3" s="43">
        <v>1299700000</v>
      </c>
      <c r="AG3" s="43">
        <v>643700000</v>
      </c>
      <c r="AH3" s="43">
        <v>642602676.99000001</v>
      </c>
      <c r="AI3" s="43">
        <v>479734836</v>
      </c>
      <c r="AJ3" s="43">
        <v>479734836</v>
      </c>
      <c r="AK3" s="43">
        <v>207930623.66</v>
      </c>
      <c r="AL3" s="43">
        <v>687665459.65999997</v>
      </c>
      <c r="AM3" s="43">
        <v>1578072000</v>
      </c>
      <c r="AN3" s="43">
        <v>1116072000</v>
      </c>
      <c r="AO3" s="43">
        <v>836918382</v>
      </c>
      <c r="AP3" s="43">
        <v>835499505.33000004</v>
      </c>
      <c r="AQ3" s="43">
        <v>835499505.33000004</v>
      </c>
      <c r="AR3" s="43">
        <v>217523956.06999999</v>
      </c>
      <c r="AS3" s="43">
        <v>1053023461.4000001</v>
      </c>
      <c r="AT3" s="43">
        <v>634167000</v>
      </c>
      <c r="AU3" s="43">
        <v>716464712</v>
      </c>
      <c r="AV3" s="43">
        <v>456246115.99000001</v>
      </c>
      <c r="AW3" s="43">
        <v>437412530</v>
      </c>
      <c r="AX3" s="43">
        <v>437412530</v>
      </c>
      <c r="AY3" s="43">
        <v>50068665.640000001</v>
      </c>
      <c r="AZ3" s="43">
        <v>487481195.63999999</v>
      </c>
      <c r="BA3" s="21">
        <f t="shared" si="1"/>
        <v>4009939000</v>
      </c>
      <c r="BB3" s="21">
        <f t="shared" si="2"/>
        <v>3418703379</v>
      </c>
      <c r="BC3" s="21">
        <f t="shared" si="3"/>
        <v>2492066706.6199999</v>
      </c>
      <c r="BD3" s="21">
        <f t="shared" si="4"/>
        <v>1862961251.5999999</v>
      </c>
      <c r="BE3" s="21">
        <f t="shared" si="5"/>
        <v>1862961251.5999999</v>
      </c>
      <c r="BF3" s="21">
        <f t="shared" si="6"/>
        <v>475523245.37</v>
      </c>
      <c r="BG3" s="21">
        <f t="shared" si="7"/>
        <v>2338484496.9699998</v>
      </c>
      <c r="BH3" s="49">
        <f t="shared" si="8"/>
        <v>93.837154950867898</v>
      </c>
      <c r="BI3" s="49">
        <f t="shared" si="9"/>
        <v>68.402673110939105</v>
      </c>
    </row>
    <row r="4" spans="1:61" ht="49.95" customHeight="1" x14ac:dyDescent="0.3">
      <c r="A4" s="19" t="s">
        <v>270</v>
      </c>
      <c r="B4" s="19">
        <v>713</v>
      </c>
      <c r="C4" s="2" t="s">
        <v>9</v>
      </c>
      <c r="D4" s="6" t="s">
        <v>260</v>
      </c>
      <c r="E4" s="24">
        <v>284200</v>
      </c>
      <c r="F4" s="1" t="s">
        <v>10</v>
      </c>
      <c r="G4" s="24">
        <v>266217</v>
      </c>
      <c r="H4" s="68">
        <f t="shared" si="0"/>
        <v>93.672413793103445</v>
      </c>
      <c r="I4" s="68">
        <v>93.672413793103445</v>
      </c>
      <c r="J4" s="32">
        <v>4</v>
      </c>
      <c r="K4" s="56"/>
      <c r="L4" s="7" t="s">
        <v>635</v>
      </c>
      <c r="M4" s="7" t="s">
        <v>639</v>
      </c>
      <c r="N4" s="7" t="s">
        <v>632</v>
      </c>
      <c r="O4" s="63" t="s">
        <v>399</v>
      </c>
      <c r="P4" s="9">
        <v>1831</v>
      </c>
      <c r="Q4" s="6" t="s">
        <v>400</v>
      </c>
      <c r="R4" s="9">
        <v>13005000000</v>
      </c>
      <c r="S4" s="10">
        <v>1</v>
      </c>
      <c r="T4" s="10">
        <v>7</v>
      </c>
      <c r="U4" s="4"/>
      <c r="V4" s="4" t="s">
        <v>588</v>
      </c>
      <c r="W4" s="10">
        <v>1</v>
      </c>
      <c r="X4" s="10">
        <v>8</v>
      </c>
      <c r="Y4" s="43">
        <v>8310000000</v>
      </c>
      <c r="Z4" s="43">
        <v>8128167000</v>
      </c>
      <c r="AA4" s="43">
        <v>8128167000</v>
      </c>
      <c r="AB4" s="43">
        <v>8065567432.96</v>
      </c>
      <c r="AC4" s="43">
        <v>8065567432.96</v>
      </c>
      <c r="AD4" s="43">
        <v>0</v>
      </c>
      <c r="AE4" s="43">
        <v>8065567432.96</v>
      </c>
      <c r="AF4" s="43">
        <v>9437758513</v>
      </c>
      <c r="AG4" s="43">
        <v>9097758513</v>
      </c>
      <c r="AH4" s="43">
        <v>9090882507.8299999</v>
      </c>
      <c r="AI4" s="43">
        <v>8799902880.6899986</v>
      </c>
      <c r="AJ4" s="43">
        <v>8799336312.1499996</v>
      </c>
      <c r="AK4" s="43">
        <v>11021735.890000001</v>
      </c>
      <c r="AL4" s="43">
        <v>8810358048.039999</v>
      </c>
      <c r="AM4" s="43">
        <v>11173500000</v>
      </c>
      <c r="AN4" s="43">
        <v>11025043000</v>
      </c>
      <c r="AO4" s="43">
        <v>11017263936.820002</v>
      </c>
      <c r="AP4" s="43">
        <v>10979104161.189999</v>
      </c>
      <c r="AQ4" s="43">
        <v>10977931477.679998</v>
      </c>
      <c r="AR4" s="43">
        <v>285443489.39999998</v>
      </c>
      <c r="AS4" s="43">
        <v>11263374967.079998</v>
      </c>
      <c r="AT4" s="43">
        <v>13005000000</v>
      </c>
      <c r="AU4" s="43">
        <v>12477000000</v>
      </c>
      <c r="AV4" s="43">
        <v>12469221346.609999</v>
      </c>
      <c r="AW4" s="43">
        <v>12340179421.469999</v>
      </c>
      <c r="AX4" s="43">
        <v>12339655066.240002</v>
      </c>
      <c r="AY4" s="43">
        <v>6154583.0899999999</v>
      </c>
      <c r="AZ4" s="43">
        <v>12345809649.330002</v>
      </c>
      <c r="BA4" s="21">
        <f t="shared" si="1"/>
        <v>41926258513</v>
      </c>
      <c r="BB4" s="21">
        <f t="shared" si="2"/>
        <v>40727968513</v>
      </c>
      <c r="BC4" s="21">
        <f t="shared" si="3"/>
        <v>40705534791.260002</v>
      </c>
      <c r="BD4" s="21">
        <f t="shared" si="4"/>
        <v>40184753896.309998</v>
      </c>
      <c r="BE4" s="21">
        <f t="shared" si="5"/>
        <v>40182490289.029999</v>
      </c>
      <c r="BF4" s="21">
        <f t="shared" si="6"/>
        <v>302619808.37999994</v>
      </c>
      <c r="BG4" s="21">
        <f t="shared" si="7"/>
        <v>40485110097.410004</v>
      </c>
      <c r="BH4" s="49">
        <f t="shared" si="8"/>
        <v>99.458489625599213</v>
      </c>
      <c r="BI4" s="49">
        <f t="shared" si="9"/>
        <v>99.40370604167876</v>
      </c>
    </row>
    <row r="5" spans="1:61" ht="49.95" customHeight="1" x14ac:dyDescent="0.3">
      <c r="A5" s="19" t="s">
        <v>271</v>
      </c>
      <c r="B5" s="19">
        <v>713</v>
      </c>
      <c r="C5" s="2" t="s">
        <v>11</v>
      </c>
      <c r="D5" s="6" t="s">
        <v>260</v>
      </c>
      <c r="E5" s="24">
        <v>24900</v>
      </c>
      <c r="F5" s="1" t="s">
        <v>12</v>
      </c>
      <c r="G5" s="24">
        <v>24467</v>
      </c>
      <c r="H5" s="68">
        <f t="shared" si="0"/>
        <v>98.261044176706832</v>
      </c>
      <c r="I5" s="68">
        <v>98.261044176706832</v>
      </c>
      <c r="J5" s="32">
        <v>4</v>
      </c>
      <c r="K5" s="56"/>
      <c r="L5" s="7" t="s">
        <v>635</v>
      </c>
      <c r="M5" s="7" t="s">
        <v>639</v>
      </c>
      <c r="N5" s="7" t="s">
        <v>632</v>
      </c>
      <c r="O5" s="63" t="s">
        <v>401</v>
      </c>
      <c r="P5" s="9">
        <v>1000</v>
      </c>
      <c r="Q5" s="6" t="s">
        <v>400</v>
      </c>
      <c r="R5" s="9">
        <v>13005000000</v>
      </c>
      <c r="S5" s="10">
        <v>1</v>
      </c>
      <c r="T5" s="10">
        <v>7</v>
      </c>
      <c r="U5" s="4"/>
      <c r="V5" s="4" t="s">
        <v>588</v>
      </c>
      <c r="W5" s="10">
        <v>1</v>
      </c>
      <c r="X5" s="10">
        <v>8</v>
      </c>
      <c r="Y5" s="43">
        <v>8310000000</v>
      </c>
      <c r="Z5" s="43">
        <v>8128167000</v>
      </c>
      <c r="AA5" s="43">
        <v>8128167000</v>
      </c>
      <c r="AB5" s="43">
        <v>8065567432.96</v>
      </c>
      <c r="AC5" s="43">
        <v>8065567432.96</v>
      </c>
      <c r="AD5" s="43">
        <v>0</v>
      </c>
      <c r="AE5" s="43">
        <v>8065567432.96</v>
      </c>
      <c r="AF5" s="43">
        <v>9437758513</v>
      </c>
      <c r="AG5" s="43">
        <v>9097758513</v>
      </c>
      <c r="AH5" s="43">
        <v>9090882507.8299999</v>
      </c>
      <c r="AI5" s="43">
        <v>8799902880.6899986</v>
      </c>
      <c r="AJ5" s="43">
        <v>8799336312.1499996</v>
      </c>
      <c r="AK5" s="43">
        <v>11021735.890000001</v>
      </c>
      <c r="AL5" s="43">
        <v>8810358048.039999</v>
      </c>
      <c r="AM5" s="43">
        <v>11173500000</v>
      </c>
      <c r="AN5" s="43">
        <v>11025043000</v>
      </c>
      <c r="AO5" s="43">
        <v>11017263936.820002</v>
      </c>
      <c r="AP5" s="43">
        <v>10979104161.189999</v>
      </c>
      <c r="AQ5" s="43">
        <v>10977931477.679998</v>
      </c>
      <c r="AR5" s="43">
        <v>285443489.39999998</v>
      </c>
      <c r="AS5" s="43">
        <v>11263374967.079998</v>
      </c>
      <c r="AT5" s="43">
        <v>13005000000</v>
      </c>
      <c r="AU5" s="43">
        <v>12477000000</v>
      </c>
      <c r="AV5" s="43">
        <v>12469221346.609999</v>
      </c>
      <c r="AW5" s="43">
        <v>12340179421.469999</v>
      </c>
      <c r="AX5" s="43">
        <v>12339655066.240002</v>
      </c>
      <c r="AY5" s="43">
        <v>6154583.0899999999</v>
      </c>
      <c r="AZ5" s="43">
        <v>12345809649.330002</v>
      </c>
      <c r="BA5" s="21">
        <f t="shared" si="1"/>
        <v>41926258513</v>
      </c>
      <c r="BB5" s="21">
        <f t="shared" si="2"/>
        <v>40727968513</v>
      </c>
      <c r="BC5" s="21">
        <f t="shared" si="3"/>
        <v>40705534791.260002</v>
      </c>
      <c r="BD5" s="21">
        <f t="shared" si="4"/>
        <v>40184753896.309998</v>
      </c>
      <c r="BE5" s="21">
        <f t="shared" si="5"/>
        <v>40182490289.029999</v>
      </c>
      <c r="BF5" s="21">
        <f t="shared" si="6"/>
        <v>302619808.37999994</v>
      </c>
      <c r="BG5" s="21">
        <f t="shared" si="7"/>
        <v>40485110097.410004</v>
      </c>
      <c r="BH5" s="49">
        <f t="shared" si="8"/>
        <v>99.458489625599213</v>
      </c>
      <c r="BI5" s="49">
        <f t="shared" si="9"/>
        <v>99.40370604167876</v>
      </c>
    </row>
    <row r="6" spans="1:61" ht="49.95" customHeight="1" x14ac:dyDescent="0.3">
      <c r="A6" s="19" t="s">
        <v>272</v>
      </c>
      <c r="B6" s="19">
        <v>713</v>
      </c>
      <c r="C6" s="2" t="s">
        <v>13</v>
      </c>
      <c r="D6" s="6" t="s">
        <v>260</v>
      </c>
      <c r="E6" s="24">
        <v>40400</v>
      </c>
      <c r="F6" s="1" t="s">
        <v>14</v>
      </c>
      <c r="G6" s="24">
        <v>40162</v>
      </c>
      <c r="H6" s="68">
        <f t="shared" si="0"/>
        <v>99.410891089108915</v>
      </c>
      <c r="I6" s="68">
        <v>99.410891089108915</v>
      </c>
      <c r="J6" s="32">
        <v>4</v>
      </c>
      <c r="K6" s="56"/>
      <c r="L6" s="7" t="s">
        <v>635</v>
      </c>
      <c r="M6" s="7" t="s">
        <v>639</v>
      </c>
      <c r="N6" s="7" t="s">
        <v>632</v>
      </c>
      <c r="O6" s="63" t="s">
        <v>402</v>
      </c>
      <c r="P6" s="9">
        <v>1431</v>
      </c>
      <c r="Q6" s="6" t="s">
        <v>400</v>
      </c>
      <c r="R6" s="9">
        <v>13005000000</v>
      </c>
      <c r="S6" s="10">
        <v>1</v>
      </c>
      <c r="T6" s="10">
        <v>7</v>
      </c>
      <c r="U6" s="4"/>
      <c r="V6" s="4" t="s">
        <v>588</v>
      </c>
      <c r="W6" s="10">
        <v>1</v>
      </c>
      <c r="X6" s="10">
        <v>8</v>
      </c>
      <c r="Y6" s="43">
        <v>8310000000</v>
      </c>
      <c r="Z6" s="43">
        <v>8128167000</v>
      </c>
      <c r="AA6" s="43">
        <v>8128167000</v>
      </c>
      <c r="AB6" s="43">
        <v>8065567432.96</v>
      </c>
      <c r="AC6" s="43">
        <v>8065567432.96</v>
      </c>
      <c r="AD6" s="43">
        <v>0</v>
      </c>
      <c r="AE6" s="43">
        <v>8065567432.96</v>
      </c>
      <c r="AF6" s="43">
        <v>9437758513</v>
      </c>
      <c r="AG6" s="43">
        <v>9097758513</v>
      </c>
      <c r="AH6" s="43">
        <v>9090882507.8299999</v>
      </c>
      <c r="AI6" s="43">
        <v>8799902880.6899986</v>
      </c>
      <c r="AJ6" s="43">
        <v>8799336312.1499996</v>
      </c>
      <c r="AK6" s="43">
        <v>11021735.890000001</v>
      </c>
      <c r="AL6" s="43">
        <v>8810358048.039999</v>
      </c>
      <c r="AM6" s="43">
        <v>11173500000</v>
      </c>
      <c r="AN6" s="43">
        <v>11025043000</v>
      </c>
      <c r="AO6" s="43">
        <v>11017263936.820002</v>
      </c>
      <c r="AP6" s="43">
        <v>10979104161.189999</v>
      </c>
      <c r="AQ6" s="43">
        <v>10977931477.679998</v>
      </c>
      <c r="AR6" s="43">
        <v>285443489.39999998</v>
      </c>
      <c r="AS6" s="43">
        <v>11263374967.079998</v>
      </c>
      <c r="AT6" s="43">
        <v>13005000000</v>
      </c>
      <c r="AU6" s="43">
        <v>12477000000</v>
      </c>
      <c r="AV6" s="43">
        <v>12469221346.609999</v>
      </c>
      <c r="AW6" s="43">
        <v>12340179421.469999</v>
      </c>
      <c r="AX6" s="43">
        <v>12339655066.240002</v>
      </c>
      <c r="AY6" s="43">
        <v>6154583.0899999999</v>
      </c>
      <c r="AZ6" s="43">
        <v>12345809649.330002</v>
      </c>
      <c r="BA6" s="21">
        <f t="shared" si="1"/>
        <v>41926258513</v>
      </c>
      <c r="BB6" s="21">
        <f t="shared" si="2"/>
        <v>40727968513</v>
      </c>
      <c r="BC6" s="21">
        <f t="shared" si="3"/>
        <v>40705534791.260002</v>
      </c>
      <c r="BD6" s="21">
        <f t="shared" si="4"/>
        <v>40184753896.309998</v>
      </c>
      <c r="BE6" s="21">
        <f t="shared" si="5"/>
        <v>40182490289.029999</v>
      </c>
      <c r="BF6" s="21">
        <f t="shared" si="6"/>
        <v>302619808.37999994</v>
      </c>
      <c r="BG6" s="21">
        <f t="shared" si="7"/>
        <v>40485110097.410004</v>
      </c>
      <c r="BH6" s="49">
        <f t="shared" si="8"/>
        <v>99.458489625599213</v>
      </c>
      <c r="BI6" s="49">
        <f t="shared" si="9"/>
        <v>99.40370604167876</v>
      </c>
    </row>
    <row r="7" spans="1:61" ht="49.95" customHeight="1" x14ac:dyDescent="0.3">
      <c r="A7" s="19" t="s">
        <v>273</v>
      </c>
      <c r="B7" s="19">
        <v>713</v>
      </c>
      <c r="C7" s="2" t="s">
        <v>15</v>
      </c>
      <c r="D7" s="6" t="s">
        <v>260</v>
      </c>
      <c r="E7" s="24">
        <v>30800</v>
      </c>
      <c r="F7" s="1" t="s">
        <v>16</v>
      </c>
      <c r="G7" s="24">
        <v>23693</v>
      </c>
      <c r="H7" s="68">
        <f t="shared" si="0"/>
        <v>76.925324675324674</v>
      </c>
      <c r="I7" s="68">
        <v>76.925324675324674</v>
      </c>
      <c r="J7" s="32">
        <v>4</v>
      </c>
      <c r="K7" s="56"/>
      <c r="L7" s="7" t="s">
        <v>635</v>
      </c>
      <c r="M7" s="7" t="s">
        <v>639</v>
      </c>
      <c r="N7" s="7" t="s">
        <v>632</v>
      </c>
      <c r="O7" s="63" t="s">
        <v>403</v>
      </c>
      <c r="P7" s="6" t="s">
        <v>404</v>
      </c>
      <c r="Q7" s="11" t="s">
        <v>405</v>
      </c>
      <c r="R7" s="11" t="s">
        <v>406</v>
      </c>
      <c r="S7" s="10">
        <v>2</v>
      </c>
      <c r="T7" s="10" t="s">
        <v>407</v>
      </c>
      <c r="U7" s="4"/>
      <c r="V7" s="4" t="s">
        <v>590</v>
      </c>
      <c r="W7" s="10">
        <v>2</v>
      </c>
      <c r="X7" s="10" t="s">
        <v>407</v>
      </c>
      <c r="Y7" s="43">
        <f>33865455227+74000000</f>
        <v>33939455227</v>
      </c>
      <c r="Z7" s="43">
        <f>34113964898+80666667</f>
        <v>34194631565</v>
      </c>
      <c r="AA7" s="43">
        <f>34095456762.36+32511555</f>
        <v>34127968317.360001</v>
      </c>
      <c r="AB7" s="43">
        <f>33291071177.96+1407688.8</f>
        <v>33292478866.759998</v>
      </c>
      <c r="AC7" s="43">
        <f>33230236496.19+1407688.8</f>
        <v>33231644184.989998</v>
      </c>
      <c r="AD7" s="43">
        <f>0+0</f>
        <v>0</v>
      </c>
      <c r="AE7" s="43">
        <f>33230236496.19+1407688.8</f>
        <v>33231644184.989998</v>
      </c>
      <c r="AF7" s="43">
        <f>35608777455+70000000</f>
        <v>35678777455</v>
      </c>
      <c r="AG7" s="43">
        <f>34763826454+58000000</f>
        <v>34821826454</v>
      </c>
      <c r="AH7" s="43">
        <f>34737046259.07+34866096.84</f>
        <v>34771912355.909996</v>
      </c>
      <c r="AI7" s="43">
        <f>34216763113.84+1799975.24</f>
        <v>34218563089.080002</v>
      </c>
      <c r="AJ7" s="43">
        <f>34166290211.64+1799975.24</f>
        <v>34168090186.880001</v>
      </c>
      <c r="AK7" s="43">
        <f>549147346.24+8439774.29</f>
        <v>557587120.52999997</v>
      </c>
      <c r="AL7" s="43">
        <f>34715437557.88+10239749.53</f>
        <v>34725677307.409996</v>
      </c>
      <c r="AM7" s="43">
        <f>36303600000+61250000</f>
        <v>36364850000</v>
      </c>
      <c r="AN7" s="43">
        <f>39172540850+42875000</f>
        <v>39215415850</v>
      </c>
      <c r="AO7" s="43">
        <f>39157371246.76+25658033.96</f>
        <v>39183029280.720001</v>
      </c>
      <c r="AP7" s="43">
        <f>38849537156.82+14308894.46</f>
        <v>38863846051.279999</v>
      </c>
      <c r="AQ7" s="43">
        <f>38749594634.48+14308894.46</f>
        <v>38763903528.940002</v>
      </c>
      <c r="AR7" s="43">
        <f>452022604.15+20816551.13</f>
        <v>472839155.27999997</v>
      </c>
      <c r="AS7" s="43">
        <f>39201617238.63+35125445.59</f>
        <v>39236742684.219994</v>
      </c>
      <c r="AT7" s="43">
        <f>43817796512+54200000</f>
        <v>43871996512</v>
      </c>
      <c r="AU7" s="43">
        <f>43142321717+54200000</f>
        <v>43196521717</v>
      </c>
      <c r="AV7" s="43">
        <f>43132910999.14+16375879.99</f>
        <v>43149286879.129997</v>
      </c>
      <c r="AW7" s="43">
        <f>42765336857.47+15156804.99</f>
        <v>42780493662.459999</v>
      </c>
      <c r="AX7" s="43">
        <f>42602282063.73+15156804.99</f>
        <v>42617438868.720001</v>
      </c>
      <c r="AY7" s="43">
        <f>267730805.2+10677203.18</f>
        <v>278408008.38</v>
      </c>
      <c r="AZ7" s="43">
        <f>42870012868.93+25834008.17</f>
        <v>42895846877.099998</v>
      </c>
      <c r="BA7" s="21">
        <f t="shared" si="1"/>
        <v>149855079194</v>
      </c>
      <c r="BB7" s="21">
        <f t="shared" si="2"/>
        <v>151428395586</v>
      </c>
      <c r="BC7" s="21">
        <f t="shared" si="3"/>
        <v>151232196833.12</v>
      </c>
      <c r="BD7" s="21">
        <f t="shared" si="4"/>
        <v>149155381669.57999</v>
      </c>
      <c r="BE7" s="21">
        <f t="shared" si="5"/>
        <v>148781076769.53</v>
      </c>
      <c r="BF7" s="21">
        <f t="shared" si="6"/>
        <v>1308834284.1900001</v>
      </c>
      <c r="BG7" s="21">
        <f t="shared" si="7"/>
        <v>150089911053.72</v>
      </c>
      <c r="BH7" s="49">
        <f t="shared" si="8"/>
        <v>99.244680826358376</v>
      </c>
      <c r="BI7" s="49">
        <f t="shared" si="9"/>
        <v>99.116094093779239</v>
      </c>
    </row>
    <row r="8" spans="1:61" ht="49.95" customHeight="1" x14ac:dyDescent="0.3">
      <c r="A8" s="19" t="s">
        <v>274</v>
      </c>
      <c r="B8" s="19">
        <v>713</v>
      </c>
      <c r="C8" s="2" t="s">
        <v>17</v>
      </c>
      <c r="D8" s="1" t="s">
        <v>261</v>
      </c>
      <c r="E8" s="24">
        <v>7970</v>
      </c>
      <c r="F8" s="1" t="s">
        <v>18</v>
      </c>
      <c r="G8" s="24">
        <v>4382</v>
      </c>
      <c r="H8" s="68">
        <f t="shared" si="0"/>
        <v>54.981179422835631</v>
      </c>
      <c r="I8" s="68">
        <v>54.981179422835631</v>
      </c>
      <c r="J8" s="32">
        <v>3</v>
      </c>
      <c r="K8" s="57" t="s">
        <v>19</v>
      </c>
      <c r="L8" s="7" t="s">
        <v>631</v>
      </c>
      <c r="M8" s="7" t="s">
        <v>641</v>
      </c>
      <c r="N8" s="7" t="s">
        <v>632</v>
      </c>
      <c r="O8" s="63" t="s">
        <v>497</v>
      </c>
      <c r="P8" s="9">
        <v>1800</v>
      </c>
      <c r="Q8" s="6" t="s">
        <v>414</v>
      </c>
      <c r="R8" s="9">
        <v>126000000</v>
      </c>
      <c r="S8" s="10">
        <v>1</v>
      </c>
      <c r="T8" s="10">
        <v>1</v>
      </c>
      <c r="U8" s="4"/>
      <c r="V8" s="4">
        <v>8721</v>
      </c>
      <c r="W8" s="10">
        <v>1</v>
      </c>
      <c r="X8" s="10">
        <v>1</v>
      </c>
      <c r="Y8" s="43">
        <v>100000000</v>
      </c>
      <c r="Z8" s="43">
        <v>122041333</v>
      </c>
      <c r="AA8" s="43">
        <v>77947169.359999999</v>
      </c>
      <c r="AB8" s="43">
        <v>73754410.819999993</v>
      </c>
      <c r="AC8" s="43">
        <v>73754410.819999993</v>
      </c>
      <c r="AD8" s="43">
        <v>0</v>
      </c>
      <c r="AE8" s="43">
        <v>73754410.819999993</v>
      </c>
      <c r="AF8" s="43">
        <v>234500000</v>
      </c>
      <c r="AG8" s="43">
        <v>164150001</v>
      </c>
      <c r="AH8" s="43">
        <v>62625630.439999998</v>
      </c>
      <c r="AI8" s="43">
        <v>45540228.349999994</v>
      </c>
      <c r="AJ8" s="43">
        <v>45540228.349999994</v>
      </c>
      <c r="AK8" s="43">
        <v>3067408.91</v>
      </c>
      <c r="AL8" s="43">
        <v>48607637.25999999</v>
      </c>
      <c r="AM8" s="43">
        <v>136000000</v>
      </c>
      <c r="AN8" s="43">
        <v>95200000</v>
      </c>
      <c r="AO8" s="43">
        <v>80271437.370000005</v>
      </c>
      <c r="AP8" s="43">
        <v>60871566.350000001</v>
      </c>
      <c r="AQ8" s="43">
        <v>60871566.350000001</v>
      </c>
      <c r="AR8" s="43">
        <v>15031562.6</v>
      </c>
      <c r="AS8" s="43">
        <v>75903128.950000003</v>
      </c>
      <c r="AT8" s="43">
        <v>120800000</v>
      </c>
      <c r="AU8" s="43">
        <v>79400000</v>
      </c>
      <c r="AV8" s="43">
        <v>57903027.61999999</v>
      </c>
      <c r="AW8" s="43">
        <v>48280015.950000003</v>
      </c>
      <c r="AX8" s="43">
        <v>48280015.950000003</v>
      </c>
      <c r="AY8" s="43">
        <v>16003464.26</v>
      </c>
      <c r="AZ8" s="43">
        <v>64283480.210000001</v>
      </c>
      <c r="BA8" s="21">
        <f t="shared" si="1"/>
        <v>591300000</v>
      </c>
      <c r="BB8" s="21">
        <f t="shared" si="2"/>
        <v>460791334</v>
      </c>
      <c r="BC8" s="21">
        <f t="shared" si="3"/>
        <v>278747264.79000002</v>
      </c>
      <c r="BD8" s="21">
        <f t="shared" si="4"/>
        <v>228446221.46999997</v>
      </c>
      <c r="BE8" s="21">
        <f t="shared" si="5"/>
        <v>228446221.46999997</v>
      </c>
      <c r="BF8" s="21">
        <f t="shared" si="6"/>
        <v>34102435.769999996</v>
      </c>
      <c r="BG8" s="21">
        <f t="shared" si="7"/>
        <v>262548657.23999998</v>
      </c>
      <c r="BH8" s="49">
        <f t="shared" si="8"/>
        <v>94.188783318751618</v>
      </c>
      <c r="BI8" s="49">
        <f t="shared" si="9"/>
        <v>56.977776678412958</v>
      </c>
    </row>
    <row r="9" spans="1:61" ht="49.95" customHeight="1" x14ac:dyDescent="0.3">
      <c r="A9" s="19" t="s">
        <v>275</v>
      </c>
      <c r="B9" s="19">
        <v>713</v>
      </c>
      <c r="C9" s="2" t="s">
        <v>20</v>
      </c>
      <c r="D9" s="6" t="s">
        <v>260</v>
      </c>
      <c r="E9" s="24">
        <v>1</v>
      </c>
      <c r="F9" s="1" t="s">
        <v>21</v>
      </c>
      <c r="G9" s="24">
        <v>0</v>
      </c>
      <c r="H9" s="69">
        <f t="shared" si="0"/>
        <v>0</v>
      </c>
      <c r="I9" s="69">
        <v>0</v>
      </c>
      <c r="J9" s="32">
        <v>1</v>
      </c>
      <c r="K9" s="57" t="s">
        <v>22</v>
      </c>
      <c r="L9" s="7" t="s">
        <v>634</v>
      </c>
      <c r="M9" s="7" t="s">
        <v>638</v>
      </c>
      <c r="N9" s="7" t="s">
        <v>636</v>
      </c>
      <c r="O9" s="63" t="s">
        <v>408</v>
      </c>
      <c r="P9" s="6" t="s">
        <v>409</v>
      </c>
      <c r="Q9" s="6" t="s">
        <v>410</v>
      </c>
      <c r="R9" s="9">
        <v>56000000</v>
      </c>
      <c r="S9" s="10">
        <v>1</v>
      </c>
      <c r="T9" s="10">
        <v>1</v>
      </c>
      <c r="U9" s="4"/>
      <c r="V9" s="4" t="s">
        <v>491</v>
      </c>
      <c r="W9" s="10">
        <v>1</v>
      </c>
      <c r="X9" s="10">
        <v>1</v>
      </c>
      <c r="Y9" s="43">
        <v>52400000</v>
      </c>
      <c r="Z9" s="43">
        <v>73150000</v>
      </c>
      <c r="AA9" s="43">
        <v>50400000</v>
      </c>
      <c r="AB9" s="43">
        <v>0</v>
      </c>
      <c r="AC9" s="43">
        <v>0</v>
      </c>
      <c r="AD9" s="30">
        <v>0</v>
      </c>
      <c r="AE9" s="30">
        <v>0</v>
      </c>
      <c r="AF9" s="43">
        <v>55250000</v>
      </c>
      <c r="AG9" s="43">
        <v>55250000</v>
      </c>
      <c r="AH9" s="43">
        <v>36593772.920000002</v>
      </c>
      <c r="AI9" s="43">
        <v>1593772.92</v>
      </c>
      <c r="AJ9" s="43">
        <v>1593772.92</v>
      </c>
      <c r="AK9" s="43">
        <v>715891.9</v>
      </c>
      <c r="AL9" s="43">
        <v>2309664.8199999998</v>
      </c>
      <c r="AM9" s="43">
        <v>53450000</v>
      </c>
      <c r="AN9" s="43">
        <v>37415000</v>
      </c>
      <c r="AO9" s="43">
        <v>29396806.010000002</v>
      </c>
      <c r="AP9" s="43">
        <v>947131.26</v>
      </c>
      <c r="AQ9" s="43">
        <v>329942.46000000002</v>
      </c>
      <c r="AR9" s="43">
        <v>23857344.09</v>
      </c>
      <c r="AS9" s="43">
        <v>24187286.550000001</v>
      </c>
      <c r="AT9" s="43">
        <v>56000000</v>
      </c>
      <c r="AU9" s="43">
        <v>6000000</v>
      </c>
      <c r="AV9" s="43">
        <v>1296663.71</v>
      </c>
      <c r="AW9" s="43">
        <v>1124030.4099999999</v>
      </c>
      <c r="AX9" s="43">
        <v>1124030.4099999999</v>
      </c>
      <c r="AY9" s="43">
        <v>13939422.59</v>
      </c>
      <c r="AZ9" s="43">
        <v>15063453</v>
      </c>
      <c r="BA9" s="21">
        <f t="shared" si="1"/>
        <v>217100000</v>
      </c>
      <c r="BB9" s="21">
        <f t="shared" si="2"/>
        <v>171815000</v>
      </c>
      <c r="BC9" s="21">
        <f t="shared" si="3"/>
        <v>117687242.64</v>
      </c>
      <c r="BD9" s="21">
        <f t="shared" si="4"/>
        <v>3664934.59</v>
      </c>
      <c r="BE9" s="21">
        <f t="shared" si="5"/>
        <v>3047745.79</v>
      </c>
      <c r="BF9" s="21">
        <f t="shared" si="6"/>
        <v>38512658.579999998</v>
      </c>
      <c r="BG9" s="21">
        <f t="shared" si="7"/>
        <v>41560404.370000005</v>
      </c>
      <c r="BH9" s="49">
        <f t="shared" si="8"/>
        <v>35.314281682281759</v>
      </c>
      <c r="BI9" s="49">
        <f t="shared" si="9"/>
        <v>24.189043081221083</v>
      </c>
    </row>
    <row r="10" spans="1:61" ht="49.95" customHeight="1" x14ac:dyDescent="0.3">
      <c r="A10" s="19" t="s">
        <v>276</v>
      </c>
      <c r="B10" s="19">
        <v>713</v>
      </c>
      <c r="C10" s="2" t="s">
        <v>23</v>
      </c>
      <c r="D10" s="6" t="s">
        <v>260</v>
      </c>
      <c r="E10" s="24">
        <v>1400</v>
      </c>
      <c r="F10" s="1" t="s">
        <v>24</v>
      </c>
      <c r="G10" s="24">
        <v>911</v>
      </c>
      <c r="H10" s="68">
        <f t="shared" si="0"/>
        <v>65.071428571428569</v>
      </c>
      <c r="I10" s="68">
        <v>65.071428571428569</v>
      </c>
      <c r="J10" s="32">
        <v>3</v>
      </c>
      <c r="K10" s="57" t="s">
        <v>25</v>
      </c>
      <c r="L10" s="7" t="s">
        <v>635</v>
      </c>
      <c r="M10" s="7" t="s">
        <v>639</v>
      </c>
      <c r="N10" s="7" t="s">
        <v>632</v>
      </c>
      <c r="O10" s="63" t="s">
        <v>411</v>
      </c>
      <c r="P10" s="11" t="s">
        <v>412</v>
      </c>
      <c r="Q10" s="6" t="s">
        <v>400</v>
      </c>
      <c r="R10" s="9">
        <v>13005000000</v>
      </c>
      <c r="S10" s="10">
        <v>1</v>
      </c>
      <c r="T10" s="10">
        <v>7</v>
      </c>
      <c r="U10" s="4"/>
      <c r="V10" s="4" t="s">
        <v>588</v>
      </c>
      <c r="W10" s="10">
        <v>1</v>
      </c>
      <c r="X10" s="10">
        <v>8</v>
      </c>
      <c r="Y10" s="43">
        <v>8310000000</v>
      </c>
      <c r="Z10" s="43">
        <v>8128167000</v>
      </c>
      <c r="AA10" s="43">
        <v>8128167000</v>
      </c>
      <c r="AB10" s="43">
        <v>8065567432.96</v>
      </c>
      <c r="AC10" s="43">
        <v>8065567432.96</v>
      </c>
      <c r="AD10" s="43">
        <v>0</v>
      </c>
      <c r="AE10" s="43">
        <v>8065567432.96</v>
      </c>
      <c r="AF10" s="43">
        <v>9437758513</v>
      </c>
      <c r="AG10" s="43">
        <v>9097758513</v>
      </c>
      <c r="AH10" s="43">
        <v>9090882507.8299999</v>
      </c>
      <c r="AI10" s="43">
        <v>8799902880.6899986</v>
      </c>
      <c r="AJ10" s="43">
        <v>8799336312.1499996</v>
      </c>
      <c r="AK10" s="43">
        <v>11021735.890000001</v>
      </c>
      <c r="AL10" s="43">
        <v>8810358048.039999</v>
      </c>
      <c r="AM10" s="43">
        <v>11173500000</v>
      </c>
      <c r="AN10" s="43">
        <v>11025043000</v>
      </c>
      <c r="AO10" s="43">
        <v>11017263936.820002</v>
      </c>
      <c r="AP10" s="43">
        <v>10979104161.189999</v>
      </c>
      <c r="AQ10" s="43">
        <v>10977931477.679998</v>
      </c>
      <c r="AR10" s="43">
        <v>285443489.39999998</v>
      </c>
      <c r="AS10" s="43">
        <v>11263374967.079998</v>
      </c>
      <c r="AT10" s="43">
        <v>13005000000</v>
      </c>
      <c r="AU10" s="43">
        <v>12477000000</v>
      </c>
      <c r="AV10" s="43">
        <v>12469221346.609999</v>
      </c>
      <c r="AW10" s="43">
        <v>12340179421.469999</v>
      </c>
      <c r="AX10" s="43">
        <v>12339655066.240002</v>
      </c>
      <c r="AY10" s="43">
        <v>6154583.0899999999</v>
      </c>
      <c r="AZ10" s="43">
        <v>12345809649.330002</v>
      </c>
      <c r="BA10" s="21">
        <f t="shared" si="1"/>
        <v>41926258513</v>
      </c>
      <c r="BB10" s="21">
        <f t="shared" si="2"/>
        <v>40727968513</v>
      </c>
      <c r="BC10" s="21">
        <f t="shared" si="3"/>
        <v>40705534791.260002</v>
      </c>
      <c r="BD10" s="21">
        <f t="shared" si="4"/>
        <v>40184753896.309998</v>
      </c>
      <c r="BE10" s="21">
        <f t="shared" si="5"/>
        <v>40182490289.029999</v>
      </c>
      <c r="BF10" s="21">
        <f t="shared" si="6"/>
        <v>302619808.37999994</v>
      </c>
      <c r="BG10" s="21">
        <f t="shared" si="7"/>
        <v>40485110097.410004</v>
      </c>
      <c r="BH10" s="49">
        <f t="shared" si="8"/>
        <v>99.458489625599213</v>
      </c>
      <c r="BI10" s="49">
        <f t="shared" si="9"/>
        <v>99.40370604167876</v>
      </c>
    </row>
    <row r="11" spans="1:61" ht="49.95" customHeight="1" x14ac:dyDescent="0.3">
      <c r="A11" s="19" t="s">
        <v>277</v>
      </c>
      <c r="B11" s="19">
        <v>713</v>
      </c>
      <c r="C11" s="2" t="s">
        <v>26</v>
      </c>
      <c r="D11" s="6" t="s">
        <v>260</v>
      </c>
      <c r="E11" s="24">
        <v>187</v>
      </c>
      <c r="F11" s="1" t="s">
        <v>27</v>
      </c>
      <c r="G11" s="24">
        <v>189</v>
      </c>
      <c r="H11" s="68">
        <f t="shared" si="0"/>
        <v>101.06951871657753</v>
      </c>
      <c r="I11" s="68">
        <v>100</v>
      </c>
      <c r="J11" s="32">
        <v>5</v>
      </c>
      <c r="K11" s="56"/>
      <c r="L11" s="7" t="s">
        <v>634</v>
      </c>
      <c r="M11" s="7" t="s">
        <v>643</v>
      </c>
      <c r="N11" s="7" t="s">
        <v>632</v>
      </c>
      <c r="O11" s="63" t="s">
        <v>413</v>
      </c>
      <c r="P11" s="12">
        <v>43</v>
      </c>
      <c r="Q11" s="6" t="s">
        <v>414</v>
      </c>
      <c r="R11" s="9">
        <v>126000000</v>
      </c>
      <c r="S11" s="10">
        <v>1</v>
      </c>
      <c r="T11" s="10">
        <v>1</v>
      </c>
      <c r="U11" s="4"/>
      <c r="V11" s="4">
        <v>8721</v>
      </c>
      <c r="W11" s="10">
        <v>1</v>
      </c>
      <c r="X11" s="10">
        <v>1</v>
      </c>
      <c r="Y11" s="43">
        <v>100000000</v>
      </c>
      <c r="Z11" s="43">
        <v>122041333</v>
      </c>
      <c r="AA11" s="43">
        <v>77947169.359999999</v>
      </c>
      <c r="AB11" s="43">
        <v>73754410.819999993</v>
      </c>
      <c r="AC11" s="43">
        <v>73754410.819999993</v>
      </c>
      <c r="AD11" s="43">
        <v>0</v>
      </c>
      <c r="AE11" s="43">
        <v>73754410.819999993</v>
      </c>
      <c r="AF11" s="43">
        <v>234500000</v>
      </c>
      <c r="AG11" s="43">
        <v>164150001</v>
      </c>
      <c r="AH11" s="43">
        <v>62625630.439999998</v>
      </c>
      <c r="AI11" s="43">
        <v>45540228.349999994</v>
      </c>
      <c r="AJ11" s="43">
        <v>45540228.349999994</v>
      </c>
      <c r="AK11" s="43">
        <v>3067408.91</v>
      </c>
      <c r="AL11" s="43">
        <v>48607637.25999999</v>
      </c>
      <c r="AM11" s="43">
        <v>136000000</v>
      </c>
      <c r="AN11" s="43">
        <v>95200000</v>
      </c>
      <c r="AO11" s="43">
        <v>80271437.370000005</v>
      </c>
      <c r="AP11" s="43">
        <v>60871566.350000001</v>
      </c>
      <c r="AQ11" s="43">
        <v>60871566.350000001</v>
      </c>
      <c r="AR11" s="43">
        <v>15031562.6</v>
      </c>
      <c r="AS11" s="43">
        <v>75903128.950000003</v>
      </c>
      <c r="AT11" s="43">
        <v>120800000</v>
      </c>
      <c r="AU11" s="43">
        <v>79400000</v>
      </c>
      <c r="AV11" s="43">
        <v>57903027.61999999</v>
      </c>
      <c r="AW11" s="43">
        <v>48280015.950000003</v>
      </c>
      <c r="AX11" s="43">
        <v>48280015.950000003</v>
      </c>
      <c r="AY11" s="43">
        <v>16003464.26</v>
      </c>
      <c r="AZ11" s="43">
        <v>64283480.210000001</v>
      </c>
      <c r="BA11" s="21">
        <f t="shared" si="1"/>
        <v>591300000</v>
      </c>
      <c r="BB11" s="21">
        <f t="shared" si="2"/>
        <v>460791334</v>
      </c>
      <c r="BC11" s="21">
        <f t="shared" si="3"/>
        <v>278747264.79000002</v>
      </c>
      <c r="BD11" s="21">
        <f t="shared" si="4"/>
        <v>228446221.46999997</v>
      </c>
      <c r="BE11" s="21">
        <f t="shared" si="5"/>
        <v>228446221.46999997</v>
      </c>
      <c r="BF11" s="21">
        <f t="shared" si="6"/>
        <v>34102435.769999996</v>
      </c>
      <c r="BG11" s="21">
        <f t="shared" si="7"/>
        <v>262548657.23999998</v>
      </c>
      <c r="BH11" s="49">
        <f t="shared" si="8"/>
        <v>94.188783318751618</v>
      </c>
      <c r="BI11" s="49">
        <f t="shared" si="9"/>
        <v>56.977776678412958</v>
      </c>
    </row>
    <row r="12" spans="1:61" ht="49.95" customHeight="1" x14ac:dyDescent="0.3">
      <c r="A12" s="19" t="s">
        <v>278</v>
      </c>
      <c r="B12" s="19">
        <v>713</v>
      </c>
      <c r="C12" s="2" t="s">
        <v>28</v>
      </c>
      <c r="D12" s="6" t="s">
        <v>260</v>
      </c>
      <c r="E12" s="24">
        <v>27</v>
      </c>
      <c r="F12" s="1" t="s">
        <v>253</v>
      </c>
      <c r="G12" s="24">
        <v>22</v>
      </c>
      <c r="H12" s="68">
        <f t="shared" si="0"/>
        <v>81.481481481481481</v>
      </c>
      <c r="I12" s="68">
        <v>81.481481481481481</v>
      </c>
      <c r="J12" s="32">
        <v>4</v>
      </c>
      <c r="K12" s="56"/>
      <c r="L12" s="7" t="s">
        <v>634</v>
      </c>
      <c r="M12" s="7" t="s">
        <v>643</v>
      </c>
      <c r="N12" s="7" t="s">
        <v>632</v>
      </c>
      <c r="O12" s="63" t="s">
        <v>415</v>
      </c>
      <c r="P12" s="12">
        <v>8</v>
      </c>
      <c r="Q12" s="6" t="s">
        <v>416</v>
      </c>
      <c r="R12" s="9">
        <v>196000000</v>
      </c>
      <c r="S12" s="10">
        <v>1</v>
      </c>
      <c r="T12" s="10">
        <v>8</v>
      </c>
      <c r="U12" s="4"/>
      <c r="V12" s="4" t="s">
        <v>589</v>
      </c>
      <c r="W12" s="10">
        <v>1</v>
      </c>
      <c r="X12" s="10">
        <v>8</v>
      </c>
      <c r="Y12" s="43">
        <v>196000000</v>
      </c>
      <c r="Z12" s="43">
        <v>222866664</v>
      </c>
      <c r="AA12" s="43">
        <v>88747112.280000001</v>
      </c>
      <c r="AB12" s="43">
        <v>9411417.6999999993</v>
      </c>
      <c r="AC12" s="43">
        <v>9411417.6999999993</v>
      </c>
      <c r="AD12" s="43">
        <v>0</v>
      </c>
      <c r="AE12" s="43">
        <v>9411417.6999999993</v>
      </c>
      <c r="AF12" s="43">
        <v>216400000</v>
      </c>
      <c r="AG12" s="43">
        <v>234600000</v>
      </c>
      <c r="AH12" s="43">
        <v>79207398.239999995</v>
      </c>
      <c r="AI12" s="43">
        <v>17662899.919999998</v>
      </c>
      <c r="AJ12" s="43">
        <v>15701290.410000002</v>
      </c>
      <c r="AK12" s="43">
        <v>14058075.390000001</v>
      </c>
      <c r="AL12" s="43">
        <v>29759365.800000001</v>
      </c>
      <c r="AM12" s="43">
        <v>195556400</v>
      </c>
      <c r="AN12" s="43">
        <v>160056400</v>
      </c>
      <c r="AO12" s="43">
        <v>117375801.29000001</v>
      </c>
      <c r="AP12" s="43">
        <v>44610949.189999998</v>
      </c>
      <c r="AQ12" s="43">
        <v>44610949.189999998</v>
      </c>
      <c r="AR12" s="43">
        <v>37846042.390000001</v>
      </c>
      <c r="AS12" s="43">
        <v>82456991.579999998</v>
      </c>
      <c r="AT12" s="43">
        <v>172400000</v>
      </c>
      <c r="AU12" s="43">
        <v>172400000</v>
      </c>
      <c r="AV12" s="43">
        <v>31782501.879999999</v>
      </c>
      <c r="AW12" s="43">
        <v>21730545.979999997</v>
      </c>
      <c r="AX12" s="43">
        <v>21311309.079999998</v>
      </c>
      <c r="AY12" s="43">
        <v>46748368.219999999</v>
      </c>
      <c r="AZ12" s="43">
        <v>68059677.299999997</v>
      </c>
      <c r="BA12" s="21">
        <f t="shared" si="1"/>
        <v>780356400</v>
      </c>
      <c r="BB12" s="21">
        <f t="shared" si="2"/>
        <v>789923064</v>
      </c>
      <c r="BC12" s="21">
        <f t="shared" si="3"/>
        <v>317112813.69</v>
      </c>
      <c r="BD12" s="21">
        <f t="shared" si="4"/>
        <v>93415812.789999992</v>
      </c>
      <c r="BE12" s="21">
        <f t="shared" si="5"/>
        <v>91034966.379999995</v>
      </c>
      <c r="BF12" s="21">
        <f t="shared" si="6"/>
        <v>98652486</v>
      </c>
      <c r="BG12" s="21">
        <f t="shared" si="7"/>
        <v>189687452.38</v>
      </c>
      <c r="BH12" s="49">
        <f t="shared" si="8"/>
        <v>59.817025421568985</v>
      </c>
      <c r="BI12" s="49">
        <f t="shared" si="9"/>
        <v>24.013408523541983</v>
      </c>
    </row>
    <row r="13" spans="1:61" ht="49.95" customHeight="1" x14ac:dyDescent="0.3">
      <c r="A13" s="19" t="s">
        <v>279</v>
      </c>
      <c r="B13" s="19">
        <v>713</v>
      </c>
      <c r="C13" s="2" t="s">
        <v>29</v>
      </c>
      <c r="D13" s="6" t="s">
        <v>260</v>
      </c>
      <c r="E13" s="24">
        <v>3358</v>
      </c>
      <c r="F13" s="1" t="s">
        <v>8</v>
      </c>
      <c r="G13" s="24">
        <v>3618</v>
      </c>
      <c r="H13" s="68">
        <f t="shared" si="0"/>
        <v>107.74270399047052</v>
      </c>
      <c r="I13" s="68">
        <v>100</v>
      </c>
      <c r="J13" s="32">
        <v>5</v>
      </c>
      <c r="K13" s="56"/>
      <c r="L13" s="7" t="s">
        <v>634</v>
      </c>
      <c r="M13" s="7" t="s">
        <v>638</v>
      </c>
      <c r="N13" s="7" t="s">
        <v>632</v>
      </c>
      <c r="O13" s="63" t="s">
        <v>417</v>
      </c>
      <c r="P13" s="9">
        <v>5318</v>
      </c>
      <c r="Q13" s="6" t="s">
        <v>398</v>
      </c>
      <c r="R13" s="9">
        <v>704630000</v>
      </c>
      <c r="S13" s="10">
        <v>1</v>
      </c>
      <c r="T13" s="10">
        <v>2</v>
      </c>
      <c r="U13" s="4"/>
      <c r="V13" s="4" t="s">
        <v>495</v>
      </c>
      <c r="W13" s="10">
        <v>1</v>
      </c>
      <c r="X13" s="10">
        <v>2</v>
      </c>
      <c r="Y13" s="43">
        <v>498000000</v>
      </c>
      <c r="Z13" s="43">
        <v>942466667</v>
      </c>
      <c r="AA13" s="43">
        <v>556299531.63999999</v>
      </c>
      <c r="AB13" s="43">
        <v>110314380.27000001</v>
      </c>
      <c r="AC13" s="43">
        <v>110314380.27000001</v>
      </c>
      <c r="AD13" s="43">
        <v>0</v>
      </c>
      <c r="AE13" s="43">
        <v>110314380.27000001</v>
      </c>
      <c r="AF13" s="43">
        <v>1299700000</v>
      </c>
      <c r="AG13" s="43">
        <v>643700000</v>
      </c>
      <c r="AH13" s="43">
        <v>642602676.99000001</v>
      </c>
      <c r="AI13" s="43">
        <v>479734836</v>
      </c>
      <c r="AJ13" s="43">
        <v>479734836</v>
      </c>
      <c r="AK13" s="43">
        <v>207930623.66</v>
      </c>
      <c r="AL13" s="43">
        <v>687665459.65999997</v>
      </c>
      <c r="AM13" s="43">
        <v>1578072000</v>
      </c>
      <c r="AN13" s="43">
        <v>1116072000</v>
      </c>
      <c r="AO13" s="43">
        <v>836918382</v>
      </c>
      <c r="AP13" s="43">
        <v>835499505.33000004</v>
      </c>
      <c r="AQ13" s="43">
        <v>835499505.33000004</v>
      </c>
      <c r="AR13" s="43">
        <v>217523956.06999999</v>
      </c>
      <c r="AS13" s="43">
        <v>1053023461.4000001</v>
      </c>
      <c r="AT13" s="43">
        <v>634167000</v>
      </c>
      <c r="AU13" s="43">
        <v>716464712</v>
      </c>
      <c r="AV13" s="43">
        <v>456246115.99000001</v>
      </c>
      <c r="AW13" s="43">
        <v>437412530</v>
      </c>
      <c r="AX13" s="43">
        <v>437412530</v>
      </c>
      <c r="AY13" s="43">
        <v>50068665.640000001</v>
      </c>
      <c r="AZ13" s="43">
        <v>487481195.63999999</v>
      </c>
      <c r="BA13" s="21">
        <f t="shared" si="1"/>
        <v>4009939000</v>
      </c>
      <c r="BB13" s="21">
        <f t="shared" si="2"/>
        <v>3418703379</v>
      </c>
      <c r="BC13" s="21">
        <f t="shared" si="3"/>
        <v>2492066706.6199999</v>
      </c>
      <c r="BD13" s="21">
        <f t="shared" si="4"/>
        <v>1862961251.5999999</v>
      </c>
      <c r="BE13" s="21">
        <f t="shared" si="5"/>
        <v>1862961251.5999999</v>
      </c>
      <c r="BF13" s="21">
        <f t="shared" si="6"/>
        <v>475523245.37</v>
      </c>
      <c r="BG13" s="21">
        <f t="shared" si="7"/>
        <v>2338484496.9699998</v>
      </c>
      <c r="BH13" s="49">
        <f t="shared" si="8"/>
        <v>93.837154950867898</v>
      </c>
      <c r="BI13" s="49">
        <f t="shared" si="9"/>
        <v>68.402673110939105</v>
      </c>
    </row>
    <row r="14" spans="1:61" ht="49.95" customHeight="1" x14ac:dyDescent="0.3">
      <c r="A14" s="19" t="s">
        <v>280</v>
      </c>
      <c r="B14" s="19">
        <v>713</v>
      </c>
      <c r="C14" s="2" t="s">
        <v>30</v>
      </c>
      <c r="D14" s="6" t="s">
        <v>260</v>
      </c>
      <c r="E14" s="24">
        <v>1298</v>
      </c>
      <c r="F14" s="1" t="s">
        <v>254</v>
      </c>
      <c r="G14" s="24">
        <v>1034</v>
      </c>
      <c r="H14" s="68">
        <f t="shared" si="0"/>
        <v>79.66101694915254</v>
      </c>
      <c r="I14" s="68">
        <v>79.66101694915254</v>
      </c>
      <c r="J14" s="32">
        <v>4</v>
      </c>
      <c r="K14" s="56"/>
      <c r="L14" s="7" t="s">
        <v>634</v>
      </c>
      <c r="M14" s="7" t="s">
        <v>638</v>
      </c>
      <c r="N14" s="7" t="s">
        <v>632</v>
      </c>
      <c r="O14" s="63" t="s">
        <v>418</v>
      </c>
      <c r="P14" s="12">
        <v>100</v>
      </c>
      <c r="Q14" s="6" t="s">
        <v>419</v>
      </c>
      <c r="R14" s="9">
        <v>270000000</v>
      </c>
      <c r="S14" s="10">
        <v>1</v>
      </c>
      <c r="T14" s="10">
        <v>2</v>
      </c>
      <c r="U14" s="4"/>
      <c r="V14" s="4">
        <v>8730</v>
      </c>
      <c r="W14" s="10">
        <v>1</v>
      </c>
      <c r="X14" s="10">
        <v>2</v>
      </c>
      <c r="Y14" s="43">
        <v>227450000</v>
      </c>
      <c r="Z14" s="43">
        <v>267283333</v>
      </c>
      <c r="AA14" s="43">
        <v>171952610.34</v>
      </c>
      <c r="AB14" s="43">
        <v>142400371.78999999</v>
      </c>
      <c r="AC14" s="43">
        <v>142097257.68000001</v>
      </c>
      <c r="AD14" s="43">
        <v>0</v>
      </c>
      <c r="AE14" s="43">
        <v>142097257.68000001</v>
      </c>
      <c r="AF14" s="43">
        <v>236433000</v>
      </c>
      <c r="AG14" s="43">
        <v>305433000</v>
      </c>
      <c r="AH14" s="43">
        <v>199602806.13</v>
      </c>
      <c r="AI14" s="43">
        <v>161645154.76000002</v>
      </c>
      <c r="AJ14" s="43">
        <v>155374568.82000002</v>
      </c>
      <c r="AK14" s="43">
        <v>26655807.690000001</v>
      </c>
      <c r="AL14" s="43">
        <v>182030376.50999999</v>
      </c>
      <c r="AM14" s="43">
        <v>241024000</v>
      </c>
      <c r="AN14" s="43">
        <v>225194536</v>
      </c>
      <c r="AO14" s="43">
        <v>178316163.02000004</v>
      </c>
      <c r="AP14" s="43">
        <v>165095165.68000001</v>
      </c>
      <c r="AQ14" s="43">
        <v>165040628.67000002</v>
      </c>
      <c r="AR14" s="43">
        <v>38085430.280000001</v>
      </c>
      <c r="AS14" s="43">
        <v>203126058.94999999</v>
      </c>
      <c r="AT14" s="43">
        <v>282960700</v>
      </c>
      <c r="AU14" s="43">
        <v>283025700</v>
      </c>
      <c r="AV14" s="43">
        <v>218146069.37</v>
      </c>
      <c r="AW14" s="43">
        <v>214458634.5</v>
      </c>
      <c r="AX14" s="43">
        <v>214371393.97</v>
      </c>
      <c r="AY14" s="43">
        <v>4790055.16</v>
      </c>
      <c r="AZ14" s="43">
        <v>219161449.13</v>
      </c>
      <c r="BA14" s="21">
        <f t="shared" si="1"/>
        <v>987867700</v>
      </c>
      <c r="BB14" s="21">
        <f t="shared" si="2"/>
        <v>1080936569</v>
      </c>
      <c r="BC14" s="21">
        <f t="shared" si="3"/>
        <v>768017648.86000001</v>
      </c>
      <c r="BD14" s="21">
        <f t="shared" si="4"/>
        <v>683599326.73000002</v>
      </c>
      <c r="BE14" s="21">
        <f t="shared" si="5"/>
        <v>676883849.13999999</v>
      </c>
      <c r="BF14" s="21">
        <f t="shared" si="6"/>
        <v>69531293.129999995</v>
      </c>
      <c r="BG14" s="21">
        <f t="shared" si="7"/>
        <v>746415142.26999998</v>
      </c>
      <c r="BH14" s="49">
        <f t="shared" si="8"/>
        <v>97.187238259164289</v>
      </c>
      <c r="BI14" s="49">
        <f t="shared" si="9"/>
        <v>69.052631178953106</v>
      </c>
    </row>
    <row r="15" spans="1:61" ht="49.95" customHeight="1" x14ac:dyDescent="0.3">
      <c r="A15" s="19" t="s">
        <v>281</v>
      </c>
      <c r="B15" s="19">
        <v>713</v>
      </c>
      <c r="C15" s="2" t="s">
        <v>31</v>
      </c>
      <c r="D15" s="6" t="s">
        <v>260</v>
      </c>
      <c r="E15" s="24">
        <v>27</v>
      </c>
      <c r="F15" s="1" t="s">
        <v>255</v>
      </c>
      <c r="G15" s="24">
        <v>27</v>
      </c>
      <c r="H15" s="68">
        <f t="shared" si="0"/>
        <v>100</v>
      </c>
      <c r="I15" s="68">
        <v>100</v>
      </c>
      <c r="J15" s="32">
        <v>5</v>
      </c>
      <c r="K15" s="56"/>
      <c r="L15" s="7" t="s">
        <v>631</v>
      </c>
      <c r="M15" s="7" t="s">
        <v>644</v>
      </c>
      <c r="N15" s="7" t="s">
        <v>632</v>
      </c>
      <c r="O15" s="63" t="s">
        <v>420</v>
      </c>
      <c r="P15" s="6" t="s">
        <v>421</v>
      </c>
      <c r="Q15" s="6" t="s">
        <v>251</v>
      </c>
      <c r="R15" s="6" t="s">
        <v>251</v>
      </c>
      <c r="S15" s="10">
        <v>0</v>
      </c>
      <c r="T15" s="10">
        <v>0</v>
      </c>
      <c r="U15" s="4">
        <v>4295</v>
      </c>
      <c r="V15" s="4">
        <v>4295</v>
      </c>
      <c r="W15" s="10">
        <v>1</v>
      </c>
      <c r="X15" s="10">
        <v>1</v>
      </c>
      <c r="Y15" s="43">
        <v>552300000</v>
      </c>
      <c r="Z15" s="43">
        <v>610633333</v>
      </c>
      <c r="AA15" s="43">
        <v>515602486.05000001</v>
      </c>
      <c r="AB15" s="43">
        <v>267560017.91999999</v>
      </c>
      <c r="AC15" s="43">
        <v>266870017.91999999</v>
      </c>
      <c r="AD15" s="43">
        <v>0</v>
      </c>
      <c r="AE15" s="43">
        <v>266870017.91999999</v>
      </c>
      <c r="AF15" s="43">
        <v>577915000</v>
      </c>
      <c r="AG15" s="43">
        <v>747915000</v>
      </c>
      <c r="AH15" s="43">
        <v>430641032.19999999</v>
      </c>
      <c r="AI15" s="43">
        <v>203547694.5</v>
      </c>
      <c r="AJ15" s="43">
        <v>203547694.5</v>
      </c>
      <c r="AK15" s="43">
        <v>219100365.33000001</v>
      </c>
      <c r="AL15" s="43">
        <v>422648059.83000004</v>
      </c>
      <c r="AM15" s="43">
        <v>615450000</v>
      </c>
      <c r="AN15" s="43">
        <v>583432574</v>
      </c>
      <c r="AO15" s="43">
        <v>451173716.66999996</v>
      </c>
      <c r="AP15" s="43">
        <v>364975316.97999996</v>
      </c>
      <c r="AQ15" s="43">
        <v>364936810.97999996</v>
      </c>
      <c r="AR15" s="43">
        <v>216578941.44</v>
      </c>
      <c r="AS15" s="43">
        <v>581515752.41999996</v>
      </c>
      <c r="AT15" s="43">
        <v>617400000</v>
      </c>
      <c r="AU15" s="43">
        <v>802500000</v>
      </c>
      <c r="AV15" s="43">
        <v>774281060.68000007</v>
      </c>
      <c r="AW15" s="43">
        <v>573389485.44000006</v>
      </c>
      <c r="AX15" s="43">
        <v>572439424.85000002</v>
      </c>
      <c r="AY15" s="43">
        <v>89050328.5</v>
      </c>
      <c r="AZ15" s="43">
        <v>661489753.35000002</v>
      </c>
      <c r="BA15" s="21">
        <f t="shared" si="1"/>
        <v>2363065000</v>
      </c>
      <c r="BB15" s="21">
        <f t="shared" si="2"/>
        <v>2744480907</v>
      </c>
      <c r="BC15" s="21">
        <f t="shared" si="3"/>
        <v>2171698295.6000004</v>
      </c>
      <c r="BD15" s="21">
        <f t="shared" si="4"/>
        <v>1409472514.8399999</v>
      </c>
      <c r="BE15" s="21">
        <f t="shared" si="5"/>
        <v>1407793948.25</v>
      </c>
      <c r="BF15" s="21">
        <f t="shared" si="6"/>
        <v>524729635.26999998</v>
      </c>
      <c r="BG15" s="21">
        <f t="shared" si="7"/>
        <v>1932523583.52</v>
      </c>
      <c r="BH15" s="49">
        <f t="shared" si="8"/>
        <v>88.986743114152475</v>
      </c>
      <c r="BI15" s="49">
        <f t="shared" si="9"/>
        <v>70.414903546639977</v>
      </c>
    </row>
    <row r="16" spans="1:61" ht="49.95" customHeight="1" x14ac:dyDescent="0.3">
      <c r="A16" s="19" t="s">
        <v>282</v>
      </c>
      <c r="B16" s="19">
        <v>713</v>
      </c>
      <c r="C16" s="2" t="s">
        <v>32</v>
      </c>
      <c r="D16" s="6" t="s">
        <v>264</v>
      </c>
      <c r="E16" s="24">
        <v>100</v>
      </c>
      <c r="F16" s="1" t="s">
        <v>33</v>
      </c>
      <c r="G16" s="24">
        <v>98</v>
      </c>
      <c r="H16" s="68">
        <f t="shared" si="0"/>
        <v>98</v>
      </c>
      <c r="I16" s="68">
        <v>98</v>
      </c>
      <c r="J16" s="32">
        <v>4</v>
      </c>
      <c r="K16" s="56"/>
      <c r="L16" s="7" t="s">
        <v>635</v>
      </c>
      <c r="M16" s="7" t="s">
        <v>639</v>
      </c>
      <c r="N16" s="7" t="s">
        <v>632</v>
      </c>
      <c r="O16" s="63"/>
      <c r="P16" s="6"/>
      <c r="Q16" s="6"/>
      <c r="R16" s="6"/>
      <c r="S16" s="10"/>
      <c r="T16" s="10"/>
      <c r="U16" s="4" t="s">
        <v>588</v>
      </c>
      <c r="V16" s="4" t="s">
        <v>588</v>
      </c>
      <c r="W16" s="10">
        <v>1</v>
      </c>
      <c r="X16" s="10">
        <v>8</v>
      </c>
      <c r="Y16" s="43">
        <v>8310000000</v>
      </c>
      <c r="Z16" s="43">
        <v>8128167000</v>
      </c>
      <c r="AA16" s="43">
        <v>8128167000</v>
      </c>
      <c r="AB16" s="43">
        <v>8065567432.96</v>
      </c>
      <c r="AC16" s="43">
        <v>8065567432.96</v>
      </c>
      <c r="AD16" s="43">
        <v>0</v>
      </c>
      <c r="AE16" s="43">
        <v>8065567432.96</v>
      </c>
      <c r="AF16" s="43">
        <v>9437758513</v>
      </c>
      <c r="AG16" s="43">
        <v>9097758513</v>
      </c>
      <c r="AH16" s="43">
        <v>9090882507.8299999</v>
      </c>
      <c r="AI16" s="43">
        <v>8799902880.6899986</v>
      </c>
      <c r="AJ16" s="43">
        <v>8799336312.1499996</v>
      </c>
      <c r="AK16" s="43">
        <v>11021735.890000001</v>
      </c>
      <c r="AL16" s="43">
        <v>8810358048.039999</v>
      </c>
      <c r="AM16" s="43">
        <v>11173500000</v>
      </c>
      <c r="AN16" s="43">
        <v>11025043000</v>
      </c>
      <c r="AO16" s="43">
        <v>11017263936.820002</v>
      </c>
      <c r="AP16" s="43">
        <v>10979104161.189999</v>
      </c>
      <c r="AQ16" s="43">
        <v>10977931477.679998</v>
      </c>
      <c r="AR16" s="43">
        <v>285443489.39999998</v>
      </c>
      <c r="AS16" s="43">
        <v>11263374967.079998</v>
      </c>
      <c r="AT16" s="43">
        <v>13005000000</v>
      </c>
      <c r="AU16" s="43">
        <v>12477000000</v>
      </c>
      <c r="AV16" s="43">
        <v>12469221346.609999</v>
      </c>
      <c r="AW16" s="43">
        <v>12340179421.469999</v>
      </c>
      <c r="AX16" s="43">
        <v>12339655066.240002</v>
      </c>
      <c r="AY16" s="43">
        <v>6154583.0899999999</v>
      </c>
      <c r="AZ16" s="43">
        <v>12345809649.330002</v>
      </c>
      <c r="BA16" s="21">
        <f t="shared" si="1"/>
        <v>41926258513</v>
      </c>
      <c r="BB16" s="21">
        <f t="shared" si="2"/>
        <v>40727968513</v>
      </c>
      <c r="BC16" s="21">
        <f t="shared" si="3"/>
        <v>40705534791.260002</v>
      </c>
      <c r="BD16" s="21">
        <f t="shared" si="4"/>
        <v>40184753896.309998</v>
      </c>
      <c r="BE16" s="21">
        <f t="shared" si="5"/>
        <v>40182490289.029999</v>
      </c>
      <c r="BF16" s="21">
        <f t="shared" si="6"/>
        <v>302619808.37999994</v>
      </c>
      <c r="BG16" s="21">
        <f t="shared" si="7"/>
        <v>40485110097.410004</v>
      </c>
      <c r="BH16" s="49">
        <f t="shared" si="8"/>
        <v>99.458489625599213</v>
      </c>
      <c r="BI16" s="49">
        <f t="shared" si="9"/>
        <v>99.40370604167876</v>
      </c>
    </row>
    <row r="17" spans="1:61" ht="49.95" customHeight="1" x14ac:dyDescent="0.3">
      <c r="A17" s="19" t="s">
        <v>283</v>
      </c>
      <c r="B17" s="19">
        <v>713</v>
      </c>
      <c r="C17" s="2" t="s">
        <v>34</v>
      </c>
      <c r="D17" s="6" t="s">
        <v>260</v>
      </c>
      <c r="E17" s="24">
        <v>78</v>
      </c>
      <c r="F17" s="1" t="s">
        <v>33</v>
      </c>
      <c r="G17" s="24">
        <v>85.9</v>
      </c>
      <c r="H17" s="68">
        <f t="shared" si="0"/>
        <v>110.12820512820512</v>
      </c>
      <c r="I17" s="68">
        <v>100</v>
      </c>
      <c r="J17" s="32">
        <v>5</v>
      </c>
      <c r="K17" s="56"/>
      <c r="L17" s="7" t="s">
        <v>635</v>
      </c>
      <c r="M17" s="7" t="s">
        <v>639</v>
      </c>
      <c r="N17" s="7" t="s">
        <v>632</v>
      </c>
      <c r="O17" s="64" t="s">
        <v>422</v>
      </c>
      <c r="P17" s="13">
        <v>0.87</v>
      </c>
      <c r="Q17" s="6" t="s">
        <v>400</v>
      </c>
      <c r="R17" s="9">
        <v>13005000000</v>
      </c>
      <c r="S17" s="10">
        <v>1</v>
      </c>
      <c r="T17" s="10">
        <v>7</v>
      </c>
      <c r="U17" s="4"/>
      <c r="V17" s="4" t="s">
        <v>588</v>
      </c>
      <c r="W17" s="10">
        <v>1</v>
      </c>
      <c r="X17" s="10">
        <v>8</v>
      </c>
      <c r="Y17" s="43">
        <v>8310000000</v>
      </c>
      <c r="Z17" s="43">
        <v>8128167000</v>
      </c>
      <c r="AA17" s="43">
        <v>8128167000</v>
      </c>
      <c r="AB17" s="43">
        <v>8065567432.96</v>
      </c>
      <c r="AC17" s="43">
        <v>8065567432.96</v>
      </c>
      <c r="AD17" s="43">
        <v>0</v>
      </c>
      <c r="AE17" s="43">
        <v>8065567432.96</v>
      </c>
      <c r="AF17" s="43">
        <v>9437758513</v>
      </c>
      <c r="AG17" s="43">
        <v>9097758513</v>
      </c>
      <c r="AH17" s="43">
        <v>9090882507.8299999</v>
      </c>
      <c r="AI17" s="43">
        <v>8799902880.6899986</v>
      </c>
      <c r="AJ17" s="43">
        <v>8799336312.1499996</v>
      </c>
      <c r="AK17" s="43">
        <v>11021735.890000001</v>
      </c>
      <c r="AL17" s="43">
        <v>8810358048.039999</v>
      </c>
      <c r="AM17" s="43">
        <v>11173500000</v>
      </c>
      <c r="AN17" s="43">
        <v>11025043000</v>
      </c>
      <c r="AO17" s="43">
        <v>11017263936.820002</v>
      </c>
      <c r="AP17" s="43">
        <v>10979104161.189999</v>
      </c>
      <c r="AQ17" s="43">
        <v>10977931477.679998</v>
      </c>
      <c r="AR17" s="43">
        <v>285443489.39999998</v>
      </c>
      <c r="AS17" s="43">
        <v>11263374967.079998</v>
      </c>
      <c r="AT17" s="43">
        <v>13005000000</v>
      </c>
      <c r="AU17" s="43">
        <v>12477000000</v>
      </c>
      <c r="AV17" s="43">
        <v>12469221346.609999</v>
      </c>
      <c r="AW17" s="43">
        <v>12340179421.469999</v>
      </c>
      <c r="AX17" s="43">
        <v>12339655066.240002</v>
      </c>
      <c r="AY17" s="43">
        <v>6154583.0899999999</v>
      </c>
      <c r="AZ17" s="43">
        <v>12345809649.330002</v>
      </c>
      <c r="BA17" s="21">
        <f t="shared" si="1"/>
        <v>41926258513</v>
      </c>
      <c r="BB17" s="21">
        <f t="shared" si="2"/>
        <v>40727968513</v>
      </c>
      <c r="BC17" s="21">
        <f t="shared" si="3"/>
        <v>40705534791.260002</v>
      </c>
      <c r="BD17" s="21">
        <f t="shared" si="4"/>
        <v>40184753896.309998</v>
      </c>
      <c r="BE17" s="21">
        <f t="shared" si="5"/>
        <v>40182490289.029999</v>
      </c>
      <c r="BF17" s="21">
        <f t="shared" si="6"/>
        <v>302619808.37999994</v>
      </c>
      <c r="BG17" s="21">
        <f t="shared" si="7"/>
        <v>40485110097.410004</v>
      </c>
      <c r="BH17" s="49">
        <f t="shared" si="8"/>
        <v>99.458489625599213</v>
      </c>
      <c r="BI17" s="49">
        <f t="shared" si="9"/>
        <v>99.40370604167876</v>
      </c>
    </row>
    <row r="18" spans="1:61" ht="49.95" customHeight="1" x14ac:dyDescent="0.3">
      <c r="A18" s="19" t="s">
        <v>284</v>
      </c>
      <c r="B18" s="19">
        <v>713</v>
      </c>
      <c r="C18" s="2" t="s">
        <v>35</v>
      </c>
      <c r="D18" s="6" t="s">
        <v>260</v>
      </c>
      <c r="E18" s="24">
        <v>35</v>
      </c>
      <c r="F18" s="1" t="s">
        <v>36</v>
      </c>
      <c r="G18" s="24">
        <v>114</v>
      </c>
      <c r="H18" s="68">
        <f t="shared" si="0"/>
        <v>325.71428571428572</v>
      </c>
      <c r="I18" s="68">
        <v>100</v>
      </c>
      <c r="J18" s="32">
        <v>5</v>
      </c>
      <c r="K18" s="56"/>
      <c r="L18" s="7" t="s">
        <v>634</v>
      </c>
      <c r="M18" s="7" t="s">
        <v>638</v>
      </c>
      <c r="N18" s="7" t="s">
        <v>632</v>
      </c>
      <c r="O18" s="65" t="s">
        <v>423</v>
      </c>
      <c r="P18" s="8" t="s">
        <v>421</v>
      </c>
      <c r="Q18" s="6" t="s">
        <v>424</v>
      </c>
      <c r="R18" s="9">
        <v>48500000</v>
      </c>
      <c r="S18" s="10">
        <v>1</v>
      </c>
      <c r="T18" s="10">
        <v>2</v>
      </c>
      <c r="U18" s="4"/>
      <c r="V18" s="4" t="s">
        <v>476</v>
      </c>
      <c r="W18" s="10">
        <v>1</v>
      </c>
      <c r="X18" s="10">
        <v>3</v>
      </c>
      <c r="Y18" s="43">
        <v>13200000</v>
      </c>
      <c r="Z18" s="43">
        <v>13200000</v>
      </c>
      <c r="AA18" s="43">
        <v>10915000</v>
      </c>
      <c r="AB18" s="43">
        <v>5656180</v>
      </c>
      <c r="AC18" s="43">
        <v>5656180</v>
      </c>
      <c r="AD18" s="43">
        <v>0</v>
      </c>
      <c r="AE18" s="43">
        <v>5656180</v>
      </c>
      <c r="AF18" s="43">
        <v>13860000</v>
      </c>
      <c r="AG18" s="43">
        <v>13860000</v>
      </c>
      <c r="AH18" s="43">
        <v>13720784.279999999</v>
      </c>
      <c r="AI18" s="43">
        <v>9175170</v>
      </c>
      <c r="AJ18" s="43">
        <v>9167280</v>
      </c>
      <c r="AK18" s="43">
        <v>2678130</v>
      </c>
      <c r="AL18" s="43">
        <v>11845410</v>
      </c>
      <c r="AM18" s="43">
        <v>48500000</v>
      </c>
      <c r="AN18" s="43">
        <v>33950000</v>
      </c>
      <c r="AO18" s="43">
        <v>7638030</v>
      </c>
      <c r="AP18" s="43">
        <v>7638030</v>
      </c>
      <c r="AQ18" s="43">
        <v>7638030</v>
      </c>
      <c r="AR18" s="43">
        <v>1522235.92</v>
      </c>
      <c r="AS18" s="30">
        <f>SUBTOTAL(9,AQ18:AR18)</f>
        <v>9160265.9199999999</v>
      </c>
      <c r="AT18" s="43">
        <v>48500000</v>
      </c>
      <c r="AU18" s="43">
        <v>48500000</v>
      </c>
      <c r="AV18" s="43">
        <v>38947492.770000003</v>
      </c>
      <c r="AW18" s="43">
        <v>38935541.109999999</v>
      </c>
      <c r="AX18" s="43">
        <v>38935541.109999999</v>
      </c>
      <c r="AY18" s="43">
        <v>0</v>
      </c>
      <c r="AZ18" s="43">
        <v>38935541.109999999</v>
      </c>
      <c r="BA18" s="21">
        <f t="shared" si="1"/>
        <v>124060000</v>
      </c>
      <c r="BB18" s="21">
        <f t="shared" si="2"/>
        <v>109510000</v>
      </c>
      <c r="BC18" s="21">
        <f t="shared" si="3"/>
        <v>71221307.050000012</v>
      </c>
      <c r="BD18" s="21">
        <f t="shared" si="4"/>
        <v>61404921.109999999</v>
      </c>
      <c r="BE18" s="21">
        <f t="shared" si="5"/>
        <v>61397031.109999999</v>
      </c>
      <c r="BF18" s="21">
        <f t="shared" si="6"/>
        <v>4200365.92</v>
      </c>
      <c r="BG18" s="21">
        <f t="shared" si="7"/>
        <v>65597397.030000001</v>
      </c>
      <c r="BH18" s="49">
        <f t="shared" si="8"/>
        <v>92.103613015622116</v>
      </c>
      <c r="BI18" s="49">
        <f t="shared" si="9"/>
        <v>59.900828262259154</v>
      </c>
    </row>
    <row r="19" spans="1:61" ht="49.95" customHeight="1" x14ac:dyDescent="0.3">
      <c r="A19" s="19" t="s">
        <v>285</v>
      </c>
      <c r="B19" s="19">
        <v>713</v>
      </c>
      <c r="C19" s="2" t="s">
        <v>37</v>
      </c>
      <c r="D19" s="6" t="s">
        <v>264</v>
      </c>
      <c r="E19" s="24">
        <v>4</v>
      </c>
      <c r="F19" s="1" t="s">
        <v>38</v>
      </c>
      <c r="G19" s="24">
        <v>4</v>
      </c>
      <c r="H19" s="68">
        <f t="shared" si="0"/>
        <v>100</v>
      </c>
      <c r="I19" s="68">
        <v>100</v>
      </c>
      <c r="J19" s="32">
        <v>5</v>
      </c>
      <c r="K19" s="56"/>
      <c r="L19" s="7" t="s">
        <v>631</v>
      </c>
      <c r="M19" s="7" t="s">
        <v>644</v>
      </c>
      <c r="N19" s="7" t="s">
        <v>632</v>
      </c>
      <c r="O19" s="65"/>
      <c r="P19" s="8"/>
      <c r="Q19" s="6"/>
      <c r="R19" s="9"/>
      <c r="S19" s="10"/>
      <c r="T19" s="10"/>
      <c r="U19" s="4" t="s">
        <v>476</v>
      </c>
      <c r="V19" s="4" t="s">
        <v>476</v>
      </c>
      <c r="W19" s="10">
        <v>1</v>
      </c>
      <c r="X19" s="10">
        <v>3</v>
      </c>
      <c r="Y19" s="43">
        <v>13200000</v>
      </c>
      <c r="Z19" s="43">
        <v>13200000</v>
      </c>
      <c r="AA19" s="43">
        <v>10915000</v>
      </c>
      <c r="AB19" s="43">
        <v>5656180</v>
      </c>
      <c r="AC19" s="43">
        <v>5656180</v>
      </c>
      <c r="AD19" s="43">
        <v>0</v>
      </c>
      <c r="AE19" s="43">
        <v>5656180</v>
      </c>
      <c r="AF19" s="43">
        <v>13860000</v>
      </c>
      <c r="AG19" s="43">
        <v>13860000</v>
      </c>
      <c r="AH19" s="43">
        <v>13720784.279999999</v>
      </c>
      <c r="AI19" s="43">
        <v>9175170</v>
      </c>
      <c r="AJ19" s="43">
        <v>9167280</v>
      </c>
      <c r="AK19" s="43">
        <v>2678130</v>
      </c>
      <c r="AL19" s="43">
        <v>11845410</v>
      </c>
      <c r="AM19" s="43">
        <v>48500000</v>
      </c>
      <c r="AN19" s="43">
        <v>33950000</v>
      </c>
      <c r="AO19" s="43">
        <v>7638030</v>
      </c>
      <c r="AP19" s="43">
        <v>7638030</v>
      </c>
      <c r="AQ19" s="43">
        <v>7638030</v>
      </c>
      <c r="AR19" s="43">
        <v>1522235.92</v>
      </c>
      <c r="AS19" s="30">
        <f>SUBTOTAL(9,AQ19:AR19)</f>
        <v>9160265.9199999999</v>
      </c>
      <c r="AT19" s="43">
        <v>48500000</v>
      </c>
      <c r="AU19" s="43">
        <v>48500000</v>
      </c>
      <c r="AV19" s="43">
        <v>38947492.770000003</v>
      </c>
      <c r="AW19" s="43">
        <v>38935541.109999999</v>
      </c>
      <c r="AX19" s="43">
        <v>38935541.109999999</v>
      </c>
      <c r="AY19" s="43">
        <v>0</v>
      </c>
      <c r="AZ19" s="43">
        <v>38935541.109999999</v>
      </c>
      <c r="BA19" s="21">
        <f t="shared" si="1"/>
        <v>124060000</v>
      </c>
      <c r="BB19" s="21">
        <f t="shared" si="2"/>
        <v>109510000</v>
      </c>
      <c r="BC19" s="21">
        <f t="shared" si="3"/>
        <v>71221307.050000012</v>
      </c>
      <c r="BD19" s="21">
        <f t="shared" si="4"/>
        <v>61404921.109999999</v>
      </c>
      <c r="BE19" s="21">
        <f t="shared" si="5"/>
        <v>61397031.109999999</v>
      </c>
      <c r="BF19" s="21">
        <f t="shared" si="6"/>
        <v>4200365.92</v>
      </c>
      <c r="BG19" s="21">
        <f t="shared" si="7"/>
        <v>65597397.030000001</v>
      </c>
      <c r="BH19" s="49">
        <f t="shared" si="8"/>
        <v>92.103613015622116</v>
      </c>
      <c r="BI19" s="49">
        <f t="shared" si="9"/>
        <v>59.900828262259154</v>
      </c>
    </row>
    <row r="20" spans="1:61" ht="49.95" customHeight="1" x14ac:dyDescent="0.3">
      <c r="A20" s="19" t="s">
        <v>286</v>
      </c>
      <c r="B20" s="19">
        <v>713</v>
      </c>
      <c r="C20" s="2" t="s">
        <v>39</v>
      </c>
      <c r="D20" s="6" t="s">
        <v>260</v>
      </c>
      <c r="E20" s="24">
        <v>235</v>
      </c>
      <c r="F20" s="1" t="s">
        <v>36</v>
      </c>
      <c r="G20" s="24">
        <v>30</v>
      </c>
      <c r="H20" s="69">
        <f t="shared" si="0"/>
        <v>12.76595744680851</v>
      </c>
      <c r="I20" s="69">
        <v>12.76595744680851</v>
      </c>
      <c r="J20" s="32">
        <v>1</v>
      </c>
      <c r="K20" s="57" t="s">
        <v>40</v>
      </c>
      <c r="L20" s="7" t="s">
        <v>634</v>
      </c>
      <c r="M20" s="7" t="s">
        <v>638</v>
      </c>
      <c r="N20" s="7" t="s">
        <v>632</v>
      </c>
      <c r="O20" s="65" t="s">
        <v>425</v>
      </c>
      <c r="P20" s="14">
        <v>186</v>
      </c>
      <c r="Q20" s="6" t="s">
        <v>424</v>
      </c>
      <c r="R20" s="9">
        <v>48500000</v>
      </c>
      <c r="S20" s="10">
        <v>1</v>
      </c>
      <c r="T20" s="10">
        <v>2</v>
      </c>
      <c r="U20" s="4"/>
      <c r="V20" s="4" t="s">
        <v>476</v>
      </c>
      <c r="W20" s="10">
        <v>1</v>
      </c>
      <c r="X20" s="10">
        <v>3</v>
      </c>
      <c r="Y20" s="43">
        <v>13200000</v>
      </c>
      <c r="Z20" s="43">
        <v>13200000</v>
      </c>
      <c r="AA20" s="43">
        <v>10915000</v>
      </c>
      <c r="AB20" s="43">
        <v>5656180</v>
      </c>
      <c r="AC20" s="43">
        <v>5656180</v>
      </c>
      <c r="AD20" s="43">
        <v>0</v>
      </c>
      <c r="AE20" s="43">
        <v>5656180</v>
      </c>
      <c r="AF20" s="43">
        <v>13860000</v>
      </c>
      <c r="AG20" s="43">
        <v>13860000</v>
      </c>
      <c r="AH20" s="43">
        <v>13720784.279999999</v>
      </c>
      <c r="AI20" s="43">
        <v>9175170</v>
      </c>
      <c r="AJ20" s="43">
        <v>9167280</v>
      </c>
      <c r="AK20" s="43">
        <v>2678130</v>
      </c>
      <c r="AL20" s="43">
        <v>11845410</v>
      </c>
      <c r="AM20" s="43">
        <v>48500000</v>
      </c>
      <c r="AN20" s="43">
        <v>33950000</v>
      </c>
      <c r="AO20" s="43">
        <v>7638030</v>
      </c>
      <c r="AP20" s="43">
        <v>7638030</v>
      </c>
      <c r="AQ20" s="43">
        <v>7638030</v>
      </c>
      <c r="AR20" s="43">
        <v>1522235.92</v>
      </c>
      <c r="AS20" s="30">
        <f>SUBTOTAL(9,AQ20:AR20)</f>
        <v>9160265.9199999999</v>
      </c>
      <c r="AT20" s="43">
        <v>48500000</v>
      </c>
      <c r="AU20" s="43">
        <v>48500000</v>
      </c>
      <c r="AV20" s="43">
        <v>38947492.770000003</v>
      </c>
      <c r="AW20" s="43">
        <v>38935541.109999999</v>
      </c>
      <c r="AX20" s="43">
        <v>38935541.109999999</v>
      </c>
      <c r="AY20" s="43">
        <v>0</v>
      </c>
      <c r="AZ20" s="43">
        <v>38935541.109999999</v>
      </c>
      <c r="BA20" s="21">
        <f t="shared" si="1"/>
        <v>124060000</v>
      </c>
      <c r="BB20" s="21">
        <f t="shared" si="2"/>
        <v>109510000</v>
      </c>
      <c r="BC20" s="21">
        <f t="shared" si="3"/>
        <v>71221307.050000012</v>
      </c>
      <c r="BD20" s="21">
        <f t="shared" si="4"/>
        <v>61404921.109999999</v>
      </c>
      <c r="BE20" s="21">
        <f t="shared" si="5"/>
        <v>61397031.109999999</v>
      </c>
      <c r="BF20" s="21">
        <f t="shared" si="6"/>
        <v>4200365.92</v>
      </c>
      <c r="BG20" s="21">
        <f t="shared" si="7"/>
        <v>65597397.030000001</v>
      </c>
      <c r="BH20" s="49">
        <f t="shared" si="8"/>
        <v>92.103613015622116</v>
      </c>
      <c r="BI20" s="49">
        <f t="shared" si="9"/>
        <v>59.900828262259154</v>
      </c>
    </row>
    <row r="21" spans="1:61" ht="49.95" customHeight="1" x14ac:dyDescent="0.3">
      <c r="A21" s="19" t="s">
        <v>287</v>
      </c>
      <c r="B21" s="19">
        <v>714</v>
      </c>
      <c r="C21" s="3" t="s">
        <v>73</v>
      </c>
      <c r="D21" s="6" t="s">
        <v>260</v>
      </c>
      <c r="E21" s="23">
        <v>328</v>
      </c>
      <c r="F21" s="7" t="s">
        <v>74</v>
      </c>
      <c r="G21" s="23">
        <v>863</v>
      </c>
      <c r="H21" s="69">
        <v>0</v>
      </c>
      <c r="I21" s="69">
        <v>0</v>
      </c>
      <c r="J21" s="33">
        <v>1</v>
      </c>
      <c r="K21" s="58" t="s">
        <v>75</v>
      </c>
      <c r="L21" s="7" t="s">
        <v>635</v>
      </c>
      <c r="M21" s="7" t="s">
        <v>640</v>
      </c>
      <c r="N21" s="7" t="s">
        <v>632</v>
      </c>
      <c r="O21" s="65" t="s">
        <v>426</v>
      </c>
      <c r="P21" s="8" t="s">
        <v>502</v>
      </c>
      <c r="Q21" s="6" t="s">
        <v>427</v>
      </c>
      <c r="R21" s="27" t="s">
        <v>553</v>
      </c>
      <c r="S21" s="20">
        <v>2</v>
      </c>
      <c r="T21" s="10" t="s">
        <v>428</v>
      </c>
      <c r="U21" s="4"/>
      <c r="V21" s="4" t="s">
        <v>591</v>
      </c>
      <c r="W21" s="20">
        <v>2</v>
      </c>
      <c r="X21" s="10" t="s">
        <v>595</v>
      </c>
      <c r="Y21" s="43">
        <f>0+1725000000</f>
        <v>1725000000</v>
      </c>
      <c r="Z21" s="43">
        <f>9021667+1496000000</f>
        <v>1505021667</v>
      </c>
      <c r="AA21" s="43">
        <f>0+1495951633.09</f>
        <v>1495951633.0899999</v>
      </c>
      <c r="AB21" s="43">
        <f>0+1471407155.02</f>
        <v>1471407155.02</v>
      </c>
      <c r="AC21" s="43">
        <f>0+1471362604.38</f>
        <v>1471362604.3800001</v>
      </c>
      <c r="AD21" s="43">
        <f>0+0</f>
        <v>0</v>
      </c>
      <c r="AE21" s="43">
        <f>0+1471362604.38</f>
        <v>1471362604.3800001</v>
      </c>
      <c r="AF21" s="43">
        <f>464362000+1898000000</f>
        <v>2362362000</v>
      </c>
      <c r="AG21" s="43">
        <f>554920000+1867942000</f>
        <v>2422862000</v>
      </c>
      <c r="AH21" s="43">
        <f>298289006.32+1865922086.68</f>
        <v>2164211093</v>
      </c>
      <c r="AI21" s="43">
        <f>207868893.35+1842948867.1</f>
        <v>2050817760.4499998</v>
      </c>
      <c r="AJ21" s="43">
        <f>206252369.92+1842927341.3</f>
        <v>2049179711.22</v>
      </c>
      <c r="AK21" s="43">
        <f>0+12824155.35</f>
        <v>12824155.35</v>
      </c>
      <c r="AL21" s="43">
        <f>206252369.92+1855751496.65</f>
        <v>2062003866.5700002</v>
      </c>
      <c r="AM21" s="43">
        <f>463230000+1700000000</f>
        <v>2163230000</v>
      </c>
      <c r="AN21" s="43">
        <f>345421000+1689562020</f>
        <v>2034983020</v>
      </c>
      <c r="AO21" s="43">
        <f>259184149.36+1689093378.07</f>
        <v>1948277527.4299998</v>
      </c>
      <c r="AP21" s="43">
        <f>180743614.1+1515691367.76</f>
        <v>1696434981.8599999</v>
      </c>
      <c r="AQ21" s="43">
        <f>180743614.1+1515608935.88</f>
        <v>1696352549.98</v>
      </c>
      <c r="AR21" s="43">
        <f>66415609.08+10979055.04</f>
        <v>77394664.120000005</v>
      </c>
      <c r="AS21" s="43">
        <f>247159223.18+1526587990.92</f>
        <v>1773747214.1000001</v>
      </c>
      <c r="AT21" s="43">
        <f>430740000+2072000000</f>
        <v>2502740000</v>
      </c>
      <c r="AU21" s="43">
        <f>430740000+1772000000</f>
        <v>2202740000</v>
      </c>
      <c r="AV21" s="43">
        <f>266928597.81+1769223459.38</f>
        <v>2036152057.1900001</v>
      </c>
      <c r="AW21" s="43">
        <f>174529977.16+1354620832.86</f>
        <v>1529150810.02</v>
      </c>
      <c r="AX21" s="43">
        <f>174166671.96+1354492365.83</f>
        <v>1528659037.79</v>
      </c>
      <c r="AY21" s="43">
        <f>80942401.39+160329233.48</f>
        <v>241271634.87</v>
      </c>
      <c r="AZ21" s="43">
        <f>255109073.35+1514821599.31</f>
        <v>1769930672.6599998</v>
      </c>
      <c r="BA21" s="21">
        <f t="shared" si="1"/>
        <v>8753332000</v>
      </c>
      <c r="BB21" s="21">
        <f t="shared" si="2"/>
        <v>8165606687</v>
      </c>
      <c r="BC21" s="21">
        <f t="shared" si="3"/>
        <v>7644592310.710001</v>
      </c>
      <c r="BD21" s="21">
        <f t="shared" si="4"/>
        <v>6747810707.3500004</v>
      </c>
      <c r="BE21" s="21">
        <f t="shared" si="5"/>
        <v>6745553903.3699999</v>
      </c>
      <c r="BF21" s="21">
        <f t="shared" si="6"/>
        <v>331490454.34000003</v>
      </c>
      <c r="BG21" s="21">
        <f t="shared" si="7"/>
        <v>7077044357.71</v>
      </c>
      <c r="BH21" s="49">
        <f t="shared" si="8"/>
        <v>92.575824452994411</v>
      </c>
      <c r="BI21" s="49">
        <f t="shared" si="9"/>
        <v>86.668935071009017</v>
      </c>
    </row>
    <row r="22" spans="1:61" ht="49.95" customHeight="1" x14ac:dyDescent="0.3">
      <c r="A22" s="19" t="s">
        <v>288</v>
      </c>
      <c r="B22" s="19">
        <v>714</v>
      </c>
      <c r="C22" s="3" t="s">
        <v>43</v>
      </c>
      <c r="D22" s="6" t="s">
        <v>260</v>
      </c>
      <c r="E22" s="23">
        <v>85</v>
      </c>
      <c r="F22" s="7" t="s">
        <v>33</v>
      </c>
      <c r="G22" s="23">
        <v>69.900000000000006</v>
      </c>
      <c r="H22" s="69">
        <v>0</v>
      </c>
      <c r="I22" s="69">
        <v>0</v>
      </c>
      <c r="J22" s="33">
        <v>1</v>
      </c>
      <c r="K22" s="59"/>
      <c r="L22" s="7" t="s">
        <v>635</v>
      </c>
      <c r="M22" s="7" t="s">
        <v>639</v>
      </c>
      <c r="N22" s="7" t="s">
        <v>632</v>
      </c>
      <c r="O22" s="65" t="s">
        <v>503</v>
      </c>
      <c r="P22" s="28">
        <v>0.85</v>
      </c>
      <c r="Q22" s="27" t="s">
        <v>554</v>
      </c>
      <c r="R22" s="22" t="s">
        <v>555</v>
      </c>
      <c r="S22" s="20">
        <v>2</v>
      </c>
      <c r="T22" s="10" t="s">
        <v>429</v>
      </c>
      <c r="U22" s="4"/>
      <c r="V22" s="4" t="s">
        <v>591</v>
      </c>
      <c r="W22" s="20">
        <v>2</v>
      </c>
      <c r="X22" s="10" t="s">
        <v>595</v>
      </c>
      <c r="Y22" s="43">
        <f>0+1725000000</f>
        <v>1725000000</v>
      </c>
      <c r="Z22" s="43">
        <f>9021667+1496000000</f>
        <v>1505021667</v>
      </c>
      <c r="AA22" s="43">
        <f>0+1495951633.09</f>
        <v>1495951633.0899999</v>
      </c>
      <c r="AB22" s="43">
        <f>0+1471407155.02</f>
        <v>1471407155.02</v>
      </c>
      <c r="AC22" s="43">
        <f>0+1471362604.38</f>
        <v>1471362604.3800001</v>
      </c>
      <c r="AD22" s="43">
        <f>0+0</f>
        <v>0</v>
      </c>
      <c r="AE22" s="43">
        <f>0+1471362604.38</f>
        <v>1471362604.3800001</v>
      </c>
      <c r="AF22" s="43">
        <f>464362000+1898000000</f>
        <v>2362362000</v>
      </c>
      <c r="AG22" s="43">
        <f>554920000+1867942000</f>
        <v>2422862000</v>
      </c>
      <c r="AH22" s="43">
        <f>298289006.32+1865922086.68</f>
        <v>2164211093</v>
      </c>
      <c r="AI22" s="43">
        <f>207868893.35+1842948867.1</f>
        <v>2050817760.4499998</v>
      </c>
      <c r="AJ22" s="43">
        <f>206252369.92+1842927341.3</f>
        <v>2049179711.22</v>
      </c>
      <c r="AK22" s="43">
        <f>0+12824155.35</f>
        <v>12824155.35</v>
      </c>
      <c r="AL22" s="43">
        <f>206252369.92+1855751496.65</f>
        <v>2062003866.5700002</v>
      </c>
      <c r="AM22" s="43">
        <f>463230000+1700000000</f>
        <v>2163230000</v>
      </c>
      <c r="AN22" s="43">
        <f>345421000+1689562020</f>
        <v>2034983020</v>
      </c>
      <c r="AO22" s="43">
        <f>259184149.36+1689093378.07</f>
        <v>1948277527.4299998</v>
      </c>
      <c r="AP22" s="43">
        <f>180743614.1+1515691367.76</f>
        <v>1696434981.8599999</v>
      </c>
      <c r="AQ22" s="43">
        <f>180743614.1+1515608935.88</f>
        <v>1696352549.98</v>
      </c>
      <c r="AR22" s="43">
        <f>66415609.08+10979055.04</f>
        <v>77394664.120000005</v>
      </c>
      <c r="AS22" s="43">
        <f>247159223.18+1526587990.92</f>
        <v>1773747214.1000001</v>
      </c>
      <c r="AT22" s="43">
        <f>430740000+2072000000</f>
        <v>2502740000</v>
      </c>
      <c r="AU22" s="43">
        <f>430740000+1772000000</f>
        <v>2202740000</v>
      </c>
      <c r="AV22" s="43">
        <f>266928597.81+1769223459.38</f>
        <v>2036152057.1900001</v>
      </c>
      <c r="AW22" s="43">
        <f>174529977.16+1354620832.86</f>
        <v>1529150810.02</v>
      </c>
      <c r="AX22" s="43">
        <f>174166671.96+1354492365.83</f>
        <v>1528659037.79</v>
      </c>
      <c r="AY22" s="43">
        <f>80942401.39+160329233.48</f>
        <v>241271634.87</v>
      </c>
      <c r="AZ22" s="43">
        <f>255109073.35+1514821599.31</f>
        <v>1769930672.6599998</v>
      </c>
      <c r="BA22" s="21">
        <f t="shared" si="1"/>
        <v>8753332000</v>
      </c>
      <c r="BB22" s="21">
        <f t="shared" si="2"/>
        <v>8165606687</v>
      </c>
      <c r="BC22" s="21">
        <f t="shared" si="3"/>
        <v>7644592310.710001</v>
      </c>
      <c r="BD22" s="21">
        <f t="shared" si="4"/>
        <v>6747810707.3500004</v>
      </c>
      <c r="BE22" s="21">
        <f t="shared" si="5"/>
        <v>6745553903.3699999</v>
      </c>
      <c r="BF22" s="21">
        <f t="shared" si="6"/>
        <v>331490454.34000003</v>
      </c>
      <c r="BG22" s="21">
        <f t="shared" si="7"/>
        <v>7077044357.71</v>
      </c>
      <c r="BH22" s="49">
        <f t="shared" si="8"/>
        <v>92.575824452994411</v>
      </c>
      <c r="BI22" s="49">
        <f t="shared" si="9"/>
        <v>86.668935071009017</v>
      </c>
    </row>
    <row r="23" spans="1:61" ht="49.95" customHeight="1" x14ac:dyDescent="0.3">
      <c r="A23" s="19" t="s">
        <v>289</v>
      </c>
      <c r="B23" s="19">
        <v>714</v>
      </c>
      <c r="C23" s="3" t="s">
        <v>57</v>
      </c>
      <c r="D23" s="6" t="s">
        <v>260</v>
      </c>
      <c r="E23" s="23">
        <v>30</v>
      </c>
      <c r="F23" s="7" t="s">
        <v>58</v>
      </c>
      <c r="G23" s="23">
        <v>392</v>
      </c>
      <c r="H23" s="70">
        <f t="shared" ref="H23:H34" si="10">G23*100/E23</f>
        <v>1306.6666666666667</v>
      </c>
      <c r="I23" s="68">
        <v>100</v>
      </c>
      <c r="J23" s="33">
        <v>5</v>
      </c>
      <c r="K23" s="58"/>
      <c r="L23" s="7" t="s">
        <v>634</v>
      </c>
      <c r="M23" s="7" t="s">
        <v>643</v>
      </c>
      <c r="N23" s="7" t="s">
        <v>636</v>
      </c>
      <c r="O23" s="65" t="s">
        <v>504</v>
      </c>
      <c r="P23" s="14">
        <v>30</v>
      </c>
      <c r="Q23" s="6" t="s">
        <v>473</v>
      </c>
      <c r="R23" s="16">
        <v>2870000000</v>
      </c>
      <c r="S23" s="20">
        <v>1</v>
      </c>
      <c r="T23" s="20">
        <v>6</v>
      </c>
      <c r="U23" s="4"/>
      <c r="V23" s="4" t="s">
        <v>586</v>
      </c>
      <c r="W23" s="20">
        <v>1</v>
      </c>
      <c r="X23" s="20">
        <v>6</v>
      </c>
      <c r="Y23" s="31">
        <v>0</v>
      </c>
      <c r="Z23" s="31">
        <v>0</v>
      </c>
      <c r="AA23" s="31">
        <v>0</v>
      </c>
      <c r="AB23" s="31">
        <v>0</v>
      </c>
      <c r="AC23" s="31">
        <v>0</v>
      </c>
      <c r="AD23" s="31">
        <v>0</v>
      </c>
      <c r="AE23" s="31">
        <v>0</v>
      </c>
      <c r="AF23" s="43">
        <v>2184000000</v>
      </c>
      <c r="AG23" s="43">
        <v>2181899999</v>
      </c>
      <c r="AH23" s="43">
        <v>2181641614.7800002</v>
      </c>
      <c r="AI23" s="43">
        <v>1432444771.7600002</v>
      </c>
      <c r="AJ23" s="43">
        <v>1313462620.8099999</v>
      </c>
      <c r="AK23" s="43">
        <v>0</v>
      </c>
      <c r="AL23" s="43">
        <v>1313462620.8099999</v>
      </c>
      <c r="AM23" s="43">
        <v>2088000000</v>
      </c>
      <c r="AN23" s="43">
        <v>2296719000</v>
      </c>
      <c r="AO23" s="43">
        <v>2290407299.6100001</v>
      </c>
      <c r="AP23" s="43">
        <v>1846061095.1100001</v>
      </c>
      <c r="AQ23" s="43">
        <v>1798105326.6900003</v>
      </c>
      <c r="AR23" s="43">
        <v>793497693.11000001</v>
      </c>
      <c r="AS23" s="43">
        <v>2591603019.7999997</v>
      </c>
      <c r="AT23" s="43">
        <v>2870000000</v>
      </c>
      <c r="AU23" s="43">
        <v>3420672000</v>
      </c>
      <c r="AV23" s="43">
        <v>3420232110.2800002</v>
      </c>
      <c r="AW23" s="43">
        <v>2480086235.4199996</v>
      </c>
      <c r="AX23" s="43">
        <v>2152044572.77</v>
      </c>
      <c r="AY23" s="43">
        <v>457933960.27000004</v>
      </c>
      <c r="AZ23" s="43">
        <v>2609978533.04</v>
      </c>
      <c r="BA23" s="21">
        <f t="shared" si="1"/>
        <v>7142000000</v>
      </c>
      <c r="BB23" s="21">
        <f t="shared" si="2"/>
        <v>7899290999</v>
      </c>
      <c r="BC23" s="21">
        <f t="shared" si="3"/>
        <v>7892281024.6700001</v>
      </c>
      <c r="BD23" s="21">
        <f t="shared" si="4"/>
        <v>5758592102.29</v>
      </c>
      <c r="BE23" s="21">
        <f t="shared" si="5"/>
        <v>5263612520.2700005</v>
      </c>
      <c r="BF23" s="21">
        <f t="shared" si="6"/>
        <v>1251431653.3800001</v>
      </c>
      <c r="BG23" s="21">
        <f t="shared" si="7"/>
        <v>6515044173.6499996</v>
      </c>
      <c r="BH23" s="49">
        <f t="shared" si="8"/>
        <v>82.549571578673138</v>
      </c>
      <c r="BI23" s="49">
        <f t="shared" si="9"/>
        <v>82.476315589269504</v>
      </c>
    </row>
    <row r="24" spans="1:61" ht="49.95" customHeight="1" x14ac:dyDescent="0.3">
      <c r="A24" s="19" t="s">
        <v>290</v>
      </c>
      <c r="B24" s="19">
        <v>714</v>
      </c>
      <c r="C24" s="3" t="s">
        <v>79</v>
      </c>
      <c r="D24" s="6" t="s">
        <v>260</v>
      </c>
      <c r="E24" s="23">
        <v>30</v>
      </c>
      <c r="F24" s="7" t="s">
        <v>33</v>
      </c>
      <c r="G24" s="23">
        <v>62.6</v>
      </c>
      <c r="H24" s="70">
        <f t="shared" si="10"/>
        <v>208.66666666666666</v>
      </c>
      <c r="I24" s="68">
        <v>100</v>
      </c>
      <c r="J24" s="33">
        <v>5</v>
      </c>
      <c r="K24" s="58"/>
      <c r="L24" s="7" t="s">
        <v>635</v>
      </c>
      <c r="M24" s="7" t="s">
        <v>640</v>
      </c>
      <c r="N24" s="7" t="s">
        <v>632</v>
      </c>
      <c r="O24" s="65" t="s">
        <v>505</v>
      </c>
      <c r="P24" s="29">
        <v>9.4499999999999993</v>
      </c>
      <c r="Q24" s="27" t="s">
        <v>556</v>
      </c>
      <c r="R24" s="22" t="s">
        <v>555</v>
      </c>
      <c r="S24" s="20">
        <v>2</v>
      </c>
      <c r="T24" s="10" t="s">
        <v>429</v>
      </c>
      <c r="U24" s="4"/>
      <c r="V24" s="4" t="s">
        <v>591</v>
      </c>
      <c r="W24" s="20">
        <v>2</v>
      </c>
      <c r="X24" s="10" t="s">
        <v>595</v>
      </c>
      <c r="Y24" s="43">
        <f>0+1725000000</f>
        <v>1725000000</v>
      </c>
      <c r="Z24" s="43">
        <f>9021667+1496000000</f>
        <v>1505021667</v>
      </c>
      <c r="AA24" s="43">
        <f>0+1495951633.09</f>
        <v>1495951633.0899999</v>
      </c>
      <c r="AB24" s="43">
        <f>0+1471407155.02</f>
        <v>1471407155.02</v>
      </c>
      <c r="AC24" s="43">
        <f>0+1471362604.38</f>
        <v>1471362604.3800001</v>
      </c>
      <c r="AD24" s="43">
        <f>0+0</f>
        <v>0</v>
      </c>
      <c r="AE24" s="43">
        <f>0+1471362604.38</f>
        <v>1471362604.3800001</v>
      </c>
      <c r="AF24" s="43">
        <f>464362000+1898000000</f>
        <v>2362362000</v>
      </c>
      <c r="AG24" s="43">
        <f>554920000+1867942000</f>
        <v>2422862000</v>
      </c>
      <c r="AH24" s="43">
        <f>298289006.32+1865922086.68</f>
        <v>2164211093</v>
      </c>
      <c r="AI24" s="43">
        <f>207868893.35+1842948867.1</f>
        <v>2050817760.4499998</v>
      </c>
      <c r="AJ24" s="43">
        <f>206252369.92+1842927341.3</f>
        <v>2049179711.22</v>
      </c>
      <c r="AK24" s="43">
        <f>0+12824155.35</f>
        <v>12824155.35</v>
      </c>
      <c r="AL24" s="43">
        <f>206252369.92+1855751496.65</f>
        <v>2062003866.5700002</v>
      </c>
      <c r="AM24" s="43">
        <f>463230000+1700000000</f>
        <v>2163230000</v>
      </c>
      <c r="AN24" s="43">
        <f>345421000+1689562020</f>
        <v>2034983020</v>
      </c>
      <c r="AO24" s="43">
        <f>259184149.36+1689093378.07</f>
        <v>1948277527.4299998</v>
      </c>
      <c r="AP24" s="43">
        <f>180743614.1+1515691367.76</f>
        <v>1696434981.8599999</v>
      </c>
      <c r="AQ24" s="43">
        <f>180743614.1+1515608935.88</f>
        <v>1696352549.98</v>
      </c>
      <c r="AR24" s="43">
        <f>66415609.08+10979055.04</f>
        <v>77394664.120000005</v>
      </c>
      <c r="AS24" s="43">
        <f>247159223.18+1526587990.92</f>
        <v>1773747214.1000001</v>
      </c>
      <c r="AT24" s="43">
        <f>430740000+2072000000</f>
        <v>2502740000</v>
      </c>
      <c r="AU24" s="43">
        <f>430740000+1772000000</f>
        <v>2202740000</v>
      </c>
      <c r="AV24" s="43">
        <f>266928597.81+1769223459.38</f>
        <v>2036152057.1900001</v>
      </c>
      <c r="AW24" s="43">
        <f>174529977.16+1354620832.86</f>
        <v>1529150810.02</v>
      </c>
      <c r="AX24" s="43">
        <f>174166671.96+1354492365.83</f>
        <v>1528659037.79</v>
      </c>
      <c r="AY24" s="43">
        <f>80942401.39+160329233.48</f>
        <v>241271634.87</v>
      </c>
      <c r="AZ24" s="43">
        <f>255109073.35+1514821599.31</f>
        <v>1769930672.6599998</v>
      </c>
      <c r="BA24" s="21">
        <f t="shared" si="1"/>
        <v>8753332000</v>
      </c>
      <c r="BB24" s="21">
        <f t="shared" si="2"/>
        <v>8165606687</v>
      </c>
      <c r="BC24" s="21">
        <f t="shared" si="3"/>
        <v>7644592310.710001</v>
      </c>
      <c r="BD24" s="21">
        <f t="shared" si="4"/>
        <v>6747810707.3500004</v>
      </c>
      <c r="BE24" s="21">
        <f t="shared" si="5"/>
        <v>6745553903.3699999</v>
      </c>
      <c r="BF24" s="21">
        <f t="shared" si="6"/>
        <v>331490454.34000003</v>
      </c>
      <c r="BG24" s="21">
        <f t="shared" si="7"/>
        <v>7077044357.71</v>
      </c>
      <c r="BH24" s="49">
        <f t="shared" si="8"/>
        <v>92.575824452994411</v>
      </c>
      <c r="BI24" s="49">
        <f t="shared" si="9"/>
        <v>86.668935071009017</v>
      </c>
    </row>
    <row r="25" spans="1:61" ht="49.95" customHeight="1" x14ac:dyDescent="0.3">
      <c r="A25" s="19" t="s">
        <v>291</v>
      </c>
      <c r="B25" s="19">
        <v>714</v>
      </c>
      <c r="C25" s="3" t="s">
        <v>77</v>
      </c>
      <c r="D25" s="6" t="s">
        <v>264</v>
      </c>
      <c r="E25" s="23">
        <v>600</v>
      </c>
      <c r="F25" s="7" t="s">
        <v>78</v>
      </c>
      <c r="G25" s="23">
        <v>1218</v>
      </c>
      <c r="H25" s="70">
        <f t="shared" si="10"/>
        <v>203</v>
      </c>
      <c r="I25" s="68">
        <v>100</v>
      </c>
      <c r="J25" s="33">
        <v>5</v>
      </c>
      <c r="K25" s="58"/>
      <c r="L25" s="7" t="s">
        <v>631</v>
      </c>
      <c r="M25" s="7" t="s">
        <v>642</v>
      </c>
      <c r="N25" s="7" t="s">
        <v>632</v>
      </c>
      <c r="O25" s="65"/>
      <c r="P25" s="29"/>
      <c r="Q25" s="27"/>
      <c r="R25" s="27"/>
      <c r="S25" s="20"/>
      <c r="T25" s="10"/>
      <c r="U25" s="4" t="s">
        <v>477</v>
      </c>
      <c r="V25" s="4" t="s">
        <v>477</v>
      </c>
      <c r="W25" s="20">
        <v>1</v>
      </c>
      <c r="X25" s="10">
        <v>1</v>
      </c>
      <c r="Y25" s="43">
        <v>46510000</v>
      </c>
      <c r="Z25" s="43">
        <v>53176666</v>
      </c>
      <c r="AA25" s="43">
        <v>46346105.329999998</v>
      </c>
      <c r="AB25" s="43">
        <v>30655067.100000001</v>
      </c>
      <c r="AC25" s="43">
        <v>30655067.100000001</v>
      </c>
      <c r="AD25" s="43">
        <v>0</v>
      </c>
      <c r="AE25" s="43">
        <v>30655067.100000001</v>
      </c>
      <c r="AF25" s="43">
        <v>56000000</v>
      </c>
      <c r="AG25" s="43">
        <v>56000000</v>
      </c>
      <c r="AH25" s="43">
        <v>48128283.310000002</v>
      </c>
      <c r="AI25" s="43">
        <v>37465059.619999997</v>
      </c>
      <c r="AJ25" s="43">
        <v>37465059.619999997</v>
      </c>
      <c r="AK25" s="43">
        <v>14224229.52</v>
      </c>
      <c r="AL25" s="43">
        <v>51689289.140000001</v>
      </c>
      <c r="AM25" s="43">
        <v>56850000</v>
      </c>
      <c r="AN25" s="43">
        <v>52380000</v>
      </c>
      <c r="AO25" s="43">
        <v>45345052.600000001</v>
      </c>
      <c r="AP25" s="43">
        <v>34909119</v>
      </c>
      <c r="AQ25" s="43">
        <v>34863632.219999999</v>
      </c>
      <c r="AR25" s="43">
        <v>11026278.370000001</v>
      </c>
      <c r="AS25" s="43">
        <v>45889910.590000004</v>
      </c>
      <c r="AT25" s="43">
        <v>63281150</v>
      </c>
      <c r="AU25" s="43">
        <v>63281150</v>
      </c>
      <c r="AV25" s="43">
        <v>59160831.160000004</v>
      </c>
      <c r="AW25" s="43">
        <v>51701652.609999999</v>
      </c>
      <c r="AX25" s="43">
        <v>51565430.680000007</v>
      </c>
      <c r="AY25" s="43">
        <v>9935481.6500000004</v>
      </c>
      <c r="AZ25" s="43">
        <v>61500912.330000006</v>
      </c>
      <c r="BA25" s="21">
        <f t="shared" si="1"/>
        <v>222641150</v>
      </c>
      <c r="BB25" s="21">
        <f t="shared" si="2"/>
        <v>224837816</v>
      </c>
      <c r="BC25" s="21">
        <f t="shared" si="3"/>
        <v>198980272.40000001</v>
      </c>
      <c r="BD25" s="21">
        <f t="shared" si="4"/>
        <v>154730898.32999998</v>
      </c>
      <c r="BE25" s="21">
        <f t="shared" si="5"/>
        <v>154549189.62</v>
      </c>
      <c r="BF25" s="21">
        <f t="shared" si="6"/>
        <v>35185989.539999999</v>
      </c>
      <c r="BG25" s="21">
        <f t="shared" si="7"/>
        <v>189735179.16000003</v>
      </c>
      <c r="BH25" s="49">
        <f t="shared" si="8"/>
        <v>95.353763904084403</v>
      </c>
      <c r="BI25" s="49">
        <f t="shared" si="9"/>
        <v>84.387574357153525</v>
      </c>
    </row>
    <row r="26" spans="1:61" ht="49.95" customHeight="1" x14ac:dyDescent="0.3">
      <c r="A26" s="19" t="s">
        <v>292</v>
      </c>
      <c r="B26" s="19">
        <v>714</v>
      </c>
      <c r="C26" s="3" t="s">
        <v>44</v>
      </c>
      <c r="D26" s="6" t="s">
        <v>260</v>
      </c>
      <c r="E26" s="23">
        <v>25</v>
      </c>
      <c r="F26" s="7" t="s">
        <v>33</v>
      </c>
      <c r="G26" s="23">
        <v>30</v>
      </c>
      <c r="H26" s="70">
        <f t="shared" si="10"/>
        <v>120</v>
      </c>
      <c r="I26" s="68">
        <v>100</v>
      </c>
      <c r="J26" s="33">
        <v>5</v>
      </c>
      <c r="K26" s="58"/>
      <c r="L26" s="7" t="s">
        <v>631</v>
      </c>
      <c r="M26" s="7" t="s">
        <v>644</v>
      </c>
      <c r="N26" s="7" t="s">
        <v>632</v>
      </c>
      <c r="O26" s="65" t="s">
        <v>506</v>
      </c>
      <c r="P26" s="28">
        <v>0.7</v>
      </c>
      <c r="Q26" s="27" t="s">
        <v>557</v>
      </c>
      <c r="R26" s="27" t="s">
        <v>555</v>
      </c>
      <c r="S26" s="20">
        <v>2</v>
      </c>
      <c r="T26" s="10" t="s">
        <v>429</v>
      </c>
      <c r="U26" s="4"/>
      <c r="V26" s="4" t="s">
        <v>591</v>
      </c>
      <c r="W26" s="20">
        <v>2</v>
      </c>
      <c r="X26" s="10" t="s">
        <v>595</v>
      </c>
      <c r="Y26" s="43">
        <f>0+1725000000</f>
        <v>1725000000</v>
      </c>
      <c r="Z26" s="43">
        <f>9021667+1496000000</f>
        <v>1505021667</v>
      </c>
      <c r="AA26" s="43">
        <f>0+1495951633.09</f>
        <v>1495951633.0899999</v>
      </c>
      <c r="AB26" s="43">
        <f>0+1471407155.02</f>
        <v>1471407155.02</v>
      </c>
      <c r="AC26" s="43">
        <f>0+1471362604.38</f>
        <v>1471362604.3800001</v>
      </c>
      <c r="AD26" s="43">
        <f>0+0</f>
        <v>0</v>
      </c>
      <c r="AE26" s="43">
        <f>0+1471362604.38</f>
        <v>1471362604.3800001</v>
      </c>
      <c r="AF26" s="43">
        <f>464362000+1898000000</f>
        <v>2362362000</v>
      </c>
      <c r="AG26" s="43">
        <f>554920000+1867942000</f>
        <v>2422862000</v>
      </c>
      <c r="AH26" s="43">
        <f>298289006.32+1865922086.68</f>
        <v>2164211093</v>
      </c>
      <c r="AI26" s="43">
        <f>207868893.35+1842948867.1</f>
        <v>2050817760.4499998</v>
      </c>
      <c r="AJ26" s="43">
        <f>206252369.92+1842927341.3</f>
        <v>2049179711.22</v>
      </c>
      <c r="AK26" s="43">
        <f>0+12824155.35</f>
        <v>12824155.35</v>
      </c>
      <c r="AL26" s="43">
        <f>206252369.92+1855751496.65</f>
        <v>2062003866.5700002</v>
      </c>
      <c r="AM26" s="43">
        <f>463230000+1700000000</f>
        <v>2163230000</v>
      </c>
      <c r="AN26" s="43">
        <f>345421000+1689562020</f>
        <v>2034983020</v>
      </c>
      <c r="AO26" s="43">
        <f>259184149.36+1689093378.07</f>
        <v>1948277527.4299998</v>
      </c>
      <c r="AP26" s="43">
        <f>180743614.1+1515691367.76</f>
        <v>1696434981.8599999</v>
      </c>
      <c r="AQ26" s="43">
        <f>180743614.1+1515608935.88</f>
        <v>1696352549.98</v>
      </c>
      <c r="AR26" s="43">
        <f>66415609.08+10979055.04</f>
        <v>77394664.120000005</v>
      </c>
      <c r="AS26" s="43">
        <f>247159223.18+1526587990.92</f>
        <v>1773747214.1000001</v>
      </c>
      <c r="AT26" s="43">
        <f>430740000+2072000000</f>
        <v>2502740000</v>
      </c>
      <c r="AU26" s="43">
        <f>430740000+1772000000</f>
        <v>2202740000</v>
      </c>
      <c r="AV26" s="43">
        <f>266928597.81+1769223459.38</f>
        <v>2036152057.1900001</v>
      </c>
      <c r="AW26" s="43">
        <f>174529977.16+1354620832.86</f>
        <v>1529150810.02</v>
      </c>
      <c r="AX26" s="43">
        <f>174166671.96+1354492365.83</f>
        <v>1528659037.79</v>
      </c>
      <c r="AY26" s="43">
        <f>80942401.39+160329233.48</f>
        <v>241271634.87</v>
      </c>
      <c r="AZ26" s="43">
        <f>255109073.35+1514821599.31</f>
        <v>1769930672.6599998</v>
      </c>
      <c r="BA26" s="21">
        <f t="shared" si="1"/>
        <v>8753332000</v>
      </c>
      <c r="BB26" s="21">
        <f t="shared" si="2"/>
        <v>8165606687</v>
      </c>
      <c r="BC26" s="21">
        <f t="shared" si="3"/>
        <v>7644592310.710001</v>
      </c>
      <c r="BD26" s="21">
        <f t="shared" si="4"/>
        <v>6747810707.3500004</v>
      </c>
      <c r="BE26" s="21">
        <f t="shared" si="5"/>
        <v>6745553903.3699999</v>
      </c>
      <c r="BF26" s="21">
        <f t="shared" si="6"/>
        <v>331490454.34000003</v>
      </c>
      <c r="BG26" s="21">
        <f t="shared" si="7"/>
        <v>7077044357.71</v>
      </c>
      <c r="BH26" s="49">
        <f t="shared" si="8"/>
        <v>92.575824452994411</v>
      </c>
      <c r="BI26" s="49">
        <f t="shared" si="9"/>
        <v>86.668935071009017</v>
      </c>
    </row>
    <row r="27" spans="1:61" ht="49.95" customHeight="1" x14ac:dyDescent="0.3">
      <c r="A27" s="19" t="s">
        <v>293</v>
      </c>
      <c r="B27" s="19">
        <v>714</v>
      </c>
      <c r="C27" s="3" t="s">
        <v>45</v>
      </c>
      <c r="D27" s="6" t="s">
        <v>260</v>
      </c>
      <c r="E27" s="23">
        <v>25</v>
      </c>
      <c r="F27" s="7" t="s">
        <v>33</v>
      </c>
      <c r="G27" s="23">
        <v>28.8</v>
      </c>
      <c r="H27" s="70">
        <f t="shared" si="10"/>
        <v>115.2</v>
      </c>
      <c r="I27" s="68">
        <v>100</v>
      </c>
      <c r="J27" s="33">
        <v>5</v>
      </c>
      <c r="K27" s="58"/>
      <c r="L27" s="7" t="s">
        <v>631</v>
      </c>
      <c r="M27" s="7" t="s">
        <v>644</v>
      </c>
      <c r="N27" s="7" t="s">
        <v>632</v>
      </c>
      <c r="O27" s="65" t="s">
        <v>507</v>
      </c>
      <c r="P27" s="28">
        <v>0.7</v>
      </c>
      <c r="Q27" s="27" t="s">
        <v>558</v>
      </c>
      <c r="R27" s="27" t="s">
        <v>555</v>
      </c>
      <c r="S27" s="20">
        <v>2</v>
      </c>
      <c r="T27" s="10" t="s">
        <v>429</v>
      </c>
      <c r="U27" s="4"/>
      <c r="V27" s="4" t="s">
        <v>591</v>
      </c>
      <c r="W27" s="20">
        <v>2</v>
      </c>
      <c r="X27" s="10" t="s">
        <v>595</v>
      </c>
      <c r="Y27" s="43">
        <f>0+1725000000</f>
        <v>1725000000</v>
      </c>
      <c r="Z27" s="43">
        <f>9021667+1496000000</f>
        <v>1505021667</v>
      </c>
      <c r="AA27" s="43">
        <f>0+1495951633.09</f>
        <v>1495951633.0899999</v>
      </c>
      <c r="AB27" s="43">
        <f>0+1471407155.02</f>
        <v>1471407155.02</v>
      </c>
      <c r="AC27" s="43">
        <f>0+1471362604.38</f>
        <v>1471362604.3800001</v>
      </c>
      <c r="AD27" s="43">
        <f>0+0</f>
        <v>0</v>
      </c>
      <c r="AE27" s="43">
        <f>0+1471362604.38</f>
        <v>1471362604.3800001</v>
      </c>
      <c r="AF27" s="43">
        <f>464362000+1898000000</f>
        <v>2362362000</v>
      </c>
      <c r="AG27" s="43">
        <f>554920000+1867942000</f>
        <v>2422862000</v>
      </c>
      <c r="AH27" s="43">
        <f>298289006.32+1865922086.68</f>
        <v>2164211093</v>
      </c>
      <c r="AI27" s="43">
        <f>207868893.35+1842948867.1</f>
        <v>2050817760.4499998</v>
      </c>
      <c r="AJ27" s="43">
        <f>206252369.92+1842927341.3</f>
        <v>2049179711.22</v>
      </c>
      <c r="AK27" s="43">
        <f>0+12824155.35</f>
        <v>12824155.35</v>
      </c>
      <c r="AL27" s="43">
        <f>206252369.92+1855751496.65</f>
        <v>2062003866.5700002</v>
      </c>
      <c r="AM27" s="43">
        <f>463230000+1700000000</f>
        <v>2163230000</v>
      </c>
      <c r="AN27" s="43">
        <f>345421000+1689562020</f>
        <v>2034983020</v>
      </c>
      <c r="AO27" s="43">
        <f>259184149.36+1689093378.07</f>
        <v>1948277527.4299998</v>
      </c>
      <c r="AP27" s="43">
        <f>180743614.1+1515691367.76</f>
        <v>1696434981.8599999</v>
      </c>
      <c r="AQ27" s="43">
        <f>180743614.1+1515608935.88</f>
        <v>1696352549.98</v>
      </c>
      <c r="AR27" s="43">
        <f>66415609.08+10979055.04</f>
        <v>77394664.120000005</v>
      </c>
      <c r="AS27" s="43">
        <f>247159223.18+1526587990.92</f>
        <v>1773747214.1000001</v>
      </c>
      <c r="AT27" s="43">
        <f>430740000+2072000000</f>
        <v>2502740000</v>
      </c>
      <c r="AU27" s="43">
        <f>430740000+1772000000</f>
        <v>2202740000</v>
      </c>
      <c r="AV27" s="43">
        <f>266928597.81+1769223459.38</f>
        <v>2036152057.1900001</v>
      </c>
      <c r="AW27" s="43">
        <f>174529977.16+1354620832.86</f>
        <v>1529150810.02</v>
      </c>
      <c r="AX27" s="43">
        <f>174166671.96+1354492365.83</f>
        <v>1528659037.79</v>
      </c>
      <c r="AY27" s="43">
        <f>80942401.39+160329233.48</f>
        <v>241271634.87</v>
      </c>
      <c r="AZ27" s="43">
        <f>255109073.35+1514821599.31</f>
        <v>1769930672.6599998</v>
      </c>
      <c r="BA27" s="21">
        <f t="shared" si="1"/>
        <v>8753332000</v>
      </c>
      <c r="BB27" s="21">
        <f t="shared" si="2"/>
        <v>8165606687</v>
      </c>
      <c r="BC27" s="21">
        <f t="shared" si="3"/>
        <v>7644592310.710001</v>
      </c>
      <c r="BD27" s="21">
        <f t="shared" si="4"/>
        <v>6747810707.3500004</v>
      </c>
      <c r="BE27" s="21">
        <f t="shared" si="5"/>
        <v>6745553903.3699999</v>
      </c>
      <c r="BF27" s="21">
        <f t="shared" si="6"/>
        <v>331490454.34000003</v>
      </c>
      <c r="BG27" s="21">
        <f t="shared" si="7"/>
        <v>7077044357.71</v>
      </c>
      <c r="BH27" s="49">
        <f t="shared" si="8"/>
        <v>92.575824452994411</v>
      </c>
      <c r="BI27" s="49">
        <f t="shared" si="9"/>
        <v>86.668935071009017</v>
      </c>
    </row>
    <row r="28" spans="1:61" ht="49.95" customHeight="1" x14ac:dyDescent="0.3">
      <c r="A28" s="19" t="s">
        <v>294</v>
      </c>
      <c r="B28" s="19">
        <v>714</v>
      </c>
      <c r="C28" s="3" t="s">
        <v>59</v>
      </c>
      <c r="D28" s="6" t="s">
        <v>260</v>
      </c>
      <c r="E28" s="23">
        <v>160</v>
      </c>
      <c r="F28" s="7" t="s">
        <v>60</v>
      </c>
      <c r="G28" s="23">
        <v>182</v>
      </c>
      <c r="H28" s="70">
        <f t="shared" si="10"/>
        <v>113.75</v>
      </c>
      <c r="I28" s="68">
        <v>100</v>
      </c>
      <c r="J28" s="33">
        <v>5</v>
      </c>
      <c r="K28" s="58"/>
      <c r="L28" s="7" t="s">
        <v>634</v>
      </c>
      <c r="M28" s="7" t="s">
        <v>643</v>
      </c>
      <c r="N28" s="7" t="s">
        <v>632</v>
      </c>
      <c r="O28" s="65" t="s">
        <v>508</v>
      </c>
      <c r="P28" s="14">
        <v>34</v>
      </c>
      <c r="Q28" s="8" t="s">
        <v>509</v>
      </c>
      <c r="R28" s="9">
        <v>17000000</v>
      </c>
      <c r="S28" s="20">
        <v>1</v>
      </c>
      <c r="T28" s="20">
        <v>1</v>
      </c>
      <c r="U28" s="4"/>
      <c r="V28" s="4">
        <v>3921</v>
      </c>
      <c r="W28" s="20">
        <v>1</v>
      </c>
      <c r="X28" s="20">
        <v>1</v>
      </c>
      <c r="Y28" s="43">
        <v>59300000</v>
      </c>
      <c r="Z28" s="43">
        <v>69300000</v>
      </c>
      <c r="AA28" s="43">
        <v>26795000</v>
      </c>
      <c r="AB28" s="43">
        <v>0</v>
      </c>
      <c r="AC28" s="43">
        <v>0</v>
      </c>
      <c r="AD28" s="31">
        <v>0</v>
      </c>
      <c r="AE28" s="31">
        <v>0</v>
      </c>
      <c r="AF28" s="43">
        <v>35460000</v>
      </c>
      <c r="AG28" s="43">
        <v>35460000</v>
      </c>
      <c r="AH28" s="43">
        <v>30900000</v>
      </c>
      <c r="AI28" s="43">
        <v>186000</v>
      </c>
      <c r="AJ28" s="43">
        <v>186000</v>
      </c>
      <c r="AK28" s="43">
        <v>484000</v>
      </c>
      <c r="AL28" s="43">
        <v>670000</v>
      </c>
      <c r="AM28" s="43">
        <v>34986000</v>
      </c>
      <c r="AN28" s="43">
        <v>34986000</v>
      </c>
      <c r="AO28" s="43">
        <v>25983955</v>
      </c>
      <c r="AP28" s="43">
        <v>0</v>
      </c>
      <c r="AQ28" s="43">
        <v>0</v>
      </c>
      <c r="AR28" s="43">
        <v>3684628.14</v>
      </c>
      <c r="AS28" s="43">
        <v>3684628.14</v>
      </c>
      <c r="AT28" s="43">
        <v>35074600</v>
      </c>
      <c r="AU28" s="43">
        <v>34653696</v>
      </c>
      <c r="AV28" s="43">
        <v>24467301.039999999</v>
      </c>
      <c r="AW28" s="43">
        <v>0</v>
      </c>
      <c r="AX28" s="43">
        <v>0</v>
      </c>
      <c r="AY28" s="43">
        <v>12713370.300000001</v>
      </c>
      <c r="AZ28" s="43">
        <v>12713370.300000001</v>
      </c>
      <c r="BA28" s="21">
        <f t="shared" si="1"/>
        <v>164820600</v>
      </c>
      <c r="BB28" s="21">
        <f t="shared" si="2"/>
        <v>174399696</v>
      </c>
      <c r="BC28" s="21">
        <f t="shared" si="3"/>
        <v>108146256.03999999</v>
      </c>
      <c r="BD28" s="21">
        <f t="shared" si="4"/>
        <v>186000</v>
      </c>
      <c r="BE28" s="21">
        <f t="shared" si="5"/>
        <v>186000</v>
      </c>
      <c r="BF28" s="21">
        <f t="shared" si="6"/>
        <v>16881998.440000001</v>
      </c>
      <c r="BG28" s="21">
        <f t="shared" si="7"/>
        <v>17067998.440000001</v>
      </c>
      <c r="BH28" s="49">
        <f t="shared" si="8"/>
        <v>15.782329472124372</v>
      </c>
      <c r="BI28" s="49">
        <f t="shared" si="9"/>
        <v>9.7867134126197115</v>
      </c>
    </row>
    <row r="29" spans="1:61" ht="49.95" customHeight="1" x14ac:dyDescent="0.3">
      <c r="A29" s="19" t="s">
        <v>295</v>
      </c>
      <c r="B29" s="19">
        <v>714</v>
      </c>
      <c r="C29" s="3" t="s">
        <v>41</v>
      </c>
      <c r="D29" s="6" t="s">
        <v>260</v>
      </c>
      <c r="E29" s="23">
        <v>27</v>
      </c>
      <c r="F29" s="7" t="s">
        <v>42</v>
      </c>
      <c r="G29" s="23">
        <v>27</v>
      </c>
      <c r="H29" s="70">
        <f t="shared" si="10"/>
        <v>100</v>
      </c>
      <c r="I29" s="70">
        <v>100</v>
      </c>
      <c r="J29" s="33">
        <v>5</v>
      </c>
      <c r="K29" s="58"/>
      <c r="L29" s="7" t="s">
        <v>631</v>
      </c>
      <c r="M29" s="7" t="s">
        <v>644</v>
      </c>
      <c r="N29" s="7" t="s">
        <v>632</v>
      </c>
      <c r="O29" s="65" t="s">
        <v>510</v>
      </c>
      <c r="P29" s="14">
        <v>27</v>
      </c>
      <c r="Q29" s="22" t="s">
        <v>559</v>
      </c>
      <c r="R29" s="27" t="s">
        <v>560</v>
      </c>
      <c r="S29" s="20">
        <v>2</v>
      </c>
      <c r="T29" s="10" t="s">
        <v>430</v>
      </c>
      <c r="U29" s="4"/>
      <c r="V29" s="4" t="s">
        <v>587</v>
      </c>
      <c r="W29" s="20">
        <v>2</v>
      </c>
      <c r="X29" s="10" t="s">
        <v>596</v>
      </c>
      <c r="Y29" s="43">
        <f>0+0</f>
        <v>0</v>
      </c>
      <c r="Z29" s="43">
        <f>9021667+0</f>
        <v>9021667</v>
      </c>
      <c r="AA29" s="43">
        <f>0+0</f>
        <v>0</v>
      </c>
      <c r="AB29" s="43">
        <f>0+0</f>
        <v>0</v>
      </c>
      <c r="AC29" s="43">
        <f>0+0</f>
        <v>0</v>
      </c>
      <c r="AD29" s="43">
        <f>0+0</f>
        <v>0</v>
      </c>
      <c r="AE29" s="43">
        <f>0+0</f>
        <v>0</v>
      </c>
      <c r="AF29" s="43">
        <f>464362000+2184000000</f>
        <v>2648362000</v>
      </c>
      <c r="AG29" s="43">
        <f>554920000+2181899999</f>
        <v>2736819999</v>
      </c>
      <c r="AH29" s="43">
        <f>298289006.32+2181641614.78</f>
        <v>2479930621.1000004</v>
      </c>
      <c r="AI29" s="43">
        <f>207868893.35+1432444771.76</f>
        <v>1640313665.1099999</v>
      </c>
      <c r="AJ29" s="43">
        <f>206252369.92+1313462620.81</f>
        <v>1519714990.73</v>
      </c>
      <c r="AK29" s="43">
        <f>0+0</f>
        <v>0</v>
      </c>
      <c r="AL29" s="43">
        <f>206252369.92+1313462620.81</f>
        <v>1519714990.73</v>
      </c>
      <c r="AM29" s="43">
        <f>463230000+2088000000</f>
        <v>2551230000</v>
      </c>
      <c r="AN29" s="43">
        <f>345421000+2296719000</f>
        <v>2642140000</v>
      </c>
      <c r="AO29" s="43">
        <f>259184149.36+2290407299.61</f>
        <v>2549591448.9700003</v>
      </c>
      <c r="AP29" s="43">
        <f>180743614.1+1846061095.11</f>
        <v>2026804709.2099998</v>
      </c>
      <c r="AQ29" s="43">
        <f>180743614.1+1798105326.69</f>
        <v>1978848940.79</v>
      </c>
      <c r="AR29" s="43">
        <f>66415609.08+793497693.11</f>
        <v>859913302.19000006</v>
      </c>
      <c r="AS29" s="43">
        <f>247159223.18+2591603019.8</f>
        <v>2838762242.98</v>
      </c>
      <c r="AT29" s="43">
        <f>430740000+2870000000</f>
        <v>3300740000</v>
      </c>
      <c r="AU29" s="43">
        <f>430740000+3420672000</f>
        <v>3851412000</v>
      </c>
      <c r="AV29" s="43">
        <f>266928597.81+3420232110.28</f>
        <v>3687160708.0900002</v>
      </c>
      <c r="AW29" s="43">
        <f>174529977.16+2480086235.42</f>
        <v>2654616212.5799999</v>
      </c>
      <c r="AX29" s="43">
        <f>174166671.96+2152044572.77</f>
        <v>2326211244.73</v>
      </c>
      <c r="AY29" s="43">
        <f>80942401.39+457933960.27</f>
        <v>538876361.65999997</v>
      </c>
      <c r="AZ29" s="43">
        <f>255109073.35+2609978533.04</f>
        <v>2865087606.3899999</v>
      </c>
      <c r="BA29" s="21">
        <f t="shared" si="1"/>
        <v>8500332000</v>
      </c>
      <c r="BB29" s="21">
        <f t="shared" si="2"/>
        <v>9239393666</v>
      </c>
      <c r="BC29" s="21">
        <f t="shared" si="3"/>
        <v>8716682778.1599998</v>
      </c>
      <c r="BD29" s="21">
        <f t="shared" si="4"/>
        <v>6321734586.8999996</v>
      </c>
      <c r="BE29" s="21">
        <f t="shared" si="5"/>
        <v>5824775176.25</v>
      </c>
      <c r="BF29" s="21">
        <f t="shared" si="6"/>
        <v>1398789663.8499999</v>
      </c>
      <c r="BG29" s="21">
        <f t="shared" si="7"/>
        <v>7223564840.1000004</v>
      </c>
      <c r="BH29" s="49">
        <f t="shared" si="8"/>
        <v>82.870571568796024</v>
      </c>
      <c r="BI29" s="49">
        <f t="shared" si="9"/>
        <v>78.182239021614166</v>
      </c>
    </row>
    <row r="30" spans="1:61" ht="49.95" customHeight="1" x14ac:dyDescent="0.3">
      <c r="A30" s="19" t="s">
        <v>296</v>
      </c>
      <c r="B30" s="19">
        <v>714</v>
      </c>
      <c r="C30" s="3" t="s">
        <v>54</v>
      </c>
      <c r="D30" s="6" t="s">
        <v>264</v>
      </c>
      <c r="E30" s="23">
        <v>34</v>
      </c>
      <c r="F30" s="7" t="s">
        <v>55</v>
      </c>
      <c r="G30" s="23">
        <v>34</v>
      </c>
      <c r="H30" s="70">
        <f t="shared" si="10"/>
        <v>100</v>
      </c>
      <c r="I30" s="70">
        <v>100</v>
      </c>
      <c r="J30" s="33">
        <v>5</v>
      </c>
      <c r="K30" s="58"/>
      <c r="L30" s="7" t="s">
        <v>631</v>
      </c>
      <c r="M30" s="7" t="s">
        <v>642</v>
      </c>
      <c r="N30" s="7" t="s">
        <v>632</v>
      </c>
      <c r="O30" s="65"/>
      <c r="P30" s="14"/>
      <c r="Q30" s="22"/>
      <c r="R30" s="27"/>
      <c r="S30" s="20"/>
      <c r="T30" s="10"/>
      <c r="U30" s="4" t="s">
        <v>478</v>
      </c>
      <c r="V30" s="4" t="s">
        <v>478</v>
      </c>
      <c r="W30" s="20">
        <v>1</v>
      </c>
      <c r="X30" s="10">
        <v>1</v>
      </c>
      <c r="Y30" s="43">
        <v>5000000</v>
      </c>
      <c r="Z30" s="43">
        <v>5333333</v>
      </c>
      <c r="AA30" s="43">
        <v>2329741</v>
      </c>
      <c r="AB30" s="43">
        <v>0</v>
      </c>
      <c r="AC30" s="43">
        <v>0</v>
      </c>
      <c r="AD30" s="30">
        <v>0</v>
      </c>
      <c r="AE30" s="30">
        <v>0</v>
      </c>
      <c r="AF30" s="43">
        <v>5000000</v>
      </c>
      <c r="AG30" s="43">
        <v>5000000</v>
      </c>
      <c r="AH30" s="43">
        <v>1927092.07</v>
      </c>
      <c r="AI30" s="43">
        <v>94868.04</v>
      </c>
      <c r="AJ30" s="43">
        <v>75348.09</v>
      </c>
      <c r="AK30" s="43">
        <v>0</v>
      </c>
      <c r="AL30" s="43">
        <v>75348.09</v>
      </c>
      <c r="AM30" s="43">
        <v>5000000</v>
      </c>
      <c r="AN30" s="43">
        <v>4000000</v>
      </c>
      <c r="AO30" s="43">
        <v>691644.85</v>
      </c>
      <c r="AP30" s="43">
        <v>21189.360000000001</v>
      </c>
      <c r="AQ30" s="43">
        <v>21189.360000000001</v>
      </c>
      <c r="AR30" s="30">
        <v>1097164.0900000001</v>
      </c>
      <c r="AS30" s="30">
        <f>SUBTOTAL(9,AQ30:AR30)</f>
        <v>1118353.4500000002</v>
      </c>
      <c r="AT30" s="43">
        <v>4800000</v>
      </c>
      <c r="AU30" s="43">
        <v>4800000</v>
      </c>
      <c r="AV30" s="43">
        <v>2121552.29</v>
      </c>
      <c r="AW30" s="43">
        <v>734253.16999999993</v>
      </c>
      <c r="AX30" s="43">
        <v>322990.57999999996</v>
      </c>
      <c r="AY30" s="23">
        <v>679426.49</v>
      </c>
      <c r="AZ30" s="23">
        <f>AX30+AY30</f>
        <v>1002417.07</v>
      </c>
      <c r="BA30" s="21">
        <f t="shared" si="1"/>
        <v>19800000</v>
      </c>
      <c r="BB30" s="21">
        <f t="shared" si="2"/>
        <v>19133333</v>
      </c>
      <c r="BC30" s="21">
        <f t="shared" si="3"/>
        <v>7070030.21</v>
      </c>
      <c r="BD30" s="21">
        <f t="shared" si="4"/>
        <v>850310.57</v>
      </c>
      <c r="BE30" s="21">
        <f t="shared" si="5"/>
        <v>419528.02999999997</v>
      </c>
      <c r="BF30" s="21">
        <f t="shared" si="6"/>
        <v>1776590.58</v>
      </c>
      <c r="BG30" s="21">
        <f t="shared" si="7"/>
        <v>2196118.6100000003</v>
      </c>
      <c r="BH30" s="49">
        <f t="shared" si="8"/>
        <v>31.062365290798386</v>
      </c>
      <c r="BI30" s="49">
        <f t="shared" si="9"/>
        <v>11.477972029232964</v>
      </c>
    </row>
    <row r="31" spans="1:61" ht="49.95" customHeight="1" x14ac:dyDescent="0.3">
      <c r="A31" s="19" t="s">
        <v>297</v>
      </c>
      <c r="B31" s="19">
        <v>714</v>
      </c>
      <c r="C31" s="3" t="s">
        <v>56</v>
      </c>
      <c r="D31" s="6" t="s">
        <v>260</v>
      </c>
      <c r="E31" s="23">
        <v>27</v>
      </c>
      <c r="F31" s="7" t="s">
        <v>42</v>
      </c>
      <c r="G31" s="23">
        <v>27</v>
      </c>
      <c r="H31" s="70">
        <f t="shared" si="10"/>
        <v>100</v>
      </c>
      <c r="I31" s="70">
        <v>100</v>
      </c>
      <c r="J31" s="33">
        <v>5</v>
      </c>
      <c r="K31" s="58"/>
      <c r="L31" s="7" t="s">
        <v>634</v>
      </c>
      <c r="M31" s="7" t="s">
        <v>643</v>
      </c>
      <c r="N31" s="7" t="s">
        <v>632</v>
      </c>
      <c r="O31" s="65" t="s">
        <v>511</v>
      </c>
      <c r="P31" s="14">
        <v>27</v>
      </c>
      <c r="Q31" s="22" t="s">
        <v>561</v>
      </c>
      <c r="R31" s="27" t="s">
        <v>555</v>
      </c>
      <c r="S31" s="20">
        <v>2</v>
      </c>
      <c r="T31" s="10" t="s">
        <v>429</v>
      </c>
      <c r="U31" s="4"/>
      <c r="V31" s="4" t="s">
        <v>591</v>
      </c>
      <c r="W31" s="20">
        <v>2</v>
      </c>
      <c r="X31" s="10" t="s">
        <v>595</v>
      </c>
      <c r="Y31" s="43">
        <f>0+1725000000</f>
        <v>1725000000</v>
      </c>
      <c r="Z31" s="43">
        <f>9021667+1496000000</f>
        <v>1505021667</v>
      </c>
      <c r="AA31" s="43">
        <f>0+1495951633.09</f>
        <v>1495951633.0899999</v>
      </c>
      <c r="AB31" s="43">
        <f>0+1471407155.02</f>
        <v>1471407155.02</v>
      </c>
      <c r="AC31" s="43">
        <f>0+1471362604.38</f>
        <v>1471362604.3800001</v>
      </c>
      <c r="AD31" s="43">
        <f>0+0</f>
        <v>0</v>
      </c>
      <c r="AE31" s="43">
        <f>0+1471362604.38</f>
        <v>1471362604.3800001</v>
      </c>
      <c r="AF31" s="43">
        <f>464362000+1898000000</f>
        <v>2362362000</v>
      </c>
      <c r="AG31" s="43">
        <f>554920000+1867942000</f>
        <v>2422862000</v>
      </c>
      <c r="AH31" s="43">
        <f>298289006.32+1865922086.68</f>
        <v>2164211093</v>
      </c>
      <c r="AI31" s="43">
        <f>207868893.35+1842948867.1</f>
        <v>2050817760.4499998</v>
      </c>
      <c r="AJ31" s="43">
        <f>206252369.92+1842927341.3</f>
        <v>2049179711.22</v>
      </c>
      <c r="AK31" s="43">
        <f>0+12824155.35</f>
        <v>12824155.35</v>
      </c>
      <c r="AL31" s="43">
        <f>206252369.92+1855751496.65</f>
        <v>2062003866.5700002</v>
      </c>
      <c r="AM31" s="43">
        <f>463230000+1700000000</f>
        <v>2163230000</v>
      </c>
      <c r="AN31" s="43">
        <f>345421000+1689562020</f>
        <v>2034983020</v>
      </c>
      <c r="AO31" s="43">
        <f>259184149.36+1689093378.07</f>
        <v>1948277527.4299998</v>
      </c>
      <c r="AP31" s="43">
        <f>180743614.1+1515691367.76</f>
        <v>1696434981.8599999</v>
      </c>
      <c r="AQ31" s="43">
        <f>180743614.1+1515608935.88</f>
        <v>1696352549.98</v>
      </c>
      <c r="AR31" s="43">
        <f>66415609.08+10979055.04</f>
        <v>77394664.120000005</v>
      </c>
      <c r="AS31" s="43">
        <f>247159223.18+1526587990.92</f>
        <v>1773747214.1000001</v>
      </c>
      <c r="AT31" s="43">
        <f>430740000+2072000000</f>
        <v>2502740000</v>
      </c>
      <c r="AU31" s="43">
        <f>430740000+1772000000</f>
        <v>2202740000</v>
      </c>
      <c r="AV31" s="43">
        <f>266928597.81+1769223459.38</f>
        <v>2036152057.1900001</v>
      </c>
      <c r="AW31" s="43">
        <f>174529977.16+1354620832.86</f>
        <v>1529150810.02</v>
      </c>
      <c r="AX31" s="43">
        <f>174166671.96+1354492365.83</f>
        <v>1528659037.79</v>
      </c>
      <c r="AY31" s="43">
        <f>80942401.39+160329233.48</f>
        <v>241271634.87</v>
      </c>
      <c r="AZ31" s="43">
        <f>255109073.35+1514821599.31</f>
        <v>1769930672.6599998</v>
      </c>
      <c r="BA31" s="21">
        <f t="shared" si="1"/>
        <v>8753332000</v>
      </c>
      <c r="BB31" s="21">
        <f t="shared" si="2"/>
        <v>8165606687</v>
      </c>
      <c r="BC31" s="21">
        <f t="shared" si="3"/>
        <v>7644592310.710001</v>
      </c>
      <c r="BD31" s="21">
        <f t="shared" si="4"/>
        <v>6747810707.3500004</v>
      </c>
      <c r="BE31" s="21">
        <f t="shared" si="5"/>
        <v>6745553903.3699999</v>
      </c>
      <c r="BF31" s="21">
        <f t="shared" si="6"/>
        <v>331490454.34000003</v>
      </c>
      <c r="BG31" s="21">
        <f t="shared" si="7"/>
        <v>7077044357.71</v>
      </c>
      <c r="BH31" s="49">
        <f t="shared" si="8"/>
        <v>92.575824452994411</v>
      </c>
      <c r="BI31" s="49">
        <f t="shared" si="9"/>
        <v>86.668935071009017</v>
      </c>
    </row>
    <row r="32" spans="1:61" ht="49.95" customHeight="1" x14ac:dyDescent="0.3">
      <c r="A32" s="19" t="s">
        <v>298</v>
      </c>
      <c r="B32" s="19">
        <v>714</v>
      </c>
      <c r="C32" s="3" t="s">
        <v>63</v>
      </c>
      <c r="D32" s="6" t="s">
        <v>260</v>
      </c>
      <c r="E32" s="23">
        <v>27</v>
      </c>
      <c r="F32" s="7" t="s">
        <v>47</v>
      </c>
      <c r="G32" s="23">
        <v>27</v>
      </c>
      <c r="H32" s="70">
        <f t="shared" si="10"/>
        <v>100</v>
      </c>
      <c r="I32" s="70">
        <v>100</v>
      </c>
      <c r="J32" s="33">
        <v>5</v>
      </c>
      <c r="K32" s="58"/>
      <c r="L32" s="7" t="s">
        <v>631</v>
      </c>
      <c r="M32" s="7" t="s">
        <v>644</v>
      </c>
      <c r="N32" s="7" t="s">
        <v>632</v>
      </c>
      <c r="O32" s="65" t="s">
        <v>512</v>
      </c>
      <c r="P32" s="14">
        <v>27</v>
      </c>
      <c r="Q32" s="22" t="s">
        <v>557</v>
      </c>
      <c r="R32" s="27" t="s">
        <v>555</v>
      </c>
      <c r="S32" s="20">
        <v>2</v>
      </c>
      <c r="T32" s="10" t="s">
        <v>429</v>
      </c>
      <c r="U32" s="4"/>
      <c r="V32" s="4" t="s">
        <v>591</v>
      </c>
      <c r="W32" s="20">
        <v>2</v>
      </c>
      <c r="X32" s="10" t="s">
        <v>595</v>
      </c>
      <c r="Y32" s="43">
        <f>0+1725000000</f>
        <v>1725000000</v>
      </c>
      <c r="Z32" s="43">
        <f>9021667+1496000000</f>
        <v>1505021667</v>
      </c>
      <c r="AA32" s="43">
        <f>0+1495951633.09</f>
        <v>1495951633.0899999</v>
      </c>
      <c r="AB32" s="43">
        <f>0+1471407155.02</f>
        <v>1471407155.02</v>
      </c>
      <c r="AC32" s="43">
        <f>0+1471362604.38</f>
        <v>1471362604.3800001</v>
      </c>
      <c r="AD32" s="43">
        <f>0+0</f>
        <v>0</v>
      </c>
      <c r="AE32" s="43">
        <f>0+1471362604.38</f>
        <v>1471362604.3800001</v>
      </c>
      <c r="AF32" s="43">
        <f>464362000+1898000000</f>
        <v>2362362000</v>
      </c>
      <c r="AG32" s="43">
        <f>554920000+1867942000</f>
        <v>2422862000</v>
      </c>
      <c r="AH32" s="43">
        <f>298289006.32+1865922086.68</f>
        <v>2164211093</v>
      </c>
      <c r="AI32" s="43">
        <f>207868893.35+1842948867.1</f>
        <v>2050817760.4499998</v>
      </c>
      <c r="AJ32" s="43">
        <f>206252369.92+1842927341.3</f>
        <v>2049179711.22</v>
      </c>
      <c r="AK32" s="43">
        <f>0+12824155.35</f>
        <v>12824155.35</v>
      </c>
      <c r="AL32" s="43">
        <f>206252369.92+1855751496.65</f>
        <v>2062003866.5700002</v>
      </c>
      <c r="AM32" s="43">
        <f>463230000+1700000000</f>
        <v>2163230000</v>
      </c>
      <c r="AN32" s="43">
        <f>345421000+1689562020</f>
        <v>2034983020</v>
      </c>
      <c r="AO32" s="43">
        <f>259184149.36+1689093378.07</f>
        <v>1948277527.4299998</v>
      </c>
      <c r="AP32" s="43">
        <f>180743614.1+1515691367.76</f>
        <v>1696434981.8599999</v>
      </c>
      <c r="AQ32" s="43">
        <f>180743614.1+1515608935.88</f>
        <v>1696352549.98</v>
      </c>
      <c r="AR32" s="43">
        <f>66415609.08+10979055.04</f>
        <v>77394664.120000005</v>
      </c>
      <c r="AS32" s="43">
        <f>247159223.18+1526587990.92</f>
        <v>1773747214.1000001</v>
      </c>
      <c r="AT32" s="43">
        <f>430740000+2072000000</f>
        <v>2502740000</v>
      </c>
      <c r="AU32" s="43">
        <f>430740000+1772000000</f>
        <v>2202740000</v>
      </c>
      <c r="AV32" s="43">
        <f>266928597.81+1769223459.38</f>
        <v>2036152057.1900001</v>
      </c>
      <c r="AW32" s="43">
        <f>174529977.16+1354620832.86</f>
        <v>1529150810.02</v>
      </c>
      <c r="AX32" s="43">
        <f>174166671.96+1354492365.83</f>
        <v>1528659037.79</v>
      </c>
      <c r="AY32" s="43">
        <f>80942401.39+160329233.48</f>
        <v>241271634.87</v>
      </c>
      <c r="AZ32" s="43">
        <f>255109073.35+1514821599.31</f>
        <v>1769930672.6599998</v>
      </c>
      <c r="BA32" s="21">
        <f t="shared" si="1"/>
        <v>8753332000</v>
      </c>
      <c r="BB32" s="21">
        <f t="shared" si="2"/>
        <v>8165606687</v>
      </c>
      <c r="BC32" s="21">
        <f t="shared" si="3"/>
        <v>7644592310.710001</v>
      </c>
      <c r="BD32" s="21">
        <f t="shared" si="4"/>
        <v>6747810707.3500004</v>
      </c>
      <c r="BE32" s="21">
        <f t="shared" si="5"/>
        <v>6745553903.3699999</v>
      </c>
      <c r="BF32" s="21">
        <f t="shared" si="6"/>
        <v>331490454.34000003</v>
      </c>
      <c r="BG32" s="21">
        <f t="shared" si="7"/>
        <v>7077044357.71</v>
      </c>
      <c r="BH32" s="49">
        <f t="shared" si="8"/>
        <v>92.575824452994411</v>
      </c>
      <c r="BI32" s="49">
        <f t="shared" si="9"/>
        <v>86.668935071009017</v>
      </c>
    </row>
    <row r="33" spans="1:61" ht="49.95" customHeight="1" x14ac:dyDescent="0.3">
      <c r="A33" s="19" t="s">
        <v>299</v>
      </c>
      <c r="B33" s="19">
        <v>714</v>
      </c>
      <c r="C33" s="3" t="s">
        <v>83</v>
      </c>
      <c r="D33" s="7" t="s">
        <v>388</v>
      </c>
      <c r="E33" s="23">
        <v>2</v>
      </c>
      <c r="F33" s="7" t="s">
        <v>84</v>
      </c>
      <c r="G33" s="23">
        <v>2</v>
      </c>
      <c r="H33" s="70">
        <f t="shared" si="10"/>
        <v>100</v>
      </c>
      <c r="I33" s="70">
        <v>100</v>
      </c>
      <c r="J33" s="33">
        <v>5</v>
      </c>
      <c r="K33" s="58"/>
      <c r="L33" s="7" t="s">
        <v>631</v>
      </c>
      <c r="M33" s="7" t="s">
        <v>642</v>
      </c>
      <c r="N33" s="7" t="s">
        <v>636</v>
      </c>
      <c r="O33" s="66" t="s">
        <v>431</v>
      </c>
      <c r="P33" s="15">
        <v>1</v>
      </c>
      <c r="Q33" s="15" t="s">
        <v>432</v>
      </c>
      <c r="R33" s="11">
        <v>1520000000</v>
      </c>
      <c r="S33" s="10">
        <v>1</v>
      </c>
      <c r="T33" s="10">
        <v>4</v>
      </c>
      <c r="U33" s="4"/>
      <c r="V33" s="4" t="s">
        <v>585</v>
      </c>
      <c r="W33" s="10">
        <v>1</v>
      </c>
      <c r="X33" s="10">
        <v>4</v>
      </c>
      <c r="Y33" s="30">
        <v>1162290000</v>
      </c>
      <c r="Z33" s="30">
        <v>1089738725</v>
      </c>
      <c r="AA33" s="30">
        <v>1077448724.96</v>
      </c>
      <c r="AB33" s="30">
        <v>974442182.63000011</v>
      </c>
      <c r="AC33" s="30">
        <v>974442182.63000011</v>
      </c>
      <c r="AD33" s="30">
        <v>0</v>
      </c>
      <c r="AE33" s="30">
        <v>974442182.63000011</v>
      </c>
      <c r="AF33" s="30">
        <v>1236150000</v>
      </c>
      <c r="AG33" s="30">
        <v>1218150000</v>
      </c>
      <c r="AH33" s="30">
        <v>1213499988.4699998</v>
      </c>
      <c r="AI33" s="30">
        <v>1071068308.12</v>
      </c>
      <c r="AJ33" s="30">
        <v>1070722186.8200001</v>
      </c>
      <c r="AK33" s="30">
        <v>84708951.599999994</v>
      </c>
      <c r="AL33" s="30">
        <v>1155431138.4200001</v>
      </c>
      <c r="AM33" s="30">
        <v>1374491100</v>
      </c>
      <c r="AN33" s="30">
        <v>1312869206</v>
      </c>
      <c r="AO33" s="30">
        <v>1292642013.6499999</v>
      </c>
      <c r="AP33" s="30">
        <v>1117723158.0599999</v>
      </c>
      <c r="AQ33" s="30">
        <v>1116686365.5799999</v>
      </c>
      <c r="AR33" s="30">
        <v>143323250.90000004</v>
      </c>
      <c r="AS33" s="30">
        <v>1260009616.48</v>
      </c>
      <c r="AT33" s="21">
        <v>1528024600</v>
      </c>
      <c r="AU33" s="21">
        <v>1238024600</v>
      </c>
      <c r="AV33" s="21">
        <v>1229474377.75</v>
      </c>
      <c r="AW33" s="21">
        <v>998483163.14999974</v>
      </c>
      <c r="AX33" s="21">
        <v>998483163.14999974</v>
      </c>
      <c r="AY33" s="21">
        <v>166016457.96000001</v>
      </c>
      <c r="AZ33" s="21">
        <v>1164499621.1099999</v>
      </c>
      <c r="BA33" s="21">
        <f t="shared" si="1"/>
        <v>5300955700</v>
      </c>
      <c r="BB33" s="21">
        <f t="shared" si="2"/>
        <v>4858782531</v>
      </c>
      <c r="BC33" s="21">
        <f t="shared" si="3"/>
        <v>4813065104.8299999</v>
      </c>
      <c r="BD33" s="21">
        <f t="shared" si="4"/>
        <v>4161716811.9599996</v>
      </c>
      <c r="BE33" s="21">
        <f t="shared" si="5"/>
        <v>4160333898.1799998</v>
      </c>
      <c r="BF33" s="21">
        <f t="shared" si="6"/>
        <v>394048660.46000004</v>
      </c>
      <c r="BG33" s="21">
        <f t="shared" si="7"/>
        <v>4554382558.6400003</v>
      </c>
      <c r="BH33" s="49">
        <f t="shared" si="8"/>
        <v>94.62540936896103</v>
      </c>
      <c r="BI33" s="49">
        <f t="shared" si="9"/>
        <v>93.735056664547812</v>
      </c>
    </row>
    <row r="34" spans="1:61" ht="49.95" customHeight="1" x14ac:dyDescent="0.3">
      <c r="A34" s="19" t="s">
        <v>300</v>
      </c>
      <c r="B34" s="19">
        <v>714</v>
      </c>
      <c r="C34" s="3" t="s">
        <v>70</v>
      </c>
      <c r="D34" s="6" t="s">
        <v>260</v>
      </c>
      <c r="E34" s="23">
        <v>95</v>
      </c>
      <c r="F34" s="7" t="s">
        <v>33</v>
      </c>
      <c r="G34" s="23">
        <v>92.65</v>
      </c>
      <c r="H34" s="70">
        <f t="shared" si="10"/>
        <v>97.526315789473685</v>
      </c>
      <c r="I34" s="70">
        <v>97.526315789473685</v>
      </c>
      <c r="J34" s="33">
        <v>4</v>
      </c>
      <c r="K34" s="58"/>
      <c r="L34" s="7" t="s">
        <v>635</v>
      </c>
      <c r="M34" s="7" t="s">
        <v>639</v>
      </c>
      <c r="N34" s="7" t="s">
        <v>632</v>
      </c>
      <c r="O34" s="65" t="s">
        <v>513</v>
      </c>
      <c r="P34" s="28">
        <v>0.95</v>
      </c>
      <c r="Q34" s="8" t="s">
        <v>473</v>
      </c>
      <c r="R34" s="9">
        <v>2870000000</v>
      </c>
      <c r="S34" s="20">
        <v>1</v>
      </c>
      <c r="T34" s="20">
        <v>6</v>
      </c>
      <c r="U34" s="4"/>
      <c r="V34" s="4" t="s">
        <v>586</v>
      </c>
      <c r="W34" s="20">
        <v>1</v>
      </c>
      <c r="X34" s="20">
        <v>6</v>
      </c>
      <c r="Y34" s="31">
        <v>0</v>
      </c>
      <c r="Z34" s="31">
        <v>0</v>
      </c>
      <c r="AA34" s="31">
        <v>0</v>
      </c>
      <c r="AB34" s="31">
        <v>0</v>
      </c>
      <c r="AC34" s="31">
        <v>0</v>
      </c>
      <c r="AD34" s="31">
        <v>0</v>
      </c>
      <c r="AE34" s="31">
        <v>0</v>
      </c>
      <c r="AF34" s="43">
        <v>2184000000</v>
      </c>
      <c r="AG34" s="43">
        <v>2181899999</v>
      </c>
      <c r="AH34" s="43">
        <v>2181641614.7800002</v>
      </c>
      <c r="AI34" s="43">
        <v>1432444771.7600002</v>
      </c>
      <c r="AJ34" s="43">
        <v>1313462620.8099999</v>
      </c>
      <c r="AK34" s="43">
        <v>0</v>
      </c>
      <c r="AL34" s="43">
        <v>1313462620.8099999</v>
      </c>
      <c r="AM34" s="43">
        <v>2088000000</v>
      </c>
      <c r="AN34" s="43">
        <v>2296719000</v>
      </c>
      <c r="AO34" s="43">
        <v>2290407299.6100001</v>
      </c>
      <c r="AP34" s="43">
        <v>1846061095.1100001</v>
      </c>
      <c r="AQ34" s="43">
        <v>1798105326.6900003</v>
      </c>
      <c r="AR34" s="43">
        <v>793497693.11000001</v>
      </c>
      <c r="AS34" s="43">
        <v>2591603019.7999997</v>
      </c>
      <c r="AT34" s="43">
        <v>2870000000</v>
      </c>
      <c r="AU34" s="43">
        <v>3420672000</v>
      </c>
      <c r="AV34" s="43">
        <v>3420232110.2800002</v>
      </c>
      <c r="AW34" s="43">
        <v>2480086235.4199996</v>
      </c>
      <c r="AX34" s="43">
        <v>2152044572.77</v>
      </c>
      <c r="AY34" s="43">
        <v>457933960.27000004</v>
      </c>
      <c r="AZ34" s="43">
        <v>2609978533.04</v>
      </c>
      <c r="BA34" s="21">
        <f t="shared" ref="BA34:BA65" si="11">SUM(Y34+AF34+AM34+AT34)</f>
        <v>7142000000</v>
      </c>
      <c r="BB34" s="21">
        <f t="shared" ref="BB34:BB65" si="12">SUM(Z34+AG34+AN34+AU34)</f>
        <v>7899290999</v>
      </c>
      <c r="BC34" s="21">
        <f t="shared" ref="BC34:BC65" si="13">SUM(AA34+AH34+AO34+AV34)</f>
        <v>7892281024.6700001</v>
      </c>
      <c r="BD34" s="21">
        <f t="shared" ref="BD34:BD65" si="14">SUM(AB34+AI34+AP34+AW34)</f>
        <v>5758592102.29</v>
      </c>
      <c r="BE34" s="21">
        <f t="shared" ref="BE34:BE65" si="15">SUM(AC34+AJ34+AQ34+AX34)</f>
        <v>5263612520.2700005</v>
      </c>
      <c r="BF34" s="21">
        <f t="shared" ref="BF34:BF65" si="16">SUM(AD34+AK34+AR34+AY34)</f>
        <v>1251431653.3800001</v>
      </c>
      <c r="BG34" s="21">
        <f t="shared" ref="BG34:BG65" si="17">SUM(AE34+AL34+AS34+AZ34)</f>
        <v>6515044173.6499996</v>
      </c>
      <c r="BH34" s="49">
        <f t="shared" ref="BH34:BH65" si="18">BG34*100/BC34</f>
        <v>82.549571578673138</v>
      </c>
      <c r="BI34" s="49">
        <f t="shared" ref="BI34:BI65" si="19">BG34*100/BB34</f>
        <v>82.476315589269504</v>
      </c>
    </row>
    <row r="35" spans="1:61" ht="49.95" customHeight="1" x14ac:dyDescent="0.3">
      <c r="A35" s="19" t="s">
        <v>301</v>
      </c>
      <c r="B35" s="19">
        <v>714</v>
      </c>
      <c r="C35" s="3" t="s">
        <v>48</v>
      </c>
      <c r="D35" s="6" t="s">
        <v>260</v>
      </c>
      <c r="E35" s="23">
        <v>12200</v>
      </c>
      <c r="F35" s="7" t="s">
        <v>49</v>
      </c>
      <c r="G35" s="23">
        <v>11900</v>
      </c>
      <c r="H35" s="70">
        <v>95</v>
      </c>
      <c r="I35" s="70">
        <v>95</v>
      </c>
      <c r="J35" s="33">
        <v>4</v>
      </c>
      <c r="K35" s="59" t="s">
        <v>230</v>
      </c>
      <c r="L35" s="7" t="s">
        <v>635</v>
      </c>
      <c r="M35" s="7" t="s">
        <v>639</v>
      </c>
      <c r="N35" s="7" t="s">
        <v>632</v>
      </c>
      <c r="O35" s="67" t="s">
        <v>562</v>
      </c>
      <c r="P35" s="16">
        <v>12200</v>
      </c>
      <c r="Q35" s="22" t="s">
        <v>563</v>
      </c>
      <c r="R35" s="27" t="s">
        <v>555</v>
      </c>
      <c r="S35" s="20">
        <v>2</v>
      </c>
      <c r="T35" s="10" t="s">
        <v>429</v>
      </c>
      <c r="U35" s="4"/>
      <c r="V35" s="4" t="s">
        <v>591</v>
      </c>
      <c r="W35" s="20">
        <v>2</v>
      </c>
      <c r="X35" s="10" t="s">
        <v>595</v>
      </c>
      <c r="Y35" s="43">
        <f>0+1725000000</f>
        <v>1725000000</v>
      </c>
      <c r="Z35" s="43">
        <f>9021667+1496000000</f>
        <v>1505021667</v>
      </c>
      <c r="AA35" s="43">
        <f>0+1495951633.09</f>
        <v>1495951633.0899999</v>
      </c>
      <c r="AB35" s="43">
        <f>0+1471407155.02</f>
        <v>1471407155.02</v>
      </c>
      <c r="AC35" s="43">
        <f>0+1471362604.38</f>
        <v>1471362604.3800001</v>
      </c>
      <c r="AD35" s="43">
        <f>0+0</f>
        <v>0</v>
      </c>
      <c r="AE35" s="43">
        <f>0+1471362604.38</f>
        <v>1471362604.3800001</v>
      </c>
      <c r="AF35" s="43">
        <f>464362000+1898000000</f>
        <v>2362362000</v>
      </c>
      <c r="AG35" s="43">
        <f>554920000+1867942000</f>
        <v>2422862000</v>
      </c>
      <c r="AH35" s="43">
        <f>298289006.32+1865922086.68</f>
        <v>2164211093</v>
      </c>
      <c r="AI35" s="43">
        <f>207868893.35+1842948867.1</f>
        <v>2050817760.4499998</v>
      </c>
      <c r="AJ35" s="43">
        <f>206252369.92+1842927341.3</f>
        <v>2049179711.22</v>
      </c>
      <c r="AK35" s="43">
        <f>0+12824155.35</f>
        <v>12824155.35</v>
      </c>
      <c r="AL35" s="43">
        <f>206252369.92+1855751496.65</f>
        <v>2062003866.5700002</v>
      </c>
      <c r="AM35" s="43">
        <f>463230000+1700000000</f>
        <v>2163230000</v>
      </c>
      <c r="AN35" s="43">
        <f>345421000+1689562020</f>
        <v>2034983020</v>
      </c>
      <c r="AO35" s="43">
        <f>259184149.36+1689093378.07</f>
        <v>1948277527.4299998</v>
      </c>
      <c r="AP35" s="43">
        <f>180743614.1+1515691367.76</f>
        <v>1696434981.8599999</v>
      </c>
      <c r="AQ35" s="43">
        <f>180743614.1+1515608935.88</f>
        <v>1696352549.98</v>
      </c>
      <c r="AR35" s="43">
        <f>66415609.08+10979055.04</f>
        <v>77394664.120000005</v>
      </c>
      <c r="AS35" s="43">
        <f>247159223.18+1526587990.92</f>
        <v>1773747214.1000001</v>
      </c>
      <c r="AT35" s="43">
        <f>430740000+2072000000</f>
        <v>2502740000</v>
      </c>
      <c r="AU35" s="43">
        <f>430740000+1772000000</f>
        <v>2202740000</v>
      </c>
      <c r="AV35" s="43">
        <f>266928597.81+1769223459.38</f>
        <v>2036152057.1900001</v>
      </c>
      <c r="AW35" s="43">
        <f>174529977.16+1354620832.86</f>
        <v>1529150810.02</v>
      </c>
      <c r="AX35" s="43">
        <f>174166671.96+1354492365.83</f>
        <v>1528659037.79</v>
      </c>
      <c r="AY35" s="43">
        <f>80942401.39+160329233.48</f>
        <v>241271634.87</v>
      </c>
      <c r="AZ35" s="43">
        <f>255109073.35+1514821599.31</f>
        <v>1769930672.6599998</v>
      </c>
      <c r="BA35" s="21">
        <f t="shared" si="11"/>
        <v>8753332000</v>
      </c>
      <c r="BB35" s="21">
        <f t="shared" si="12"/>
        <v>8165606687</v>
      </c>
      <c r="BC35" s="21">
        <f t="shared" si="13"/>
        <v>7644592310.710001</v>
      </c>
      <c r="BD35" s="21">
        <f t="shared" si="14"/>
        <v>6747810707.3500004</v>
      </c>
      <c r="BE35" s="21">
        <f t="shared" si="15"/>
        <v>6745553903.3699999</v>
      </c>
      <c r="BF35" s="21">
        <f t="shared" si="16"/>
        <v>331490454.34000003</v>
      </c>
      <c r="BG35" s="21">
        <f t="shared" si="17"/>
        <v>7077044357.71</v>
      </c>
      <c r="BH35" s="49">
        <f t="shared" si="18"/>
        <v>92.575824452994411</v>
      </c>
      <c r="BI35" s="49">
        <f t="shared" si="19"/>
        <v>86.668935071009017</v>
      </c>
    </row>
    <row r="36" spans="1:61" ht="49.95" customHeight="1" x14ac:dyDescent="0.3">
      <c r="A36" s="19" t="s">
        <v>302</v>
      </c>
      <c r="B36" s="19">
        <v>714</v>
      </c>
      <c r="C36" s="3" t="s">
        <v>50</v>
      </c>
      <c r="D36" s="6" t="s">
        <v>260</v>
      </c>
      <c r="E36" s="23">
        <v>100</v>
      </c>
      <c r="F36" s="7" t="s">
        <v>33</v>
      </c>
      <c r="G36" s="23">
        <v>89.9</v>
      </c>
      <c r="H36" s="70">
        <v>89</v>
      </c>
      <c r="I36" s="70">
        <v>89</v>
      </c>
      <c r="J36" s="33">
        <v>4</v>
      </c>
      <c r="K36" s="59" t="s">
        <v>231</v>
      </c>
      <c r="L36" s="7" t="s">
        <v>631</v>
      </c>
      <c r="M36" s="7" t="s">
        <v>644</v>
      </c>
      <c r="N36" s="7" t="s">
        <v>632</v>
      </c>
      <c r="O36" s="65" t="s">
        <v>514</v>
      </c>
      <c r="P36" s="14">
        <v>100</v>
      </c>
      <c r="Q36" s="8" t="s">
        <v>251</v>
      </c>
      <c r="R36" s="6" t="s">
        <v>251</v>
      </c>
      <c r="S36" s="20">
        <v>0</v>
      </c>
      <c r="T36" s="20">
        <v>0</v>
      </c>
      <c r="U36" s="4" t="s">
        <v>584</v>
      </c>
      <c r="V36" s="4" t="s">
        <v>584</v>
      </c>
      <c r="W36" s="20">
        <v>1</v>
      </c>
      <c r="X36" s="20">
        <v>19</v>
      </c>
      <c r="Y36" s="43">
        <v>0</v>
      </c>
      <c r="Z36" s="43">
        <v>9021667</v>
      </c>
      <c r="AA36" s="43">
        <v>0</v>
      </c>
      <c r="AB36" s="43">
        <v>0</v>
      </c>
      <c r="AC36" s="43">
        <v>0</v>
      </c>
      <c r="AD36" s="30">
        <v>0</v>
      </c>
      <c r="AE36" s="30">
        <v>0</v>
      </c>
      <c r="AF36" s="43">
        <v>464362000</v>
      </c>
      <c r="AG36" s="43">
        <v>554920000</v>
      </c>
      <c r="AH36" s="43">
        <v>298289006.31999999</v>
      </c>
      <c r="AI36" s="43">
        <v>207868893.34999999</v>
      </c>
      <c r="AJ36" s="43">
        <v>206252369.92000002</v>
      </c>
      <c r="AK36" s="43">
        <v>0</v>
      </c>
      <c r="AL36" s="43">
        <v>206252369.92000002</v>
      </c>
      <c r="AM36" s="43">
        <v>463230000</v>
      </c>
      <c r="AN36" s="43">
        <v>345421000</v>
      </c>
      <c r="AO36" s="43">
        <v>259184149.35999995</v>
      </c>
      <c r="AP36" s="43">
        <v>180743614.10000002</v>
      </c>
      <c r="AQ36" s="43">
        <v>180743614.10000002</v>
      </c>
      <c r="AR36" s="43">
        <v>66415609.079999998</v>
      </c>
      <c r="AS36" s="43">
        <v>247159223.18000007</v>
      </c>
      <c r="AT36" s="43">
        <v>430740000</v>
      </c>
      <c r="AU36" s="43">
        <v>430740000</v>
      </c>
      <c r="AV36" s="43">
        <v>266928597.81</v>
      </c>
      <c r="AW36" s="43">
        <v>174529977.16</v>
      </c>
      <c r="AX36" s="43">
        <v>174166671.95999998</v>
      </c>
      <c r="AY36" s="43">
        <v>80942401.39000003</v>
      </c>
      <c r="AZ36" s="43">
        <v>255109073.35000002</v>
      </c>
      <c r="BA36" s="21">
        <f t="shared" si="11"/>
        <v>1358332000</v>
      </c>
      <c r="BB36" s="21">
        <f t="shared" si="12"/>
        <v>1340102667</v>
      </c>
      <c r="BC36" s="21">
        <f t="shared" si="13"/>
        <v>824401753.49000001</v>
      </c>
      <c r="BD36" s="21">
        <f t="shared" si="14"/>
        <v>563142484.61000001</v>
      </c>
      <c r="BE36" s="21">
        <f t="shared" si="15"/>
        <v>561162655.98000002</v>
      </c>
      <c r="BF36" s="21">
        <f t="shared" si="16"/>
        <v>147358010.47000003</v>
      </c>
      <c r="BG36" s="21">
        <f t="shared" si="17"/>
        <v>708520666.45000005</v>
      </c>
      <c r="BH36" s="49">
        <f t="shared" si="18"/>
        <v>85.943614681866919</v>
      </c>
      <c r="BI36" s="49">
        <f t="shared" si="19"/>
        <v>52.870625803328842</v>
      </c>
    </row>
    <row r="37" spans="1:61" ht="49.95" customHeight="1" x14ac:dyDescent="0.3">
      <c r="A37" s="19" t="s">
        <v>303</v>
      </c>
      <c r="B37" s="19">
        <v>714</v>
      </c>
      <c r="C37" s="3" t="s">
        <v>66</v>
      </c>
      <c r="D37" s="6" t="s">
        <v>260</v>
      </c>
      <c r="E37" s="23">
        <v>27</v>
      </c>
      <c r="F37" s="7" t="s">
        <v>67</v>
      </c>
      <c r="G37" s="23">
        <v>24</v>
      </c>
      <c r="H37" s="70">
        <f>G37*100/E37</f>
        <v>88.888888888888886</v>
      </c>
      <c r="I37" s="70">
        <v>88.888888888888886</v>
      </c>
      <c r="J37" s="33">
        <v>4</v>
      </c>
      <c r="K37" s="58"/>
      <c r="L37" s="7" t="s">
        <v>634</v>
      </c>
      <c r="M37" s="7" t="s">
        <v>643</v>
      </c>
      <c r="N37" s="7" t="s">
        <v>632</v>
      </c>
      <c r="O37" s="65" t="s">
        <v>515</v>
      </c>
      <c r="P37" s="14">
        <v>27</v>
      </c>
      <c r="Q37" s="6" t="s">
        <v>516</v>
      </c>
      <c r="R37" s="16">
        <v>2072000000</v>
      </c>
      <c r="S37" s="20">
        <v>1</v>
      </c>
      <c r="T37" s="20">
        <v>12</v>
      </c>
      <c r="U37" s="4"/>
      <c r="V37" s="4" t="s">
        <v>594</v>
      </c>
      <c r="W37" s="20">
        <v>1</v>
      </c>
      <c r="X37" s="20">
        <v>12</v>
      </c>
      <c r="Y37" s="43">
        <v>1725000000</v>
      </c>
      <c r="Z37" s="43">
        <v>1496000000</v>
      </c>
      <c r="AA37" s="43">
        <v>1495951633.0900004</v>
      </c>
      <c r="AB37" s="43">
        <v>1471407155.0200009</v>
      </c>
      <c r="AC37" s="43">
        <v>1471362604.3800011</v>
      </c>
      <c r="AD37" s="43">
        <v>0</v>
      </c>
      <c r="AE37" s="43">
        <v>1471362604.3800001</v>
      </c>
      <c r="AF37" s="43">
        <v>1898000000</v>
      </c>
      <c r="AG37" s="43">
        <v>1867942000</v>
      </c>
      <c r="AH37" s="43">
        <v>1865922086.6799989</v>
      </c>
      <c r="AI37" s="43">
        <v>1842948867.0999997</v>
      </c>
      <c r="AJ37" s="43">
        <v>1842927341.2999997</v>
      </c>
      <c r="AK37" s="43">
        <v>12824155.35</v>
      </c>
      <c r="AL37" s="43">
        <v>1855751496.6499999</v>
      </c>
      <c r="AM37" s="43">
        <v>1700000000</v>
      </c>
      <c r="AN37" s="43">
        <v>1689562020</v>
      </c>
      <c r="AO37" s="43">
        <v>1689093378.0699999</v>
      </c>
      <c r="AP37" s="43">
        <v>1515691367.7599998</v>
      </c>
      <c r="AQ37" s="43">
        <v>1515608935.8799999</v>
      </c>
      <c r="AR37" s="43">
        <v>10979055.040000001</v>
      </c>
      <c r="AS37" s="43">
        <v>1526587990.9199998</v>
      </c>
      <c r="AT37" s="43">
        <v>2072000000</v>
      </c>
      <c r="AU37" s="43">
        <v>1772000000</v>
      </c>
      <c r="AV37" s="43">
        <v>1769223459.3799999</v>
      </c>
      <c r="AW37" s="43">
        <v>1354620832.8599997</v>
      </c>
      <c r="AX37" s="43">
        <v>1354492365.8299997</v>
      </c>
      <c r="AY37" s="43">
        <v>160329233.47999996</v>
      </c>
      <c r="AZ37" s="43">
        <v>1514821599.3099995</v>
      </c>
      <c r="BA37" s="21">
        <f t="shared" si="11"/>
        <v>7395000000</v>
      </c>
      <c r="BB37" s="21">
        <f t="shared" si="12"/>
        <v>6825504020</v>
      </c>
      <c r="BC37" s="21">
        <f t="shared" si="13"/>
        <v>6820190557.2199993</v>
      </c>
      <c r="BD37" s="21">
        <f t="shared" si="14"/>
        <v>6184668222.7400007</v>
      </c>
      <c r="BE37" s="21">
        <f t="shared" si="15"/>
        <v>6184391247.3900003</v>
      </c>
      <c r="BF37" s="21">
        <f t="shared" si="16"/>
        <v>184132443.86999995</v>
      </c>
      <c r="BG37" s="21">
        <f t="shared" si="17"/>
        <v>6368523691.2599993</v>
      </c>
      <c r="BH37" s="49">
        <f t="shared" si="18"/>
        <v>93.377503719718561</v>
      </c>
      <c r="BI37" s="49">
        <f t="shared" si="19"/>
        <v>93.304811961124571</v>
      </c>
    </row>
    <row r="38" spans="1:61" ht="49.95" customHeight="1" x14ac:dyDescent="0.3">
      <c r="A38" s="19" t="s">
        <v>304</v>
      </c>
      <c r="B38" s="19">
        <v>714</v>
      </c>
      <c r="C38" s="3" t="s">
        <v>76</v>
      </c>
      <c r="D38" s="7" t="s">
        <v>264</v>
      </c>
      <c r="E38" s="23">
        <v>27</v>
      </c>
      <c r="F38" s="7" t="s">
        <v>226</v>
      </c>
      <c r="G38" s="23">
        <v>24</v>
      </c>
      <c r="H38" s="70">
        <f>G38*100/E38</f>
        <v>88.888888888888886</v>
      </c>
      <c r="I38" s="70">
        <v>88.888888888888886</v>
      </c>
      <c r="J38" s="33">
        <v>4</v>
      </c>
      <c r="K38" s="58"/>
      <c r="L38" s="7" t="s">
        <v>634</v>
      </c>
      <c r="M38" s="7" t="s">
        <v>643</v>
      </c>
      <c r="N38" s="7" t="s">
        <v>632</v>
      </c>
      <c r="O38" s="65"/>
      <c r="P38" s="14"/>
      <c r="Q38" s="6"/>
      <c r="R38" s="16"/>
      <c r="S38" s="20"/>
      <c r="T38" s="20"/>
      <c r="U38" s="4">
        <v>6174</v>
      </c>
      <c r="V38" s="4">
        <v>6174</v>
      </c>
      <c r="W38" s="20">
        <v>1</v>
      </c>
      <c r="X38" s="20">
        <v>1</v>
      </c>
      <c r="Y38" s="43">
        <v>5500000</v>
      </c>
      <c r="Z38" s="43">
        <v>5766667</v>
      </c>
      <c r="AA38" s="43">
        <v>5497648.9100000001</v>
      </c>
      <c r="AB38" s="43">
        <v>4874422.5999999996</v>
      </c>
      <c r="AC38" s="43">
        <v>4874422.5999999996</v>
      </c>
      <c r="AD38" s="43">
        <v>0</v>
      </c>
      <c r="AE38" s="43">
        <v>4874422.5999999996</v>
      </c>
      <c r="AF38" s="43">
        <v>7000000</v>
      </c>
      <c r="AG38" s="43">
        <v>7000000</v>
      </c>
      <c r="AH38" s="43">
        <v>6977252.6799999997</v>
      </c>
      <c r="AI38" s="43">
        <v>6284127.3700000001</v>
      </c>
      <c r="AJ38" s="43">
        <v>6284127.3700000001</v>
      </c>
      <c r="AK38" s="43">
        <v>499207.60000000003</v>
      </c>
      <c r="AL38" s="43">
        <v>6783334.9699999997</v>
      </c>
      <c r="AM38" s="43">
        <v>8000000</v>
      </c>
      <c r="AN38" s="43">
        <v>7750000</v>
      </c>
      <c r="AO38" s="43">
        <v>5502561.2799999993</v>
      </c>
      <c r="AP38" s="43">
        <v>5315656.63</v>
      </c>
      <c r="AQ38" s="43">
        <v>5315656.63</v>
      </c>
      <c r="AR38" s="43">
        <v>487311.05</v>
      </c>
      <c r="AS38" s="43">
        <v>5802967.6799999997</v>
      </c>
      <c r="AT38" s="43">
        <v>8840000</v>
      </c>
      <c r="AU38" s="43">
        <v>8840000</v>
      </c>
      <c r="AV38" s="43">
        <v>8839999.9700000007</v>
      </c>
      <c r="AW38" s="43">
        <v>8251506.2700000005</v>
      </c>
      <c r="AX38" s="43">
        <v>8251506.2700000005</v>
      </c>
      <c r="AY38" s="43">
        <v>335161.01</v>
      </c>
      <c r="AZ38" s="43">
        <v>8586667.2800000012</v>
      </c>
      <c r="BA38" s="21">
        <f t="shared" si="11"/>
        <v>29340000</v>
      </c>
      <c r="BB38" s="21">
        <f t="shared" si="12"/>
        <v>29356667</v>
      </c>
      <c r="BC38" s="21">
        <f t="shared" si="13"/>
        <v>26817462.839999996</v>
      </c>
      <c r="BD38" s="21">
        <f t="shared" si="14"/>
        <v>24725712.869999997</v>
      </c>
      <c r="BE38" s="21">
        <f t="shared" si="15"/>
        <v>24725712.869999997</v>
      </c>
      <c r="BF38" s="21">
        <f t="shared" si="16"/>
        <v>1321679.6600000001</v>
      </c>
      <c r="BG38" s="21">
        <f t="shared" si="17"/>
        <v>26047392.530000001</v>
      </c>
      <c r="BH38" s="49">
        <f t="shared" si="18"/>
        <v>97.12847440268888</v>
      </c>
      <c r="BI38" s="49">
        <f t="shared" si="19"/>
        <v>88.72734949781595</v>
      </c>
    </row>
    <row r="39" spans="1:61" ht="49.95" customHeight="1" x14ac:dyDescent="0.3">
      <c r="A39" s="19" t="s">
        <v>305</v>
      </c>
      <c r="B39" s="19">
        <v>714</v>
      </c>
      <c r="C39" s="3" t="s">
        <v>61</v>
      </c>
      <c r="D39" s="7" t="s">
        <v>262</v>
      </c>
      <c r="E39" s="23">
        <v>4800</v>
      </c>
      <c r="F39" s="7" t="s">
        <v>62</v>
      </c>
      <c r="G39" s="23">
        <v>4231</v>
      </c>
      <c r="H39" s="70">
        <f>G39*100/E39</f>
        <v>88.145833333333329</v>
      </c>
      <c r="I39" s="70">
        <v>88.145833333333329</v>
      </c>
      <c r="J39" s="33">
        <v>4</v>
      </c>
      <c r="K39" s="58"/>
      <c r="L39" s="7" t="s">
        <v>634</v>
      </c>
      <c r="M39" s="7" t="s">
        <v>638</v>
      </c>
      <c r="N39" s="7" t="s">
        <v>632</v>
      </c>
      <c r="O39" s="65" t="s">
        <v>517</v>
      </c>
      <c r="P39" s="8" t="s">
        <v>394</v>
      </c>
      <c r="Q39" s="6" t="s">
        <v>516</v>
      </c>
      <c r="R39" s="16">
        <v>2072000000</v>
      </c>
      <c r="S39" s="20">
        <v>1</v>
      </c>
      <c r="T39" s="20">
        <v>12</v>
      </c>
      <c r="U39" s="4"/>
      <c r="V39" s="4" t="s">
        <v>594</v>
      </c>
      <c r="W39" s="20">
        <v>1</v>
      </c>
      <c r="X39" s="20">
        <v>12</v>
      </c>
      <c r="Y39" s="43">
        <v>1725000000</v>
      </c>
      <c r="Z39" s="43">
        <v>1496000000</v>
      </c>
      <c r="AA39" s="43">
        <v>1495951633.0900004</v>
      </c>
      <c r="AB39" s="43">
        <v>1471407155.0200009</v>
      </c>
      <c r="AC39" s="43">
        <v>1471362604.3800011</v>
      </c>
      <c r="AD39" s="43">
        <v>0</v>
      </c>
      <c r="AE39" s="43">
        <v>1471362604.3800001</v>
      </c>
      <c r="AF39" s="43">
        <v>1898000000</v>
      </c>
      <c r="AG39" s="43">
        <v>1867942000</v>
      </c>
      <c r="AH39" s="43">
        <v>1865922086.6799989</v>
      </c>
      <c r="AI39" s="43">
        <v>1842948867.0999997</v>
      </c>
      <c r="AJ39" s="43">
        <v>1842927341.2999997</v>
      </c>
      <c r="AK39" s="43">
        <v>12824155.35</v>
      </c>
      <c r="AL39" s="43">
        <v>1855751496.6499999</v>
      </c>
      <c r="AM39" s="43">
        <v>1700000000</v>
      </c>
      <c r="AN39" s="43">
        <v>1689562020</v>
      </c>
      <c r="AO39" s="43">
        <v>1689093378.0699999</v>
      </c>
      <c r="AP39" s="43">
        <v>1515691367.7599998</v>
      </c>
      <c r="AQ39" s="43">
        <v>1515608935.8799999</v>
      </c>
      <c r="AR39" s="43">
        <v>10979055.040000001</v>
      </c>
      <c r="AS39" s="43">
        <v>1526587990.9199998</v>
      </c>
      <c r="AT39" s="43">
        <v>2072000000</v>
      </c>
      <c r="AU39" s="43">
        <v>1772000000</v>
      </c>
      <c r="AV39" s="43">
        <v>1769223459.3799999</v>
      </c>
      <c r="AW39" s="43">
        <v>1354620832.8599997</v>
      </c>
      <c r="AX39" s="43">
        <v>1354492365.8299997</v>
      </c>
      <c r="AY39" s="43">
        <v>160329233.47999996</v>
      </c>
      <c r="AZ39" s="43">
        <v>1514821599.3099995</v>
      </c>
      <c r="BA39" s="21">
        <f t="shared" si="11"/>
        <v>7395000000</v>
      </c>
      <c r="BB39" s="21">
        <f t="shared" si="12"/>
        <v>6825504020</v>
      </c>
      <c r="BC39" s="21">
        <f t="shared" si="13"/>
        <v>6820190557.2199993</v>
      </c>
      <c r="BD39" s="21">
        <f t="shared" si="14"/>
        <v>6184668222.7400007</v>
      </c>
      <c r="BE39" s="21">
        <f t="shared" si="15"/>
        <v>6184391247.3900003</v>
      </c>
      <c r="BF39" s="21">
        <f t="shared" si="16"/>
        <v>184132443.86999995</v>
      </c>
      <c r="BG39" s="21">
        <f t="shared" si="17"/>
        <v>6368523691.2599993</v>
      </c>
      <c r="BH39" s="49">
        <f t="shared" si="18"/>
        <v>93.377503719718561</v>
      </c>
      <c r="BI39" s="49">
        <f t="shared" si="19"/>
        <v>93.304811961124571</v>
      </c>
    </row>
    <row r="40" spans="1:61" ht="49.95" customHeight="1" x14ac:dyDescent="0.3">
      <c r="A40" s="19" t="s">
        <v>306</v>
      </c>
      <c r="B40" s="19">
        <v>714</v>
      </c>
      <c r="C40" s="3" t="s">
        <v>82</v>
      </c>
      <c r="D40" s="6" t="s">
        <v>260</v>
      </c>
      <c r="E40" s="23">
        <v>0.98</v>
      </c>
      <c r="F40" s="7" t="s">
        <v>227</v>
      </c>
      <c r="G40" s="23">
        <v>1.08</v>
      </c>
      <c r="H40" s="70">
        <v>82</v>
      </c>
      <c r="I40" s="70">
        <v>82</v>
      </c>
      <c r="J40" s="33">
        <v>4</v>
      </c>
      <c r="K40" s="59" t="s">
        <v>229</v>
      </c>
      <c r="L40" s="7" t="s">
        <v>635</v>
      </c>
      <c r="M40" s="7" t="s">
        <v>640</v>
      </c>
      <c r="N40" s="7" t="s">
        <v>632</v>
      </c>
      <c r="O40" s="65" t="s">
        <v>518</v>
      </c>
      <c r="P40" s="8" t="s">
        <v>519</v>
      </c>
      <c r="Q40" s="27" t="s">
        <v>564</v>
      </c>
      <c r="R40" s="22" t="s">
        <v>555</v>
      </c>
      <c r="S40" s="20">
        <v>2</v>
      </c>
      <c r="T40" s="10" t="s">
        <v>429</v>
      </c>
      <c r="U40" s="4"/>
      <c r="V40" s="4" t="s">
        <v>591</v>
      </c>
      <c r="W40" s="20">
        <v>2</v>
      </c>
      <c r="X40" s="10" t="s">
        <v>595</v>
      </c>
      <c r="Y40" s="43">
        <f>0+1725000000</f>
        <v>1725000000</v>
      </c>
      <c r="Z40" s="43">
        <f>9021667+1496000000</f>
        <v>1505021667</v>
      </c>
      <c r="AA40" s="43">
        <f>0+1495951633.09</f>
        <v>1495951633.0899999</v>
      </c>
      <c r="AB40" s="43">
        <f>0+1471407155.02</f>
        <v>1471407155.02</v>
      </c>
      <c r="AC40" s="43">
        <f>0+1471362604.38</f>
        <v>1471362604.3800001</v>
      </c>
      <c r="AD40" s="43">
        <f>0+0</f>
        <v>0</v>
      </c>
      <c r="AE40" s="43">
        <f>0+1471362604.38</f>
        <v>1471362604.3800001</v>
      </c>
      <c r="AF40" s="43">
        <f>464362000+1898000000</f>
        <v>2362362000</v>
      </c>
      <c r="AG40" s="43">
        <f>554920000+1867942000</f>
        <v>2422862000</v>
      </c>
      <c r="AH40" s="43">
        <f>298289006.32+1865922086.68</f>
        <v>2164211093</v>
      </c>
      <c r="AI40" s="43">
        <f>207868893.35+1842948867.1</f>
        <v>2050817760.4499998</v>
      </c>
      <c r="AJ40" s="43">
        <f>206252369.92+1842927341.3</f>
        <v>2049179711.22</v>
      </c>
      <c r="AK40" s="43">
        <f>0+12824155.35</f>
        <v>12824155.35</v>
      </c>
      <c r="AL40" s="43">
        <f>206252369.92+1855751496.65</f>
        <v>2062003866.5700002</v>
      </c>
      <c r="AM40" s="43">
        <f>463230000+1700000000</f>
        <v>2163230000</v>
      </c>
      <c r="AN40" s="43">
        <f>345421000+1689562020</f>
        <v>2034983020</v>
      </c>
      <c r="AO40" s="43">
        <f>259184149.36+1689093378.07</f>
        <v>1948277527.4299998</v>
      </c>
      <c r="AP40" s="43">
        <f>180743614.1+1515691367.76</f>
        <v>1696434981.8599999</v>
      </c>
      <c r="AQ40" s="43">
        <f>180743614.1+1515608935.88</f>
        <v>1696352549.98</v>
      </c>
      <c r="AR40" s="43">
        <f>66415609.08+10979055.04</f>
        <v>77394664.120000005</v>
      </c>
      <c r="AS40" s="43">
        <f>247159223.18+1526587990.92</f>
        <v>1773747214.1000001</v>
      </c>
      <c r="AT40" s="43">
        <f>430740000+2072000000</f>
        <v>2502740000</v>
      </c>
      <c r="AU40" s="43">
        <f>430740000+1772000000</f>
        <v>2202740000</v>
      </c>
      <c r="AV40" s="43">
        <f>266928597.81+1769223459.38</f>
        <v>2036152057.1900001</v>
      </c>
      <c r="AW40" s="43">
        <f>174529977.16+1354620832.86</f>
        <v>1529150810.02</v>
      </c>
      <c r="AX40" s="43">
        <f>174166671.96+1354492365.83</f>
        <v>1528659037.79</v>
      </c>
      <c r="AY40" s="43">
        <f>80942401.39+160329233.48</f>
        <v>241271634.87</v>
      </c>
      <c r="AZ40" s="43">
        <f>255109073.35+1514821599.31</f>
        <v>1769930672.6599998</v>
      </c>
      <c r="BA40" s="21">
        <f t="shared" si="11"/>
        <v>8753332000</v>
      </c>
      <c r="BB40" s="21">
        <f t="shared" si="12"/>
        <v>8165606687</v>
      </c>
      <c r="BC40" s="21">
        <f t="shared" si="13"/>
        <v>7644592310.710001</v>
      </c>
      <c r="BD40" s="21">
        <f t="shared" si="14"/>
        <v>6747810707.3500004</v>
      </c>
      <c r="BE40" s="21">
        <f t="shared" si="15"/>
        <v>6745553903.3699999</v>
      </c>
      <c r="BF40" s="21">
        <f t="shared" si="16"/>
        <v>331490454.34000003</v>
      </c>
      <c r="BG40" s="21">
        <f t="shared" si="17"/>
        <v>7077044357.71</v>
      </c>
      <c r="BH40" s="49">
        <f t="shared" si="18"/>
        <v>92.575824452994411</v>
      </c>
      <c r="BI40" s="49">
        <f t="shared" si="19"/>
        <v>86.668935071009017</v>
      </c>
    </row>
    <row r="41" spans="1:61" ht="49.95" customHeight="1" x14ac:dyDescent="0.3">
      <c r="A41" s="19" t="s">
        <v>307</v>
      </c>
      <c r="B41" s="19">
        <v>714</v>
      </c>
      <c r="C41" s="3" t="s">
        <v>64</v>
      </c>
      <c r="D41" s="7" t="s">
        <v>264</v>
      </c>
      <c r="E41" s="23">
        <v>50</v>
      </c>
      <c r="F41" s="7" t="s">
        <v>65</v>
      </c>
      <c r="G41" s="23">
        <v>40</v>
      </c>
      <c r="H41" s="70">
        <f>G41*100/E41</f>
        <v>80</v>
      </c>
      <c r="I41" s="70">
        <v>80</v>
      </c>
      <c r="J41" s="33">
        <v>4</v>
      </c>
      <c r="K41" s="58"/>
      <c r="L41" s="7" t="s">
        <v>634</v>
      </c>
      <c r="M41" s="7" t="s">
        <v>643</v>
      </c>
      <c r="N41" s="7" t="s">
        <v>632</v>
      </c>
      <c r="O41" s="65"/>
      <c r="P41" s="8"/>
      <c r="Q41" s="27"/>
      <c r="R41" s="27"/>
      <c r="S41" s="20"/>
      <c r="T41" s="10"/>
      <c r="U41" s="4">
        <v>8327</v>
      </c>
      <c r="V41" s="4">
        <v>8327</v>
      </c>
      <c r="W41" s="20">
        <v>1</v>
      </c>
      <c r="X41" s="10">
        <v>1</v>
      </c>
      <c r="Y41" s="43">
        <v>10500000</v>
      </c>
      <c r="Z41" s="43">
        <v>11940253</v>
      </c>
      <c r="AA41" s="43">
        <v>11071199.450000001</v>
      </c>
      <c r="AB41" s="43">
        <v>6319671.0899999999</v>
      </c>
      <c r="AC41" s="43">
        <v>6319671.0899999999</v>
      </c>
      <c r="AD41" s="43">
        <v>0</v>
      </c>
      <c r="AE41" s="43">
        <v>6319671.0899999999</v>
      </c>
      <c r="AF41" s="43">
        <v>12450000</v>
      </c>
      <c r="AG41" s="43">
        <v>12450000</v>
      </c>
      <c r="AH41" s="43">
        <v>9045101.5800000001</v>
      </c>
      <c r="AI41" s="43">
        <v>7497882.9199999999</v>
      </c>
      <c r="AJ41" s="43">
        <v>7433806.4500000002</v>
      </c>
      <c r="AK41" s="43">
        <v>4214407.1100000003</v>
      </c>
      <c r="AL41" s="43">
        <v>11648213.560000001</v>
      </c>
      <c r="AM41" s="43">
        <v>12450000</v>
      </c>
      <c r="AN41" s="43">
        <v>11871641</v>
      </c>
      <c r="AO41" s="43">
        <v>11452444.01</v>
      </c>
      <c r="AP41" s="43">
        <v>9276848.0899999999</v>
      </c>
      <c r="AQ41" s="43">
        <v>9238890.0199999996</v>
      </c>
      <c r="AR41" s="43">
        <v>1646476.43</v>
      </c>
      <c r="AS41" s="43">
        <v>10885366.449999999</v>
      </c>
      <c r="AT41" s="43">
        <v>13680000</v>
      </c>
      <c r="AU41" s="43">
        <v>13680000</v>
      </c>
      <c r="AV41" s="43">
        <v>13534230.040000001</v>
      </c>
      <c r="AW41" s="43">
        <v>12892007.729999999</v>
      </c>
      <c r="AX41" s="43">
        <v>12699815.339999998</v>
      </c>
      <c r="AY41" s="43">
        <v>2096913.21</v>
      </c>
      <c r="AZ41" s="43">
        <v>14796728.550000001</v>
      </c>
      <c r="BA41" s="21">
        <f t="shared" si="11"/>
        <v>49080000</v>
      </c>
      <c r="BB41" s="21">
        <f t="shared" si="12"/>
        <v>49941894</v>
      </c>
      <c r="BC41" s="21">
        <f t="shared" si="13"/>
        <v>45102975.079999998</v>
      </c>
      <c r="BD41" s="21">
        <f t="shared" si="14"/>
        <v>35986409.829999998</v>
      </c>
      <c r="BE41" s="21">
        <f t="shared" si="15"/>
        <v>35692182.899999999</v>
      </c>
      <c r="BF41" s="21">
        <f t="shared" si="16"/>
        <v>7957796.75</v>
      </c>
      <c r="BG41" s="21">
        <f t="shared" si="17"/>
        <v>43649979.649999999</v>
      </c>
      <c r="BH41" s="49">
        <f t="shared" si="18"/>
        <v>96.778493153893308</v>
      </c>
      <c r="BI41" s="49">
        <f t="shared" si="19"/>
        <v>87.401530366469487</v>
      </c>
    </row>
    <row r="42" spans="1:61" ht="49.95" customHeight="1" x14ac:dyDescent="0.3">
      <c r="A42" s="19" t="s">
        <v>308</v>
      </c>
      <c r="B42" s="19">
        <v>714</v>
      </c>
      <c r="C42" s="3" t="s">
        <v>46</v>
      </c>
      <c r="D42" s="6" t="s">
        <v>260</v>
      </c>
      <c r="E42" s="23">
        <v>27</v>
      </c>
      <c r="F42" s="7" t="s">
        <v>47</v>
      </c>
      <c r="G42" s="23">
        <v>25</v>
      </c>
      <c r="H42" s="70">
        <v>71</v>
      </c>
      <c r="I42" s="70">
        <v>71</v>
      </c>
      <c r="J42" s="33">
        <v>3</v>
      </c>
      <c r="K42" s="59" t="s">
        <v>232</v>
      </c>
      <c r="L42" s="7" t="s">
        <v>631</v>
      </c>
      <c r="M42" s="7" t="s">
        <v>644</v>
      </c>
      <c r="N42" s="7" t="s">
        <v>632</v>
      </c>
      <c r="O42" s="65" t="s">
        <v>520</v>
      </c>
      <c r="P42" s="14">
        <v>27</v>
      </c>
      <c r="Q42" s="6" t="s">
        <v>437</v>
      </c>
      <c r="R42" s="9">
        <v>431400000</v>
      </c>
      <c r="S42" s="10">
        <v>1</v>
      </c>
      <c r="T42" s="10">
        <v>18</v>
      </c>
      <c r="U42" s="4"/>
      <c r="V42" s="4" t="s">
        <v>584</v>
      </c>
      <c r="W42" s="10">
        <v>1</v>
      </c>
      <c r="X42" s="10">
        <v>19</v>
      </c>
      <c r="Y42" s="43">
        <v>0</v>
      </c>
      <c r="Z42" s="43">
        <v>9021667</v>
      </c>
      <c r="AA42" s="43">
        <v>0</v>
      </c>
      <c r="AB42" s="43">
        <v>0</v>
      </c>
      <c r="AC42" s="43">
        <v>0</v>
      </c>
      <c r="AD42" s="30">
        <v>0</v>
      </c>
      <c r="AE42" s="30">
        <v>0</v>
      </c>
      <c r="AF42" s="43">
        <v>464362000</v>
      </c>
      <c r="AG42" s="43">
        <v>554920000</v>
      </c>
      <c r="AH42" s="43">
        <v>298289006.31999999</v>
      </c>
      <c r="AI42" s="43">
        <v>207868893.34999999</v>
      </c>
      <c r="AJ42" s="43">
        <v>206252369.92000002</v>
      </c>
      <c r="AK42" s="43">
        <v>0</v>
      </c>
      <c r="AL42" s="43">
        <v>206252369.92000002</v>
      </c>
      <c r="AM42" s="43">
        <v>463230000</v>
      </c>
      <c r="AN42" s="43">
        <v>345421000</v>
      </c>
      <c r="AO42" s="43">
        <v>259184149.35999995</v>
      </c>
      <c r="AP42" s="43">
        <v>180743614.10000002</v>
      </c>
      <c r="AQ42" s="43">
        <v>180743614.10000002</v>
      </c>
      <c r="AR42" s="43">
        <v>66415609.079999998</v>
      </c>
      <c r="AS42" s="43">
        <v>247159223.18000007</v>
      </c>
      <c r="AT42" s="43">
        <v>430740000</v>
      </c>
      <c r="AU42" s="43">
        <v>430740000</v>
      </c>
      <c r="AV42" s="43">
        <v>266928597.81</v>
      </c>
      <c r="AW42" s="43">
        <v>174529977.16</v>
      </c>
      <c r="AX42" s="43">
        <v>174166671.95999998</v>
      </c>
      <c r="AY42" s="43">
        <v>80942401.39000003</v>
      </c>
      <c r="AZ42" s="43">
        <v>255109073.35000002</v>
      </c>
      <c r="BA42" s="21">
        <f t="shared" si="11"/>
        <v>1358332000</v>
      </c>
      <c r="BB42" s="21">
        <f t="shared" si="12"/>
        <v>1340102667</v>
      </c>
      <c r="BC42" s="21">
        <f t="shared" si="13"/>
        <v>824401753.49000001</v>
      </c>
      <c r="BD42" s="21">
        <f t="shared" si="14"/>
        <v>563142484.61000001</v>
      </c>
      <c r="BE42" s="21">
        <f t="shared" si="15"/>
        <v>561162655.98000002</v>
      </c>
      <c r="BF42" s="21">
        <f t="shared" si="16"/>
        <v>147358010.47000003</v>
      </c>
      <c r="BG42" s="21">
        <f t="shared" si="17"/>
        <v>708520666.45000005</v>
      </c>
      <c r="BH42" s="49">
        <f t="shared" si="18"/>
        <v>85.943614681866919</v>
      </c>
      <c r="BI42" s="49">
        <f t="shared" si="19"/>
        <v>52.870625803328842</v>
      </c>
    </row>
    <row r="43" spans="1:61" ht="49.95" customHeight="1" x14ac:dyDescent="0.3">
      <c r="A43" s="19" t="s">
        <v>309</v>
      </c>
      <c r="B43" s="19">
        <v>714</v>
      </c>
      <c r="C43" s="3" t="s">
        <v>53</v>
      </c>
      <c r="D43" s="6" t="s">
        <v>260</v>
      </c>
      <c r="E43" s="23">
        <v>70</v>
      </c>
      <c r="F43" s="7" t="s">
        <v>33</v>
      </c>
      <c r="G43" s="23">
        <v>48.5</v>
      </c>
      <c r="H43" s="70">
        <f>G43*100/E43</f>
        <v>69.285714285714292</v>
      </c>
      <c r="I43" s="70">
        <v>69.285714285714292</v>
      </c>
      <c r="J43" s="33">
        <v>3</v>
      </c>
      <c r="K43" s="58"/>
      <c r="L43" s="7" t="s">
        <v>635</v>
      </c>
      <c r="M43" s="7" t="s">
        <v>639</v>
      </c>
      <c r="N43" s="7" t="s">
        <v>632</v>
      </c>
      <c r="O43" s="65" t="s">
        <v>521</v>
      </c>
      <c r="P43" s="28">
        <v>0.7</v>
      </c>
      <c r="Q43" s="27" t="s">
        <v>565</v>
      </c>
      <c r="R43" s="27" t="s">
        <v>560</v>
      </c>
      <c r="S43" s="10">
        <v>2</v>
      </c>
      <c r="T43" s="10" t="s">
        <v>430</v>
      </c>
      <c r="U43" s="4"/>
      <c r="V43" s="4" t="s">
        <v>587</v>
      </c>
      <c r="W43" s="10">
        <v>2</v>
      </c>
      <c r="X43" s="10" t="s">
        <v>596</v>
      </c>
      <c r="Y43" s="43">
        <f>0+0</f>
        <v>0</v>
      </c>
      <c r="Z43" s="43">
        <f>9021667+0</f>
        <v>9021667</v>
      </c>
      <c r="AA43" s="43">
        <f>0+0</f>
        <v>0</v>
      </c>
      <c r="AB43" s="43">
        <f>0+0</f>
        <v>0</v>
      </c>
      <c r="AC43" s="43">
        <f>0+0</f>
        <v>0</v>
      </c>
      <c r="AD43" s="43">
        <f>0+0</f>
        <v>0</v>
      </c>
      <c r="AE43" s="43">
        <f>0+0</f>
        <v>0</v>
      </c>
      <c r="AF43" s="43">
        <f>464362000+2184000000</f>
        <v>2648362000</v>
      </c>
      <c r="AG43" s="43">
        <f>554920000+2181899999</f>
        <v>2736819999</v>
      </c>
      <c r="AH43" s="43">
        <f>298289006.32+2181641614.78</f>
        <v>2479930621.1000004</v>
      </c>
      <c r="AI43" s="43">
        <f>207868893.35+1432444771.76</f>
        <v>1640313665.1099999</v>
      </c>
      <c r="AJ43" s="43">
        <f>206252369.92+1313462620.81</f>
        <v>1519714990.73</v>
      </c>
      <c r="AK43" s="43">
        <f>0+0</f>
        <v>0</v>
      </c>
      <c r="AL43" s="43">
        <f>206252369.92+1313462620.81</f>
        <v>1519714990.73</v>
      </c>
      <c r="AM43" s="43">
        <f>463230000+2088000000</f>
        <v>2551230000</v>
      </c>
      <c r="AN43" s="43">
        <f>345421000+2296719000</f>
        <v>2642140000</v>
      </c>
      <c r="AO43" s="43">
        <f>259184149.36+2290407299.61</f>
        <v>2549591448.9700003</v>
      </c>
      <c r="AP43" s="43">
        <f>180743614.1+1846061095.11</f>
        <v>2026804709.2099998</v>
      </c>
      <c r="AQ43" s="43">
        <f>180743614.1+1798105326.69</f>
        <v>1978848940.79</v>
      </c>
      <c r="AR43" s="43">
        <f>66415609.08+793497693.11</f>
        <v>859913302.19000006</v>
      </c>
      <c r="AS43" s="43">
        <f>247159223.18+2591603019.8</f>
        <v>2838762242.98</v>
      </c>
      <c r="AT43" s="43">
        <f>430740000+2870000000</f>
        <v>3300740000</v>
      </c>
      <c r="AU43" s="43">
        <f>430740000+3420672000</f>
        <v>3851412000</v>
      </c>
      <c r="AV43" s="43">
        <f>266928597.81+3420232110.28</f>
        <v>3687160708.0900002</v>
      </c>
      <c r="AW43" s="43">
        <f>174529977.16+2480086235.42</f>
        <v>2654616212.5799999</v>
      </c>
      <c r="AX43" s="43">
        <f>174166671.96+2152044572.77</f>
        <v>2326211244.73</v>
      </c>
      <c r="AY43" s="43">
        <f>80942401.39+457933960.27</f>
        <v>538876361.65999997</v>
      </c>
      <c r="AZ43" s="43">
        <f>255109073.35+2609978533.04</f>
        <v>2865087606.3899999</v>
      </c>
      <c r="BA43" s="21">
        <f t="shared" si="11"/>
        <v>8500332000</v>
      </c>
      <c r="BB43" s="21">
        <f t="shared" si="12"/>
        <v>9239393666</v>
      </c>
      <c r="BC43" s="21">
        <f t="shared" si="13"/>
        <v>8716682778.1599998</v>
      </c>
      <c r="BD43" s="21">
        <f t="shared" si="14"/>
        <v>6321734586.8999996</v>
      </c>
      <c r="BE43" s="21">
        <f t="shared" si="15"/>
        <v>5824775176.25</v>
      </c>
      <c r="BF43" s="21">
        <f t="shared" si="16"/>
        <v>1398789663.8499999</v>
      </c>
      <c r="BG43" s="21">
        <f t="shared" si="17"/>
        <v>7223564840.1000004</v>
      </c>
      <c r="BH43" s="49">
        <f t="shared" si="18"/>
        <v>82.870571568796024</v>
      </c>
      <c r="BI43" s="49">
        <f t="shared" si="19"/>
        <v>78.182239021614166</v>
      </c>
    </row>
    <row r="44" spans="1:61" ht="49.95" customHeight="1" x14ac:dyDescent="0.3">
      <c r="A44" s="19" t="s">
        <v>310</v>
      </c>
      <c r="B44" s="19">
        <v>714</v>
      </c>
      <c r="C44" s="3" t="s">
        <v>71</v>
      </c>
      <c r="D44" s="6" t="s">
        <v>263</v>
      </c>
      <c r="E44" s="23">
        <v>95</v>
      </c>
      <c r="F44" s="7" t="s">
        <v>33</v>
      </c>
      <c r="G44" s="23">
        <v>64.989999999999995</v>
      </c>
      <c r="H44" s="70">
        <f>G44*100/E44</f>
        <v>68.410526315789468</v>
      </c>
      <c r="I44" s="70">
        <v>68.410526315789468</v>
      </c>
      <c r="J44" s="33">
        <v>3</v>
      </c>
      <c r="K44" s="58" t="s">
        <v>72</v>
      </c>
      <c r="L44" s="7" t="s">
        <v>635</v>
      </c>
      <c r="M44" s="7" t="s">
        <v>639</v>
      </c>
      <c r="N44" s="7" t="s">
        <v>632</v>
      </c>
      <c r="O44" s="65" t="s">
        <v>522</v>
      </c>
      <c r="P44" s="28">
        <v>0.95</v>
      </c>
      <c r="Q44" s="6" t="s">
        <v>473</v>
      </c>
      <c r="R44" s="9">
        <v>2870000000</v>
      </c>
      <c r="S44" s="20">
        <v>1</v>
      </c>
      <c r="T44" s="20">
        <v>6</v>
      </c>
      <c r="U44" s="4"/>
      <c r="V44" s="4" t="s">
        <v>586</v>
      </c>
      <c r="W44" s="20">
        <v>1</v>
      </c>
      <c r="X44" s="20">
        <v>6</v>
      </c>
      <c r="Y44" s="31">
        <v>0</v>
      </c>
      <c r="Z44" s="31">
        <v>0</v>
      </c>
      <c r="AA44" s="31">
        <v>0</v>
      </c>
      <c r="AB44" s="31">
        <v>0</v>
      </c>
      <c r="AC44" s="31">
        <v>0</v>
      </c>
      <c r="AD44" s="31">
        <v>0</v>
      </c>
      <c r="AE44" s="31">
        <v>0</v>
      </c>
      <c r="AF44" s="43">
        <v>2184000000</v>
      </c>
      <c r="AG44" s="43">
        <v>2181899999</v>
      </c>
      <c r="AH44" s="43">
        <v>2181641614.7800002</v>
      </c>
      <c r="AI44" s="43">
        <v>1432444771.7600002</v>
      </c>
      <c r="AJ44" s="43">
        <v>1313462620.8099999</v>
      </c>
      <c r="AK44" s="43">
        <v>0</v>
      </c>
      <c r="AL44" s="43">
        <v>1313462620.8099999</v>
      </c>
      <c r="AM44" s="43">
        <v>2088000000</v>
      </c>
      <c r="AN44" s="43">
        <v>2296719000</v>
      </c>
      <c r="AO44" s="43">
        <v>2290407299.6100001</v>
      </c>
      <c r="AP44" s="43">
        <v>1846061095.1100001</v>
      </c>
      <c r="AQ44" s="43">
        <v>1798105326.6900003</v>
      </c>
      <c r="AR44" s="43">
        <v>793497693.11000001</v>
      </c>
      <c r="AS44" s="43">
        <v>2591603019.7999997</v>
      </c>
      <c r="AT44" s="43">
        <v>2870000000</v>
      </c>
      <c r="AU44" s="43">
        <v>3420672000</v>
      </c>
      <c r="AV44" s="43">
        <v>3420232110.2800002</v>
      </c>
      <c r="AW44" s="43">
        <v>2480086235.4199996</v>
      </c>
      <c r="AX44" s="43">
        <v>2152044572.77</v>
      </c>
      <c r="AY44" s="43">
        <v>457933960.27000004</v>
      </c>
      <c r="AZ44" s="43">
        <v>2609978533.04</v>
      </c>
      <c r="BA44" s="21">
        <f t="shared" si="11"/>
        <v>7142000000</v>
      </c>
      <c r="BB44" s="21">
        <f t="shared" si="12"/>
        <v>7899290999</v>
      </c>
      <c r="BC44" s="21">
        <f t="shared" si="13"/>
        <v>7892281024.6700001</v>
      </c>
      <c r="BD44" s="21">
        <f t="shared" si="14"/>
        <v>5758592102.29</v>
      </c>
      <c r="BE44" s="21">
        <f t="shared" si="15"/>
        <v>5263612520.2700005</v>
      </c>
      <c r="BF44" s="21">
        <f t="shared" si="16"/>
        <v>1251431653.3800001</v>
      </c>
      <c r="BG44" s="21">
        <f t="shared" si="17"/>
        <v>6515044173.6499996</v>
      </c>
      <c r="BH44" s="49">
        <f t="shared" si="18"/>
        <v>82.549571578673138</v>
      </c>
      <c r="BI44" s="49">
        <f t="shared" si="19"/>
        <v>82.476315589269504</v>
      </c>
    </row>
    <row r="45" spans="1:61" ht="49.95" customHeight="1" x14ac:dyDescent="0.3">
      <c r="A45" s="19" t="s">
        <v>311</v>
      </c>
      <c r="B45" s="19">
        <v>714</v>
      </c>
      <c r="C45" s="3" t="s">
        <v>51</v>
      </c>
      <c r="D45" s="6" t="s">
        <v>260</v>
      </c>
      <c r="E45" s="23">
        <v>100</v>
      </c>
      <c r="F45" s="7" t="s">
        <v>33</v>
      </c>
      <c r="G45" s="23">
        <v>65</v>
      </c>
      <c r="H45" s="70">
        <f>G45*100/E45</f>
        <v>65</v>
      </c>
      <c r="I45" s="70">
        <v>65</v>
      </c>
      <c r="J45" s="33">
        <v>3</v>
      </c>
      <c r="K45" s="58" t="s">
        <v>52</v>
      </c>
      <c r="L45" s="7" t="s">
        <v>631</v>
      </c>
      <c r="M45" s="7" t="s">
        <v>644</v>
      </c>
      <c r="N45" s="7" t="s">
        <v>632</v>
      </c>
      <c r="O45" s="67" t="s">
        <v>566</v>
      </c>
      <c r="P45" s="28">
        <v>1</v>
      </c>
      <c r="Q45" s="27" t="s">
        <v>567</v>
      </c>
      <c r="R45" s="27" t="s">
        <v>555</v>
      </c>
      <c r="S45" s="20">
        <v>2</v>
      </c>
      <c r="T45" s="10" t="s">
        <v>429</v>
      </c>
      <c r="U45" s="4"/>
      <c r="V45" s="4" t="s">
        <v>591</v>
      </c>
      <c r="W45" s="20">
        <v>2</v>
      </c>
      <c r="X45" s="10" t="s">
        <v>595</v>
      </c>
      <c r="Y45" s="43">
        <f>0+1725000000</f>
        <v>1725000000</v>
      </c>
      <c r="Z45" s="43">
        <f>9021667+1496000000</f>
        <v>1505021667</v>
      </c>
      <c r="AA45" s="43">
        <f>0+1495951633.09</f>
        <v>1495951633.0899999</v>
      </c>
      <c r="AB45" s="43">
        <f>0+1471407155.02</f>
        <v>1471407155.02</v>
      </c>
      <c r="AC45" s="43">
        <f>0+1471362604.38</f>
        <v>1471362604.3800001</v>
      </c>
      <c r="AD45" s="43">
        <f>0+0</f>
        <v>0</v>
      </c>
      <c r="AE45" s="43">
        <f>0+1471362604.38</f>
        <v>1471362604.3800001</v>
      </c>
      <c r="AF45" s="43">
        <f>464362000+1898000000</f>
        <v>2362362000</v>
      </c>
      <c r="AG45" s="43">
        <f>554920000+1867942000</f>
        <v>2422862000</v>
      </c>
      <c r="AH45" s="43">
        <f>298289006.32+1865922086.68</f>
        <v>2164211093</v>
      </c>
      <c r="AI45" s="43">
        <f>207868893.35+1842948867.1</f>
        <v>2050817760.4499998</v>
      </c>
      <c r="AJ45" s="43">
        <f>206252369.92+1842927341.3</f>
        <v>2049179711.22</v>
      </c>
      <c r="AK45" s="43">
        <f>0+12824155.35</f>
        <v>12824155.35</v>
      </c>
      <c r="AL45" s="43">
        <f>206252369.92+1855751496.65</f>
        <v>2062003866.5700002</v>
      </c>
      <c r="AM45" s="43">
        <f>463230000+1700000000</f>
        <v>2163230000</v>
      </c>
      <c r="AN45" s="43">
        <f>345421000+1689562020</f>
        <v>2034983020</v>
      </c>
      <c r="AO45" s="43">
        <f>259184149.36+1689093378.07</f>
        <v>1948277527.4299998</v>
      </c>
      <c r="AP45" s="43">
        <f>180743614.1+1515691367.76</f>
        <v>1696434981.8599999</v>
      </c>
      <c r="AQ45" s="43">
        <f>180743614.1+1515608935.88</f>
        <v>1696352549.98</v>
      </c>
      <c r="AR45" s="43">
        <f>66415609.08+10979055.04</f>
        <v>77394664.120000005</v>
      </c>
      <c r="AS45" s="43">
        <f>247159223.18+1526587990.92</f>
        <v>1773747214.1000001</v>
      </c>
      <c r="AT45" s="43">
        <f>430740000+2072000000</f>
        <v>2502740000</v>
      </c>
      <c r="AU45" s="43">
        <f>430740000+1772000000</f>
        <v>2202740000</v>
      </c>
      <c r="AV45" s="43">
        <f>266928597.81+1769223459.38</f>
        <v>2036152057.1900001</v>
      </c>
      <c r="AW45" s="43">
        <f>174529977.16+1354620832.86</f>
        <v>1529150810.02</v>
      </c>
      <c r="AX45" s="43">
        <f>174166671.96+1354492365.83</f>
        <v>1528659037.79</v>
      </c>
      <c r="AY45" s="43">
        <f>80942401.39+160329233.48</f>
        <v>241271634.87</v>
      </c>
      <c r="AZ45" s="43">
        <f>255109073.35+1514821599.31</f>
        <v>1769930672.6599998</v>
      </c>
      <c r="BA45" s="21">
        <f t="shared" si="11"/>
        <v>8753332000</v>
      </c>
      <c r="BB45" s="21">
        <f t="shared" si="12"/>
        <v>8165606687</v>
      </c>
      <c r="BC45" s="21">
        <f t="shared" si="13"/>
        <v>7644592310.710001</v>
      </c>
      <c r="BD45" s="21">
        <f t="shared" si="14"/>
        <v>6747810707.3500004</v>
      </c>
      <c r="BE45" s="21">
        <f t="shared" si="15"/>
        <v>6745553903.3699999</v>
      </c>
      <c r="BF45" s="21">
        <f t="shared" si="16"/>
        <v>331490454.34000003</v>
      </c>
      <c r="BG45" s="21">
        <f t="shared" si="17"/>
        <v>7077044357.71</v>
      </c>
      <c r="BH45" s="49">
        <f t="shared" si="18"/>
        <v>92.575824452994411</v>
      </c>
      <c r="BI45" s="49">
        <f t="shared" si="19"/>
        <v>86.668935071009017</v>
      </c>
    </row>
    <row r="46" spans="1:61" ht="49.95" customHeight="1" x14ac:dyDescent="0.3">
      <c r="A46" s="19" t="s">
        <v>312</v>
      </c>
      <c r="B46" s="19">
        <v>714</v>
      </c>
      <c r="C46" s="3" t="s">
        <v>68</v>
      </c>
      <c r="D46" s="6" t="s">
        <v>260</v>
      </c>
      <c r="E46" s="23">
        <v>95</v>
      </c>
      <c r="F46" s="7" t="s">
        <v>33</v>
      </c>
      <c r="G46" s="23">
        <v>53.03</v>
      </c>
      <c r="H46" s="70">
        <f>G46*100/E46</f>
        <v>55.821052631578951</v>
      </c>
      <c r="I46" s="70">
        <v>55.821052631578951</v>
      </c>
      <c r="J46" s="33">
        <v>3</v>
      </c>
      <c r="K46" s="58" t="s">
        <v>69</v>
      </c>
      <c r="L46" s="7" t="s">
        <v>635</v>
      </c>
      <c r="M46" s="7" t="s">
        <v>639</v>
      </c>
      <c r="N46" s="7" t="s">
        <v>632</v>
      </c>
      <c r="O46" s="65" t="s">
        <v>523</v>
      </c>
      <c r="P46" s="28">
        <v>0.95</v>
      </c>
      <c r="Q46" s="6" t="s">
        <v>473</v>
      </c>
      <c r="R46" s="9">
        <v>2870000000</v>
      </c>
      <c r="S46" s="20">
        <v>1</v>
      </c>
      <c r="T46" s="20">
        <v>6</v>
      </c>
      <c r="U46" s="4"/>
      <c r="V46" s="4" t="s">
        <v>586</v>
      </c>
      <c r="W46" s="20">
        <v>1</v>
      </c>
      <c r="X46" s="20">
        <v>6</v>
      </c>
      <c r="Y46" s="31">
        <v>0</v>
      </c>
      <c r="Z46" s="31">
        <v>0</v>
      </c>
      <c r="AA46" s="31">
        <v>0</v>
      </c>
      <c r="AB46" s="31">
        <v>0</v>
      </c>
      <c r="AC46" s="31">
        <v>0</v>
      </c>
      <c r="AD46" s="31">
        <v>0</v>
      </c>
      <c r="AE46" s="31">
        <v>0</v>
      </c>
      <c r="AF46" s="43">
        <v>2184000000</v>
      </c>
      <c r="AG46" s="43">
        <v>2181899999</v>
      </c>
      <c r="AH46" s="43">
        <v>2181641614.7800002</v>
      </c>
      <c r="AI46" s="43">
        <v>1432444771.7600002</v>
      </c>
      <c r="AJ46" s="43">
        <v>1313462620.8099999</v>
      </c>
      <c r="AK46" s="43">
        <v>0</v>
      </c>
      <c r="AL46" s="43">
        <v>1313462620.8099999</v>
      </c>
      <c r="AM46" s="43">
        <v>2088000000</v>
      </c>
      <c r="AN46" s="43">
        <v>2296719000</v>
      </c>
      <c r="AO46" s="43">
        <v>2290407299.6100001</v>
      </c>
      <c r="AP46" s="43">
        <v>1846061095.1100001</v>
      </c>
      <c r="AQ46" s="43">
        <v>1798105326.6900003</v>
      </c>
      <c r="AR46" s="43">
        <v>793497693.11000001</v>
      </c>
      <c r="AS46" s="43">
        <v>2591603019.7999997</v>
      </c>
      <c r="AT46" s="43">
        <v>2870000000</v>
      </c>
      <c r="AU46" s="43">
        <v>3420672000</v>
      </c>
      <c r="AV46" s="43">
        <v>3420232110.2800002</v>
      </c>
      <c r="AW46" s="43">
        <v>2480086235.4199996</v>
      </c>
      <c r="AX46" s="43">
        <v>2152044572.77</v>
      </c>
      <c r="AY46" s="43">
        <v>457933960.27000004</v>
      </c>
      <c r="AZ46" s="43">
        <v>2609978533.04</v>
      </c>
      <c r="BA46" s="21">
        <f t="shared" si="11"/>
        <v>7142000000</v>
      </c>
      <c r="BB46" s="21">
        <f t="shared" si="12"/>
        <v>7899290999</v>
      </c>
      <c r="BC46" s="21">
        <f t="shared" si="13"/>
        <v>7892281024.6700001</v>
      </c>
      <c r="BD46" s="21">
        <f t="shared" si="14"/>
        <v>5758592102.29</v>
      </c>
      <c r="BE46" s="21">
        <f t="shared" si="15"/>
        <v>5263612520.2700005</v>
      </c>
      <c r="BF46" s="21">
        <f t="shared" si="16"/>
        <v>1251431653.3800001</v>
      </c>
      <c r="BG46" s="21">
        <f t="shared" si="17"/>
        <v>6515044173.6499996</v>
      </c>
      <c r="BH46" s="49">
        <f t="shared" si="18"/>
        <v>82.549571578673138</v>
      </c>
      <c r="BI46" s="49">
        <f t="shared" si="19"/>
        <v>82.476315589269504</v>
      </c>
    </row>
    <row r="47" spans="1:61" ht="49.95" customHeight="1" x14ac:dyDescent="0.3">
      <c r="A47" s="19" t="s">
        <v>313</v>
      </c>
      <c r="B47" s="19">
        <v>714</v>
      </c>
      <c r="C47" s="3" t="s">
        <v>80</v>
      </c>
      <c r="D47" s="6" t="s">
        <v>260</v>
      </c>
      <c r="E47" s="23">
        <v>18.899999999999999</v>
      </c>
      <c r="F47" s="7" t="s">
        <v>81</v>
      </c>
      <c r="G47" s="23">
        <v>19.7</v>
      </c>
      <c r="H47" s="70">
        <v>38</v>
      </c>
      <c r="I47" s="70">
        <v>38</v>
      </c>
      <c r="J47" s="33">
        <v>2</v>
      </c>
      <c r="K47" s="58" t="s">
        <v>256</v>
      </c>
      <c r="L47" s="7" t="s">
        <v>635</v>
      </c>
      <c r="M47" s="7" t="s">
        <v>640</v>
      </c>
      <c r="N47" s="7" t="s">
        <v>632</v>
      </c>
      <c r="O47" s="65" t="s">
        <v>524</v>
      </c>
      <c r="P47" s="22" t="s">
        <v>568</v>
      </c>
      <c r="Q47" s="6" t="s">
        <v>433</v>
      </c>
      <c r="R47" s="27" t="s">
        <v>569</v>
      </c>
      <c r="S47" s="20">
        <v>2</v>
      </c>
      <c r="T47" s="10" t="s">
        <v>434</v>
      </c>
      <c r="U47" s="4"/>
      <c r="V47" s="4" t="s">
        <v>592</v>
      </c>
      <c r="W47" s="20">
        <v>2</v>
      </c>
      <c r="X47" s="10" t="s">
        <v>597</v>
      </c>
      <c r="Y47" s="43">
        <f>0+168000000</f>
        <v>168000000</v>
      </c>
      <c r="Z47" s="43">
        <f>9021667+164200000</f>
        <v>173221667</v>
      </c>
      <c r="AA47" s="43">
        <f>0+164200000</f>
        <v>164200000</v>
      </c>
      <c r="AB47" s="43">
        <f>0+159136728.26</f>
        <v>159136728.25999999</v>
      </c>
      <c r="AC47" s="43">
        <f>0+159136728.26</f>
        <v>159136728.25999999</v>
      </c>
      <c r="AD47" s="43">
        <f>0+0</f>
        <v>0</v>
      </c>
      <c r="AE47" s="43">
        <f>0+159136728.26</f>
        <v>159136728.25999999</v>
      </c>
      <c r="AF47" s="43">
        <f>464362000+168000000</f>
        <v>632362000</v>
      </c>
      <c r="AG47" s="43">
        <f>554920000+160000000</f>
        <v>714920000</v>
      </c>
      <c r="AH47" s="43">
        <f>298289006.32+159734190.56</f>
        <v>458023196.88</v>
      </c>
      <c r="AI47" s="43">
        <f>207868893.35+159684191.28</f>
        <v>367553084.63</v>
      </c>
      <c r="AJ47" s="43">
        <f>206252369.92+159684191.28</f>
        <v>365936561.19999999</v>
      </c>
      <c r="AK47" s="43">
        <f>0+945.24</f>
        <v>945.24</v>
      </c>
      <c r="AL47" s="43">
        <f>206252369.92+159685136.52</f>
        <v>365937506.44</v>
      </c>
      <c r="AM47" s="43">
        <f>463230000+168000000</f>
        <v>631230000</v>
      </c>
      <c r="AN47" s="43">
        <f>345421000+178437980</f>
        <v>523858980</v>
      </c>
      <c r="AO47" s="43">
        <f>259184149.36+178437978.8</f>
        <v>437622128.16000003</v>
      </c>
      <c r="AP47" s="43">
        <f>180743614.1+163546906.08</f>
        <v>344290520.18000001</v>
      </c>
      <c r="AQ47" s="43">
        <f>180743614.1+163546906.08</f>
        <v>344290520.18000001</v>
      </c>
      <c r="AR47" s="43">
        <f>66415609.08+0</f>
        <v>66415609.079999998</v>
      </c>
      <c r="AS47" s="43">
        <f>247159223.18+163546906.08</f>
        <v>410706129.25999999</v>
      </c>
      <c r="AT47" s="43">
        <f>430740000+178500000</f>
        <v>609240000</v>
      </c>
      <c r="AU47" s="43">
        <f>430740000+178500000</f>
        <v>609240000</v>
      </c>
      <c r="AV47" s="43">
        <f>266928597.81+176939899.42</f>
        <v>443868497.23000002</v>
      </c>
      <c r="AW47" s="43">
        <f>174529977.16+163407914.33</f>
        <v>337937891.49000001</v>
      </c>
      <c r="AX47" s="43">
        <f>174166671.96+163407914.33</f>
        <v>337574586.29000002</v>
      </c>
      <c r="AY47" s="43">
        <f>80942401.39+14703247.53</f>
        <v>95645648.920000002</v>
      </c>
      <c r="AZ47" s="43">
        <f>255109073.35+178111161.86</f>
        <v>433220235.21000004</v>
      </c>
      <c r="BA47" s="21">
        <f t="shared" si="11"/>
        <v>2040832000</v>
      </c>
      <c r="BB47" s="21">
        <f t="shared" si="12"/>
        <v>2021240647</v>
      </c>
      <c r="BC47" s="21">
        <f t="shared" si="13"/>
        <v>1503713822.27</v>
      </c>
      <c r="BD47" s="21">
        <f t="shared" si="14"/>
        <v>1208918224.5599999</v>
      </c>
      <c r="BE47" s="21">
        <f t="shared" si="15"/>
        <v>1206938395.9300001</v>
      </c>
      <c r="BF47" s="21">
        <f t="shared" si="16"/>
        <v>162062203.24000001</v>
      </c>
      <c r="BG47" s="21">
        <f t="shared" si="17"/>
        <v>1369000599.1700001</v>
      </c>
      <c r="BH47" s="49">
        <f t="shared" si="18"/>
        <v>91.041299141838209</v>
      </c>
      <c r="BI47" s="49">
        <f t="shared" si="19"/>
        <v>67.730707929405696</v>
      </c>
    </row>
    <row r="48" spans="1:61" ht="49.95" customHeight="1" x14ac:dyDescent="0.3">
      <c r="A48" s="19" t="s">
        <v>314</v>
      </c>
      <c r="B48" s="19">
        <v>715</v>
      </c>
      <c r="C48" s="2" t="s">
        <v>92</v>
      </c>
      <c r="D48" s="1" t="s">
        <v>264</v>
      </c>
      <c r="E48" s="24">
        <v>13000</v>
      </c>
      <c r="F48" s="1" t="s">
        <v>93</v>
      </c>
      <c r="G48" s="24">
        <v>21355</v>
      </c>
      <c r="H48" s="68">
        <v>178</v>
      </c>
      <c r="I48" s="68">
        <v>100</v>
      </c>
      <c r="J48" s="32">
        <v>5</v>
      </c>
      <c r="K48" s="59" t="s">
        <v>233</v>
      </c>
      <c r="L48" s="7" t="s">
        <v>631</v>
      </c>
      <c r="M48" s="7" t="s">
        <v>644</v>
      </c>
      <c r="N48" s="7" t="s">
        <v>632</v>
      </c>
      <c r="O48" s="65"/>
      <c r="P48" s="22"/>
      <c r="Q48" s="6"/>
      <c r="R48" s="27"/>
      <c r="S48" s="20"/>
      <c r="T48" s="10"/>
      <c r="U48" s="4" t="s">
        <v>598</v>
      </c>
      <c r="V48" s="4" t="s">
        <v>598</v>
      </c>
      <c r="W48" s="20">
        <v>1</v>
      </c>
      <c r="X48" s="10">
        <v>2</v>
      </c>
      <c r="Y48" s="43">
        <v>0</v>
      </c>
      <c r="Z48" s="43">
        <v>11166667</v>
      </c>
      <c r="AA48" s="43">
        <v>0</v>
      </c>
      <c r="AB48" s="43">
        <v>0</v>
      </c>
      <c r="AC48" s="43">
        <v>0</v>
      </c>
      <c r="AD48" s="30">
        <v>0</v>
      </c>
      <c r="AE48" s="30">
        <v>0</v>
      </c>
      <c r="AF48" s="43">
        <v>76739000</v>
      </c>
      <c r="AG48" s="43">
        <v>76739000</v>
      </c>
      <c r="AH48" s="43">
        <v>40056857.32</v>
      </c>
      <c r="AI48" s="43">
        <v>20335394.260000002</v>
      </c>
      <c r="AJ48" s="43">
        <v>20188462.380000003</v>
      </c>
      <c r="AK48" s="43">
        <v>0</v>
      </c>
      <c r="AL48" s="43">
        <v>20188462.380000003</v>
      </c>
      <c r="AM48" s="43">
        <v>88910000</v>
      </c>
      <c r="AN48" s="43">
        <v>73396300</v>
      </c>
      <c r="AO48" s="43">
        <v>37423732.740000002</v>
      </c>
      <c r="AP48" s="43">
        <v>17136118.259999998</v>
      </c>
      <c r="AQ48" s="43">
        <v>16850089.689999998</v>
      </c>
      <c r="AR48" s="43">
        <v>18383802.849999998</v>
      </c>
      <c r="AS48" s="43">
        <v>35233892.539999992</v>
      </c>
      <c r="AT48" s="43">
        <v>103977580</v>
      </c>
      <c r="AU48" s="43">
        <v>103977580</v>
      </c>
      <c r="AV48" s="43">
        <v>12208978.390000001</v>
      </c>
      <c r="AW48" s="43">
        <v>6763439.04</v>
      </c>
      <c r="AX48" s="43">
        <v>6763439.04</v>
      </c>
      <c r="AY48" s="43">
        <v>18721360.350000001</v>
      </c>
      <c r="AZ48" s="43">
        <v>25484799.390000001</v>
      </c>
      <c r="BA48" s="21">
        <f t="shared" si="11"/>
        <v>269626580</v>
      </c>
      <c r="BB48" s="21">
        <f t="shared" si="12"/>
        <v>265279547</v>
      </c>
      <c r="BC48" s="21">
        <f t="shared" si="13"/>
        <v>89689568.450000003</v>
      </c>
      <c r="BD48" s="21">
        <f t="shared" si="14"/>
        <v>44234951.559999995</v>
      </c>
      <c r="BE48" s="21">
        <f t="shared" si="15"/>
        <v>43801991.109999999</v>
      </c>
      <c r="BF48" s="21">
        <f t="shared" si="16"/>
        <v>37105163.200000003</v>
      </c>
      <c r="BG48" s="21">
        <f t="shared" si="17"/>
        <v>80907154.310000002</v>
      </c>
      <c r="BH48" s="49">
        <f t="shared" si="18"/>
        <v>90.207987069426011</v>
      </c>
      <c r="BI48" s="49">
        <f t="shared" si="19"/>
        <v>30.498828584775893</v>
      </c>
    </row>
    <row r="49" spans="1:61" ht="49.95" customHeight="1" x14ac:dyDescent="0.3">
      <c r="A49" s="19" t="s">
        <v>315</v>
      </c>
      <c r="B49" s="19">
        <v>715</v>
      </c>
      <c r="C49" s="2" t="s">
        <v>87</v>
      </c>
      <c r="D49" s="6" t="s">
        <v>260</v>
      </c>
      <c r="E49" s="24">
        <v>120</v>
      </c>
      <c r="F49" s="1" t="s">
        <v>88</v>
      </c>
      <c r="G49" s="24">
        <v>183</v>
      </c>
      <c r="H49" s="68">
        <f>G49*100/E49</f>
        <v>152.5</v>
      </c>
      <c r="I49" s="68">
        <v>100</v>
      </c>
      <c r="J49" s="32">
        <v>5</v>
      </c>
      <c r="K49" s="56"/>
      <c r="L49" s="7" t="s">
        <v>634</v>
      </c>
      <c r="M49" s="7" t="s">
        <v>638</v>
      </c>
      <c r="N49" s="7" t="s">
        <v>632</v>
      </c>
      <c r="O49" s="65" t="s">
        <v>570</v>
      </c>
      <c r="P49" s="14">
        <v>50</v>
      </c>
      <c r="Q49" s="6" t="s">
        <v>416</v>
      </c>
      <c r="R49" s="9">
        <v>196000000</v>
      </c>
      <c r="S49" s="10">
        <v>1</v>
      </c>
      <c r="T49" s="10">
        <v>8</v>
      </c>
      <c r="U49" s="4"/>
      <c r="V49" s="4" t="s">
        <v>589</v>
      </c>
      <c r="W49" s="10">
        <v>1</v>
      </c>
      <c r="X49" s="10">
        <v>8</v>
      </c>
      <c r="Y49" s="43">
        <v>196000000</v>
      </c>
      <c r="Z49" s="43">
        <v>222866664</v>
      </c>
      <c r="AA49" s="43">
        <v>88747112.280000001</v>
      </c>
      <c r="AB49" s="43">
        <v>9411417.6999999993</v>
      </c>
      <c r="AC49" s="43">
        <v>9411417.6999999993</v>
      </c>
      <c r="AD49" s="43">
        <v>0</v>
      </c>
      <c r="AE49" s="43">
        <v>9411417.6999999993</v>
      </c>
      <c r="AF49" s="43">
        <v>216400000</v>
      </c>
      <c r="AG49" s="43">
        <v>234600000</v>
      </c>
      <c r="AH49" s="43">
        <v>79207398.239999995</v>
      </c>
      <c r="AI49" s="43">
        <v>17662899.919999998</v>
      </c>
      <c r="AJ49" s="43">
        <v>15701290.410000002</v>
      </c>
      <c r="AK49" s="43">
        <v>14058075.390000001</v>
      </c>
      <c r="AL49" s="43">
        <v>29759365.800000001</v>
      </c>
      <c r="AM49" s="43">
        <v>195556400</v>
      </c>
      <c r="AN49" s="43">
        <v>160056400</v>
      </c>
      <c r="AO49" s="43">
        <v>117375801.29000001</v>
      </c>
      <c r="AP49" s="43">
        <v>44610949.189999998</v>
      </c>
      <c r="AQ49" s="43">
        <v>44610949.189999998</v>
      </c>
      <c r="AR49" s="43">
        <v>37846042.390000001</v>
      </c>
      <c r="AS49" s="43">
        <v>82456991.579999998</v>
      </c>
      <c r="AT49" s="43">
        <v>172400000</v>
      </c>
      <c r="AU49" s="43">
        <v>172400000</v>
      </c>
      <c r="AV49" s="43">
        <v>31782501.879999999</v>
      </c>
      <c r="AW49" s="43">
        <v>21730545.979999997</v>
      </c>
      <c r="AX49" s="43">
        <v>21311309.079999998</v>
      </c>
      <c r="AY49" s="43">
        <v>46748368.219999999</v>
      </c>
      <c r="AZ49" s="43">
        <v>68059677.299999997</v>
      </c>
      <c r="BA49" s="21">
        <f t="shared" si="11"/>
        <v>780356400</v>
      </c>
      <c r="BB49" s="21">
        <f t="shared" si="12"/>
        <v>789923064</v>
      </c>
      <c r="BC49" s="21">
        <f t="shared" si="13"/>
        <v>317112813.69</v>
      </c>
      <c r="BD49" s="21">
        <f t="shared" si="14"/>
        <v>93415812.789999992</v>
      </c>
      <c r="BE49" s="21">
        <f t="shared" si="15"/>
        <v>91034966.379999995</v>
      </c>
      <c r="BF49" s="21">
        <f t="shared" si="16"/>
        <v>98652486</v>
      </c>
      <c r="BG49" s="21">
        <f t="shared" si="17"/>
        <v>189687452.38</v>
      </c>
      <c r="BH49" s="49">
        <f t="shared" si="18"/>
        <v>59.817025421568985</v>
      </c>
      <c r="BI49" s="49">
        <f t="shared" si="19"/>
        <v>24.013408523541983</v>
      </c>
    </row>
    <row r="50" spans="1:61" ht="49.95" customHeight="1" x14ac:dyDescent="0.3">
      <c r="A50" s="19" t="s">
        <v>316</v>
      </c>
      <c r="B50" s="19">
        <v>715</v>
      </c>
      <c r="C50" s="2" t="s">
        <v>113</v>
      </c>
      <c r="D50" s="6" t="s">
        <v>260</v>
      </c>
      <c r="E50" s="24">
        <v>30</v>
      </c>
      <c r="F50" s="1" t="s">
        <v>114</v>
      </c>
      <c r="G50" s="24">
        <v>40</v>
      </c>
      <c r="H50" s="68">
        <f>G50*100/E50</f>
        <v>133.33333333333334</v>
      </c>
      <c r="I50" s="68">
        <v>100</v>
      </c>
      <c r="J50" s="32">
        <v>5</v>
      </c>
      <c r="K50" s="59" t="s">
        <v>235</v>
      </c>
      <c r="L50" s="7" t="s">
        <v>634</v>
      </c>
      <c r="M50" s="7" t="s">
        <v>638</v>
      </c>
      <c r="N50" s="7" t="s">
        <v>632</v>
      </c>
      <c r="O50" s="65" t="s">
        <v>435</v>
      </c>
      <c r="P50" s="14">
        <v>14</v>
      </c>
      <c r="Q50" s="6" t="s">
        <v>416</v>
      </c>
      <c r="R50" s="9">
        <v>196000000</v>
      </c>
      <c r="S50" s="10">
        <v>1</v>
      </c>
      <c r="T50" s="10">
        <v>8</v>
      </c>
      <c r="U50" s="4"/>
      <c r="V50" s="4" t="s">
        <v>589</v>
      </c>
      <c r="W50" s="10">
        <v>1</v>
      </c>
      <c r="X50" s="10">
        <v>8</v>
      </c>
      <c r="Y50" s="43">
        <v>196000000</v>
      </c>
      <c r="Z50" s="43">
        <v>222866664</v>
      </c>
      <c r="AA50" s="43">
        <v>88747112.280000001</v>
      </c>
      <c r="AB50" s="43">
        <v>9411417.6999999993</v>
      </c>
      <c r="AC50" s="43">
        <v>9411417.6999999993</v>
      </c>
      <c r="AD50" s="43">
        <v>0</v>
      </c>
      <c r="AE50" s="43">
        <v>9411417.6999999993</v>
      </c>
      <c r="AF50" s="43">
        <v>216400000</v>
      </c>
      <c r="AG50" s="43">
        <v>234600000</v>
      </c>
      <c r="AH50" s="43">
        <v>79207398.239999995</v>
      </c>
      <c r="AI50" s="43">
        <v>17662899.919999998</v>
      </c>
      <c r="AJ50" s="43">
        <v>15701290.410000002</v>
      </c>
      <c r="AK50" s="43">
        <v>14058075.390000001</v>
      </c>
      <c r="AL50" s="43">
        <v>29759365.800000001</v>
      </c>
      <c r="AM50" s="43">
        <v>195556400</v>
      </c>
      <c r="AN50" s="43">
        <v>160056400</v>
      </c>
      <c r="AO50" s="43">
        <v>117375801.29000001</v>
      </c>
      <c r="AP50" s="43">
        <v>44610949.189999998</v>
      </c>
      <c r="AQ50" s="43">
        <v>44610949.189999998</v>
      </c>
      <c r="AR50" s="43">
        <v>37846042.390000001</v>
      </c>
      <c r="AS50" s="43">
        <v>82456991.579999998</v>
      </c>
      <c r="AT50" s="43">
        <v>172400000</v>
      </c>
      <c r="AU50" s="43">
        <v>172400000</v>
      </c>
      <c r="AV50" s="43">
        <v>31782501.879999999</v>
      </c>
      <c r="AW50" s="43">
        <v>21730545.979999997</v>
      </c>
      <c r="AX50" s="43">
        <v>21311309.079999998</v>
      </c>
      <c r="AY50" s="43">
        <v>46748368.219999999</v>
      </c>
      <c r="AZ50" s="43">
        <v>68059677.299999997</v>
      </c>
      <c r="BA50" s="21">
        <f t="shared" si="11"/>
        <v>780356400</v>
      </c>
      <c r="BB50" s="21">
        <f t="shared" si="12"/>
        <v>789923064</v>
      </c>
      <c r="BC50" s="21">
        <f t="shared" si="13"/>
        <v>317112813.69</v>
      </c>
      <c r="BD50" s="21">
        <f t="shared" si="14"/>
        <v>93415812.789999992</v>
      </c>
      <c r="BE50" s="21">
        <f t="shared" si="15"/>
        <v>91034966.379999995</v>
      </c>
      <c r="BF50" s="21">
        <f t="shared" si="16"/>
        <v>98652486</v>
      </c>
      <c r="BG50" s="21">
        <f t="shared" si="17"/>
        <v>189687452.38</v>
      </c>
      <c r="BH50" s="49">
        <f t="shared" si="18"/>
        <v>59.817025421568985</v>
      </c>
      <c r="BI50" s="49">
        <f t="shared" si="19"/>
        <v>24.013408523541983</v>
      </c>
    </row>
    <row r="51" spans="1:61" ht="49.95" customHeight="1" x14ac:dyDescent="0.3">
      <c r="A51" s="19" t="s">
        <v>317</v>
      </c>
      <c r="B51" s="19">
        <v>715</v>
      </c>
      <c r="C51" s="2" t="s">
        <v>86</v>
      </c>
      <c r="D51" s="6" t="s">
        <v>260</v>
      </c>
      <c r="E51" s="24">
        <v>60</v>
      </c>
      <c r="F51" s="1" t="s">
        <v>33</v>
      </c>
      <c r="G51" s="24">
        <v>68</v>
      </c>
      <c r="H51" s="68">
        <f>G51*100/E51</f>
        <v>113.33333333333333</v>
      </c>
      <c r="I51" s="68">
        <v>100</v>
      </c>
      <c r="J51" s="32">
        <v>5</v>
      </c>
      <c r="K51" s="56"/>
      <c r="L51" s="7" t="s">
        <v>631</v>
      </c>
      <c r="M51" s="7" t="s">
        <v>644</v>
      </c>
      <c r="N51" s="7" t="s">
        <v>632</v>
      </c>
      <c r="O51" s="66" t="s">
        <v>571</v>
      </c>
      <c r="P51" s="28">
        <v>0.6</v>
      </c>
      <c r="Q51" s="6" t="s">
        <v>436</v>
      </c>
      <c r="R51" s="9">
        <v>32000000</v>
      </c>
      <c r="S51" s="10">
        <v>1</v>
      </c>
      <c r="T51" s="10">
        <v>3</v>
      </c>
      <c r="U51" s="4"/>
      <c r="V51" s="4">
        <v>8735</v>
      </c>
      <c r="W51" s="10">
        <v>1</v>
      </c>
      <c r="X51" s="10">
        <v>3</v>
      </c>
      <c r="Y51" s="43">
        <v>10000000</v>
      </c>
      <c r="Z51" s="43">
        <v>10000000</v>
      </c>
      <c r="AA51" s="43">
        <v>9245678.0399999991</v>
      </c>
      <c r="AB51" s="43">
        <v>5522750.7799999993</v>
      </c>
      <c r="AC51" s="43">
        <v>5495950.7799999993</v>
      </c>
      <c r="AD51" s="43">
        <v>0</v>
      </c>
      <c r="AE51" s="43">
        <v>5495950.7799999993</v>
      </c>
      <c r="AF51" s="43">
        <v>11211000</v>
      </c>
      <c r="AG51" s="43">
        <v>11211000</v>
      </c>
      <c r="AH51" s="43">
        <v>11135846.189999999</v>
      </c>
      <c r="AI51" s="43">
        <v>1650805.11</v>
      </c>
      <c r="AJ51" s="43">
        <v>1650805.11</v>
      </c>
      <c r="AK51" s="43">
        <v>2935574.55</v>
      </c>
      <c r="AL51" s="43">
        <v>4586379.66</v>
      </c>
      <c r="AM51" s="43">
        <v>17500000</v>
      </c>
      <c r="AN51" s="43">
        <v>12250000</v>
      </c>
      <c r="AO51" s="43">
        <v>10449871.35</v>
      </c>
      <c r="AP51" s="43">
        <v>2618653.0699999998</v>
      </c>
      <c r="AQ51" s="43">
        <v>2616108.79</v>
      </c>
      <c r="AR51" s="43">
        <v>4524239.41</v>
      </c>
      <c r="AS51" s="43">
        <v>7140348.2000000002</v>
      </c>
      <c r="AT51" s="43">
        <v>32000000</v>
      </c>
      <c r="AU51" s="43">
        <v>32000000</v>
      </c>
      <c r="AV51" s="43">
        <v>3761174.25</v>
      </c>
      <c r="AW51" s="43">
        <v>1474575.98</v>
      </c>
      <c r="AX51" s="43">
        <v>1435091.48</v>
      </c>
      <c r="AY51" s="43">
        <v>5355847.01</v>
      </c>
      <c r="AZ51" s="43">
        <v>6790938.4900000002</v>
      </c>
      <c r="BA51" s="21">
        <f t="shared" si="11"/>
        <v>70711000</v>
      </c>
      <c r="BB51" s="21">
        <f t="shared" si="12"/>
        <v>65461000</v>
      </c>
      <c r="BC51" s="21">
        <f t="shared" si="13"/>
        <v>34592569.829999998</v>
      </c>
      <c r="BD51" s="21">
        <f t="shared" si="14"/>
        <v>11266784.939999999</v>
      </c>
      <c r="BE51" s="21">
        <f t="shared" si="15"/>
        <v>11197956.16</v>
      </c>
      <c r="BF51" s="21">
        <f t="shared" si="16"/>
        <v>12815660.969999999</v>
      </c>
      <c r="BG51" s="21">
        <f t="shared" si="17"/>
        <v>24013617.130000003</v>
      </c>
      <c r="BH51" s="49">
        <f t="shared" si="18"/>
        <v>69.418424962387377</v>
      </c>
      <c r="BI51" s="49">
        <f t="shared" si="19"/>
        <v>36.683853179755893</v>
      </c>
    </row>
    <row r="52" spans="1:61" ht="49.95" customHeight="1" x14ac:dyDescent="0.3">
      <c r="A52" s="19" t="s">
        <v>318</v>
      </c>
      <c r="B52" s="19">
        <v>715</v>
      </c>
      <c r="C52" s="2" t="s">
        <v>89</v>
      </c>
      <c r="D52" s="6" t="s">
        <v>260</v>
      </c>
      <c r="E52" s="24">
        <v>70</v>
      </c>
      <c r="F52" s="1" t="s">
        <v>33</v>
      </c>
      <c r="G52" s="24">
        <v>74.2</v>
      </c>
      <c r="H52" s="68">
        <v>109</v>
      </c>
      <c r="I52" s="68">
        <v>100</v>
      </c>
      <c r="J52" s="32">
        <v>5</v>
      </c>
      <c r="K52" s="59" t="s">
        <v>236</v>
      </c>
      <c r="L52" s="7" t="s">
        <v>631</v>
      </c>
      <c r="M52" s="7" t="s">
        <v>644</v>
      </c>
      <c r="N52" s="7" t="s">
        <v>632</v>
      </c>
      <c r="O52" s="66" t="s">
        <v>572</v>
      </c>
      <c r="P52" s="14">
        <v>70</v>
      </c>
      <c r="Q52" s="6" t="s">
        <v>437</v>
      </c>
      <c r="R52" s="9">
        <v>431400000</v>
      </c>
      <c r="S52" s="10">
        <v>1</v>
      </c>
      <c r="T52" s="10">
        <v>18</v>
      </c>
      <c r="U52" s="4"/>
      <c r="V52" s="4" t="s">
        <v>584</v>
      </c>
      <c r="W52" s="10">
        <v>1</v>
      </c>
      <c r="X52" s="10">
        <v>19</v>
      </c>
      <c r="Y52" s="43">
        <v>0</v>
      </c>
      <c r="Z52" s="43">
        <v>9021667</v>
      </c>
      <c r="AA52" s="43">
        <v>0</v>
      </c>
      <c r="AB52" s="43">
        <v>0</v>
      </c>
      <c r="AC52" s="43">
        <v>0</v>
      </c>
      <c r="AD52" s="30">
        <v>0</v>
      </c>
      <c r="AE52" s="30">
        <v>0</v>
      </c>
      <c r="AF52" s="43">
        <v>464362000</v>
      </c>
      <c r="AG52" s="43">
        <v>554920000</v>
      </c>
      <c r="AH52" s="43">
        <v>298289006.31999999</v>
      </c>
      <c r="AI52" s="43">
        <v>207868893.34999999</v>
      </c>
      <c r="AJ52" s="43">
        <v>206252369.92000002</v>
      </c>
      <c r="AK52" s="43">
        <v>0</v>
      </c>
      <c r="AL52" s="43">
        <v>206252369.92000002</v>
      </c>
      <c r="AM52" s="43">
        <v>463230000</v>
      </c>
      <c r="AN52" s="43">
        <v>345421000</v>
      </c>
      <c r="AO52" s="43">
        <v>259184149.35999995</v>
      </c>
      <c r="AP52" s="43">
        <v>180743614.10000002</v>
      </c>
      <c r="AQ52" s="43">
        <v>180743614.10000002</v>
      </c>
      <c r="AR52" s="43">
        <v>66415609.079999998</v>
      </c>
      <c r="AS52" s="43">
        <v>247159223.18000007</v>
      </c>
      <c r="AT52" s="43">
        <v>430740000</v>
      </c>
      <c r="AU52" s="43">
        <v>430740000</v>
      </c>
      <c r="AV52" s="43">
        <v>266928597.81</v>
      </c>
      <c r="AW52" s="43">
        <v>174529977.16</v>
      </c>
      <c r="AX52" s="43">
        <v>174166671.95999998</v>
      </c>
      <c r="AY52" s="43">
        <v>80942401.39000003</v>
      </c>
      <c r="AZ52" s="43">
        <v>255109073.35000002</v>
      </c>
      <c r="BA52" s="21">
        <f t="shared" si="11"/>
        <v>1358332000</v>
      </c>
      <c r="BB52" s="21">
        <f t="shared" si="12"/>
        <v>1340102667</v>
      </c>
      <c r="BC52" s="21">
        <f t="shared" si="13"/>
        <v>824401753.49000001</v>
      </c>
      <c r="BD52" s="21">
        <f t="shared" si="14"/>
        <v>563142484.61000001</v>
      </c>
      <c r="BE52" s="21">
        <f t="shared" si="15"/>
        <v>561162655.98000002</v>
      </c>
      <c r="BF52" s="21">
        <f t="shared" si="16"/>
        <v>147358010.47000003</v>
      </c>
      <c r="BG52" s="21">
        <f t="shared" si="17"/>
        <v>708520666.45000005</v>
      </c>
      <c r="BH52" s="49">
        <f t="shared" si="18"/>
        <v>85.943614681866919</v>
      </c>
      <c r="BI52" s="49">
        <f t="shared" si="19"/>
        <v>52.870625803328842</v>
      </c>
    </row>
    <row r="53" spans="1:61" ht="49.95" customHeight="1" x14ac:dyDescent="0.3">
      <c r="A53" s="19" t="s">
        <v>319</v>
      </c>
      <c r="B53" s="19">
        <v>715</v>
      </c>
      <c r="C53" s="2" t="s">
        <v>103</v>
      </c>
      <c r="D53" s="1" t="s">
        <v>264</v>
      </c>
      <c r="E53" s="24">
        <v>13200000</v>
      </c>
      <c r="F53" s="1" t="s">
        <v>104</v>
      </c>
      <c r="G53" s="24">
        <v>14379100</v>
      </c>
      <c r="H53" s="68">
        <f t="shared" ref="H53:H64" si="20">G53*100/E53</f>
        <v>108.93257575757576</v>
      </c>
      <c r="I53" s="68">
        <v>100</v>
      </c>
      <c r="J53" s="32">
        <v>5</v>
      </c>
      <c r="K53" s="56"/>
      <c r="L53" s="7" t="s">
        <v>631</v>
      </c>
      <c r="M53" s="7" t="s">
        <v>644</v>
      </c>
      <c r="N53" s="7" t="s">
        <v>636</v>
      </c>
      <c r="O53" s="66"/>
      <c r="P53" s="14"/>
      <c r="Q53" s="6"/>
      <c r="R53" s="9"/>
      <c r="S53" s="10"/>
      <c r="T53" s="10"/>
      <c r="U53" s="4" t="s">
        <v>598</v>
      </c>
      <c r="V53" s="4" t="s">
        <v>598</v>
      </c>
      <c r="W53" s="10">
        <v>1</v>
      </c>
      <c r="X53" s="10">
        <v>2</v>
      </c>
      <c r="Y53" s="43">
        <v>0</v>
      </c>
      <c r="Z53" s="43">
        <v>11166667</v>
      </c>
      <c r="AA53" s="43">
        <v>0</v>
      </c>
      <c r="AB53" s="43">
        <v>0</v>
      </c>
      <c r="AC53" s="43">
        <v>0</v>
      </c>
      <c r="AD53" s="30">
        <v>0</v>
      </c>
      <c r="AE53" s="30">
        <v>0</v>
      </c>
      <c r="AF53" s="43">
        <v>76739000</v>
      </c>
      <c r="AG53" s="43">
        <v>76739000</v>
      </c>
      <c r="AH53" s="43">
        <v>40056857.32</v>
      </c>
      <c r="AI53" s="43">
        <v>20335394.260000002</v>
      </c>
      <c r="AJ53" s="43">
        <v>20188462.380000003</v>
      </c>
      <c r="AK53" s="43">
        <v>0</v>
      </c>
      <c r="AL53" s="43">
        <v>20188462.380000003</v>
      </c>
      <c r="AM53" s="43">
        <v>88910000</v>
      </c>
      <c r="AN53" s="43">
        <v>73396300</v>
      </c>
      <c r="AO53" s="43">
        <v>37423732.740000002</v>
      </c>
      <c r="AP53" s="43">
        <v>17136118.259999998</v>
      </c>
      <c r="AQ53" s="43">
        <v>16850089.689999998</v>
      </c>
      <c r="AR53" s="43">
        <v>18383802.849999998</v>
      </c>
      <c r="AS53" s="43">
        <v>35233892.539999992</v>
      </c>
      <c r="AT53" s="43">
        <v>103977580</v>
      </c>
      <c r="AU53" s="43">
        <v>103977580</v>
      </c>
      <c r="AV53" s="43">
        <v>12208978.390000001</v>
      </c>
      <c r="AW53" s="43">
        <v>6763439.04</v>
      </c>
      <c r="AX53" s="43">
        <v>6763439.04</v>
      </c>
      <c r="AY53" s="43">
        <v>18721360.350000001</v>
      </c>
      <c r="AZ53" s="43">
        <v>25484799.390000001</v>
      </c>
      <c r="BA53" s="21">
        <f t="shared" si="11"/>
        <v>269626580</v>
      </c>
      <c r="BB53" s="21">
        <f t="shared" si="12"/>
        <v>265279547</v>
      </c>
      <c r="BC53" s="21">
        <f t="shared" si="13"/>
        <v>89689568.450000003</v>
      </c>
      <c r="BD53" s="21">
        <f t="shared" si="14"/>
        <v>44234951.559999995</v>
      </c>
      <c r="BE53" s="21">
        <f t="shared" si="15"/>
        <v>43801991.109999999</v>
      </c>
      <c r="BF53" s="21">
        <f t="shared" si="16"/>
        <v>37105163.200000003</v>
      </c>
      <c r="BG53" s="21">
        <f t="shared" si="17"/>
        <v>80907154.310000002</v>
      </c>
      <c r="BH53" s="49">
        <f t="shared" si="18"/>
        <v>90.207987069426011</v>
      </c>
      <c r="BI53" s="49">
        <f t="shared" si="19"/>
        <v>30.498828584775893</v>
      </c>
    </row>
    <row r="54" spans="1:61" ht="49.95" customHeight="1" x14ac:dyDescent="0.3">
      <c r="A54" s="19" t="s">
        <v>320</v>
      </c>
      <c r="B54" s="19">
        <v>715</v>
      </c>
      <c r="C54" s="2" t="s">
        <v>96</v>
      </c>
      <c r="D54" s="6" t="s">
        <v>260</v>
      </c>
      <c r="E54" s="24">
        <v>684</v>
      </c>
      <c r="F54" s="1" t="s">
        <v>97</v>
      </c>
      <c r="G54" s="24">
        <v>743</v>
      </c>
      <c r="H54" s="68">
        <f t="shared" si="20"/>
        <v>108.62573099415205</v>
      </c>
      <c r="I54" s="68">
        <v>100</v>
      </c>
      <c r="J54" s="32">
        <v>5</v>
      </c>
      <c r="K54" s="59" t="s">
        <v>234</v>
      </c>
      <c r="L54" s="7" t="s">
        <v>634</v>
      </c>
      <c r="M54" s="7" t="s">
        <v>638</v>
      </c>
      <c r="N54" s="7" t="s">
        <v>632</v>
      </c>
      <c r="O54" s="65" t="s">
        <v>438</v>
      </c>
      <c r="P54" s="14">
        <v>226</v>
      </c>
      <c r="Q54" s="6" t="s">
        <v>416</v>
      </c>
      <c r="R54" s="9">
        <v>196000000</v>
      </c>
      <c r="S54" s="10">
        <v>1</v>
      </c>
      <c r="T54" s="10">
        <v>8</v>
      </c>
      <c r="U54" s="4"/>
      <c r="V54" s="4" t="s">
        <v>589</v>
      </c>
      <c r="W54" s="10">
        <v>1</v>
      </c>
      <c r="X54" s="10">
        <v>8</v>
      </c>
      <c r="Y54" s="43">
        <v>196000000</v>
      </c>
      <c r="Z54" s="43">
        <v>222866664</v>
      </c>
      <c r="AA54" s="43">
        <v>88747112.280000001</v>
      </c>
      <c r="AB54" s="43">
        <v>9411417.6999999993</v>
      </c>
      <c r="AC54" s="43">
        <v>9411417.6999999993</v>
      </c>
      <c r="AD54" s="43">
        <v>0</v>
      </c>
      <c r="AE54" s="43">
        <v>9411417.6999999993</v>
      </c>
      <c r="AF54" s="43">
        <v>216400000</v>
      </c>
      <c r="AG54" s="43">
        <v>234600000</v>
      </c>
      <c r="AH54" s="43">
        <v>79207398.239999995</v>
      </c>
      <c r="AI54" s="43">
        <v>17662899.919999998</v>
      </c>
      <c r="AJ54" s="43">
        <v>15701290.410000002</v>
      </c>
      <c r="AK54" s="43">
        <v>14058075.390000001</v>
      </c>
      <c r="AL54" s="43">
        <v>29759365.800000001</v>
      </c>
      <c r="AM54" s="43">
        <v>195556400</v>
      </c>
      <c r="AN54" s="43">
        <v>160056400</v>
      </c>
      <c r="AO54" s="43">
        <v>117375801.29000001</v>
      </c>
      <c r="AP54" s="43">
        <v>44610949.189999998</v>
      </c>
      <c r="AQ54" s="43">
        <v>44610949.189999998</v>
      </c>
      <c r="AR54" s="43">
        <v>37846042.390000001</v>
      </c>
      <c r="AS54" s="43">
        <v>82456991.579999998</v>
      </c>
      <c r="AT54" s="43">
        <v>172400000</v>
      </c>
      <c r="AU54" s="43">
        <v>172400000</v>
      </c>
      <c r="AV54" s="43">
        <v>31782501.879999999</v>
      </c>
      <c r="AW54" s="43">
        <v>21730545.979999997</v>
      </c>
      <c r="AX54" s="43">
        <v>21311309.079999998</v>
      </c>
      <c r="AY54" s="43">
        <v>46748368.219999999</v>
      </c>
      <c r="AZ54" s="43">
        <v>68059677.299999997</v>
      </c>
      <c r="BA54" s="21">
        <f t="shared" si="11"/>
        <v>780356400</v>
      </c>
      <c r="BB54" s="21">
        <f t="shared" si="12"/>
        <v>789923064</v>
      </c>
      <c r="BC54" s="21">
        <f t="shared" si="13"/>
        <v>317112813.69</v>
      </c>
      <c r="BD54" s="21">
        <f t="shared" si="14"/>
        <v>93415812.789999992</v>
      </c>
      <c r="BE54" s="21">
        <f t="shared" si="15"/>
        <v>91034966.379999995</v>
      </c>
      <c r="BF54" s="21">
        <f t="shared" si="16"/>
        <v>98652486</v>
      </c>
      <c r="BG54" s="21">
        <f t="shared" si="17"/>
        <v>189687452.38</v>
      </c>
      <c r="BH54" s="49">
        <f t="shared" si="18"/>
        <v>59.817025421568985</v>
      </c>
      <c r="BI54" s="49">
        <f t="shared" si="19"/>
        <v>24.013408523541983</v>
      </c>
    </row>
    <row r="55" spans="1:61" ht="49.95" customHeight="1" x14ac:dyDescent="0.3">
      <c r="A55" s="19" t="s">
        <v>321</v>
      </c>
      <c r="B55" s="19">
        <v>715</v>
      </c>
      <c r="C55" s="2" t="s">
        <v>101</v>
      </c>
      <c r="D55" s="6" t="s">
        <v>260</v>
      </c>
      <c r="E55" s="24">
        <v>3141</v>
      </c>
      <c r="F55" s="1" t="s">
        <v>102</v>
      </c>
      <c r="G55" s="24">
        <v>3387</v>
      </c>
      <c r="H55" s="68">
        <f t="shared" si="20"/>
        <v>107.83190066857689</v>
      </c>
      <c r="I55" s="68">
        <v>100</v>
      </c>
      <c r="J55" s="32">
        <v>5</v>
      </c>
      <c r="K55" s="59" t="s">
        <v>234</v>
      </c>
      <c r="L55" s="7" t="s">
        <v>634</v>
      </c>
      <c r="M55" s="7" t="s">
        <v>638</v>
      </c>
      <c r="N55" s="7" t="s">
        <v>632</v>
      </c>
      <c r="O55" s="65" t="s">
        <v>439</v>
      </c>
      <c r="P55" s="8" t="s">
        <v>573</v>
      </c>
      <c r="Q55" s="6" t="s">
        <v>440</v>
      </c>
      <c r="R55" s="9">
        <v>40802652512</v>
      </c>
      <c r="S55" s="10">
        <v>1</v>
      </c>
      <c r="T55" s="10">
        <v>6</v>
      </c>
      <c r="U55" s="4"/>
      <c r="V55" s="4">
        <v>8585</v>
      </c>
      <c r="W55" s="10">
        <v>1</v>
      </c>
      <c r="X55" s="10">
        <v>6</v>
      </c>
      <c r="Y55" s="43">
        <v>33865455227</v>
      </c>
      <c r="Z55" s="43">
        <v>34113964898</v>
      </c>
      <c r="AA55" s="43">
        <v>34095456762.360001</v>
      </c>
      <c r="AB55" s="43">
        <v>33291071177.960007</v>
      </c>
      <c r="AC55" s="43">
        <v>33230236496.190006</v>
      </c>
      <c r="AD55" s="43">
        <v>0</v>
      </c>
      <c r="AE55" s="43">
        <v>33230236496.190006</v>
      </c>
      <c r="AF55" s="43">
        <v>35608777455</v>
      </c>
      <c r="AG55" s="43">
        <v>34763826454</v>
      </c>
      <c r="AH55" s="43">
        <v>34737046259.069992</v>
      </c>
      <c r="AI55" s="43">
        <v>34216763113.840008</v>
      </c>
      <c r="AJ55" s="43">
        <v>34166290211.639996</v>
      </c>
      <c r="AK55" s="43">
        <v>549147346.24000001</v>
      </c>
      <c r="AL55" s="43">
        <v>34715437557.880005</v>
      </c>
      <c r="AM55" s="43">
        <v>36303600000</v>
      </c>
      <c r="AN55" s="43">
        <v>39172540850</v>
      </c>
      <c r="AO55" s="43">
        <v>39157371246.759987</v>
      </c>
      <c r="AP55" s="43">
        <v>38849537156.819977</v>
      </c>
      <c r="AQ55" s="43">
        <v>38749594634.479988</v>
      </c>
      <c r="AR55" s="43">
        <v>452022604.14999992</v>
      </c>
      <c r="AS55" s="43">
        <v>39201617238.629982</v>
      </c>
      <c r="AT55" s="43">
        <v>43817796512</v>
      </c>
      <c r="AU55" s="43">
        <v>43142321717</v>
      </c>
      <c r="AV55" s="43">
        <v>43132910999.139992</v>
      </c>
      <c r="AW55" s="43">
        <v>42765336857.470009</v>
      </c>
      <c r="AX55" s="43">
        <v>42602282063.72998</v>
      </c>
      <c r="AY55" s="43">
        <v>267730805.20000005</v>
      </c>
      <c r="AZ55" s="43">
        <v>42870012868.929993</v>
      </c>
      <c r="BA55" s="21">
        <f t="shared" si="11"/>
        <v>149595629194</v>
      </c>
      <c r="BB55" s="21">
        <f t="shared" si="12"/>
        <v>151192653919</v>
      </c>
      <c r="BC55" s="21">
        <f t="shared" si="13"/>
        <v>151122785267.32996</v>
      </c>
      <c r="BD55" s="21">
        <f t="shared" si="14"/>
        <v>149122708306.09</v>
      </c>
      <c r="BE55" s="21">
        <f t="shared" si="15"/>
        <v>148748403406.03998</v>
      </c>
      <c r="BF55" s="21">
        <f t="shared" si="16"/>
        <v>1268900755.5899999</v>
      </c>
      <c r="BG55" s="21">
        <f t="shared" si="17"/>
        <v>150017304161.62997</v>
      </c>
      <c r="BH55" s="49">
        <f t="shared" si="18"/>
        <v>99.268488134503059</v>
      </c>
      <c r="BI55" s="49">
        <f t="shared" si="19"/>
        <v>99.222614507448426</v>
      </c>
    </row>
    <row r="56" spans="1:61" ht="49.95" customHeight="1" x14ac:dyDescent="0.3">
      <c r="A56" s="19" t="s">
        <v>322</v>
      </c>
      <c r="B56" s="19">
        <v>715</v>
      </c>
      <c r="C56" s="2" t="s">
        <v>91</v>
      </c>
      <c r="D56" s="6" t="s">
        <v>260</v>
      </c>
      <c r="E56" s="24">
        <v>85</v>
      </c>
      <c r="F56" s="1" t="s">
        <v>33</v>
      </c>
      <c r="G56" s="24">
        <v>91.2</v>
      </c>
      <c r="H56" s="68">
        <f t="shared" si="20"/>
        <v>107.29411764705883</v>
      </c>
      <c r="I56" s="68">
        <v>100</v>
      </c>
      <c r="J56" s="32">
        <v>5</v>
      </c>
      <c r="K56" s="56"/>
      <c r="L56" s="7" t="s">
        <v>631</v>
      </c>
      <c r="M56" s="7" t="s">
        <v>644</v>
      </c>
      <c r="N56" s="7" t="s">
        <v>632</v>
      </c>
      <c r="O56" s="65" t="s">
        <v>441</v>
      </c>
      <c r="P56" s="14">
        <v>85</v>
      </c>
      <c r="Q56" s="6" t="s">
        <v>437</v>
      </c>
      <c r="R56" s="9">
        <v>431400000</v>
      </c>
      <c r="S56" s="10">
        <v>1</v>
      </c>
      <c r="T56" s="10">
        <v>18</v>
      </c>
      <c r="U56" s="4"/>
      <c r="V56" s="4" t="s">
        <v>584</v>
      </c>
      <c r="W56" s="10">
        <v>1</v>
      </c>
      <c r="X56" s="10">
        <v>19</v>
      </c>
      <c r="Y56" s="43">
        <v>0</v>
      </c>
      <c r="Z56" s="43">
        <v>9021667</v>
      </c>
      <c r="AA56" s="43">
        <v>0</v>
      </c>
      <c r="AB56" s="43">
        <v>0</v>
      </c>
      <c r="AC56" s="43">
        <v>0</v>
      </c>
      <c r="AD56" s="30">
        <v>0</v>
      </c>
      <c r="AE56" s="30">
        <v>0</v>
      </c>
      <c r="AF56" s="43">
        <v>464362000</v>
      </c>
      <c r="AG56" s="43">
        <v>554920000</v>
      </c>
      <c r="AH56" s="43">
        <v>298289006.31999999</v>
      </c>
      <c r="AI56" s="43">
        <v>207868893.34999999</v>
      </c>
      <c r="AJ56" s="43">
        <v>206252369.92000002</v>
      </c>
      <c r="AK56" s="43">
        <v>0</v>
      </c>
      <c r="AL56" s="43">
        <v>206252369.92000002</v>
      </c>
      <c r="AM56" s="43">
        <v>463230000</v>
      </c>
      <c r="AN56" s="43">
        <v>345421000</v>
      </c>
      <c r="AO56" s="43">
        <v>259184149.35999995</v>
      </c>
      <c r="AP56" s="43">
        <v>180743614.10000002</v>
      </c>
      <c r="AQ56" s="43">
        <v>180743614.10000002</v>
      </c>
      <c r="AR56" s="43">
        <v>66415609.079999998</v>
      </c>
      <c r="AS56" s="43">
        <v>247159223.18000007</v>
      </c>
      <c r="AT56" s="43">
        <v>430740000</v>
      </c>
      <c r="AU56" s="43">
        <v>430740000</v>
      </c>
      <c r="AV56" s="43">
        <v>266928597.81</v>
      </c>
      <c r="AW56" s="43">
        <v>174529977.16</v>
      </c>
      <c r="AX56" s="43">
        <v>174166671.95999998</v>
      </c>
      <c r="AY56" s="43">
        <v>80942401.39000003</v>
      </c>
      <c r="AZ56" s="43">
        <v>255109073.35000002</v>
      </c>
      <c r="BA56" s="21">
        <f t="shared" si="11"/>
        <v>1358332000</v>
      </c>
      <c r="BB56" s="21">
        <f t="shared" si="12"/>
        <v>1340102667</v>
      </c>
      <c r="BC56" s="21">
        <f t="shared" si="13"/>
        <v>824401753.49000001</v>
      </c>
      <c r="BD56" s="21">
        <f t="shared" si="14"/>
        <v>563142484.61000001</v>
      </c>
      <c r="BE56" s="21">
        <f t="shared" si="15"/>
        <v>561162655.98000002</v>
      </c>
      <c r="BF56" s="21">
        <f t="shared" si="16"/>
        <v>147358010.47000003</v>
      </c>
      <c r="BG56" s="21">
        <f t="shared" si="17"/>
        <v>708520666.45000005</v>
      </c>
      <c r="BH56" s="49">
        <f t="shared" si="18"/>
        <v>85.943614681866919</v>
      </c>
      <c r="BI56" s="49">
        <f t="shared" si="19"/>
        <v>52.870625803328842</v>
      </c>
    </row>
    <row r="57" spans="1:61" ht="49.95" customHeight="1" x14ac:dyDescent="0.3">
      <c r="A57" s="19" t="s">
        <v>323</v>
      </c>
      <c r="B57" s="19">
        <v>715</v>
      </c>
      <c r="C57" s="2" t="s">
        <v>90</v>
      </c>
      <c r="D57" s="6" t="s">
        <v>260</v>
      </c>
      <c r="E57" s="24">
        <v>85</v>
      </c>
      <c r="F57" s="1" t="s">
        <v>33</v>
      </c>
      <c r="G57" s="24">
        <v>83.7</v>
      </c>
      <c r="H57" s="68">
        <f t="shared" si="20"/>
        <v>98.470588235294116</v>
      </c>
      <c r="I57" s="68">
        <v>98.470588235294116</v>
      </c>
      <c r="J57" s="32">
        <v>4</v>
      </c>
      <c r="K57" s="56"/>
      <c r="L57" s="7" t="s">
        <v>631</v>
      </c>
      <c r="M57" s="7" t="s">
        <v>644</v>
      </c>
      <c r="N57" s="7" t="s">
        <v>632</v>
      </c>
      <c r="O57" s="65" t="s">
        <v>442</v>
      </c>
      <c r="P57" s="14">
        <v>85</v>
      </c>
      <c r="Q57" s="6" t="s">
        <v>437</v>
      </c>
      <c r="R57" s="9">
        <v>431400000</v>
      </c>
      <c r="S57" s="10">
        <v>1</v>
      </c>
      <c r="T57" s="10">
        <v>18</v>
      </c>
      <c r="U57" s="4"/>
      <c r="V57" s="4" t="s">
        <v>584</v>
      </c>
      <c r="W57" s="10">
        <v>1</v>
      </c>
      <c r="X57" s="10">
        <v>19</v>
      </c>
      <c r="Y57" s="43">
        <v>0</v>
      </c>
      <c r="Z57" s="43">
        <v>9021667</v>
      </c>
      <c r="AA57" s="43">
        <v>0</v>
      </c>
      <c r="AB57" s="43">
        <v>0</v>
      </c>
      <c r="AC57" s="43">
        <v>0</v>
      </c>
      <c r="AD57" s="30">
        <v>0</v>
      </c>
      <c r="AE57" s="30">
        <v>0</v>
      </c>
      <c r="AF57" s="43">
        <v>464362000</v>
      </c>
      <c r="AG57" s="43">
        <v>554920000</v>
      </c>
      <c r="AH57" s="43">
        <v>298289006.31999999</v>
      </c>
      <c r="AI57" s="43">
        <v>207868893.34999999</v>
      </c>
      <c r="AJ57" s="43">
        <v>206252369.92000002</v>
      </c>
      <c r="AK57" s="43">
        <v>0</v>
      </c>
      <c r="AL57" s="43">
        <v>206252369.92000002</v>
      </c>
      <c r="AM57" s="43">
        <v>463230000</v>
      </c>
      <c r="AN57" s="43">
        <v>345421000</v>
      </c>
      <c r="AO57" s="43">
        <v>259184149.35999995</v>
      </c>
      <c r="AP57" s="43">
        <v>180743614.10000002</v>
      </c>
      <c r="AQ57" s="43">
        <v>180743614.10000002</v>
      </c>
      <c r="AR57" s="43">
        <v>66415609.079999998</v>
      </c>
      <c r="AS57" s="43">
        <v>247159223.18000007</v>
      </c>
      <c r="AT57" s="43">
        <v>430740000</v>
      </c>
      <c r="AU57" s="43">
        <v>430740000</v>
      </c>
      <c r="AV57" s="43">
        <v>266928597.81</v>
      </c>
      <c r="AW57" s="43">
        <v>174529977.16</v>
      </c>
      <c r="AX57" s="43">
        <v>174166671.95999998</v>
      </c>
      <c r="AY57" s="43">
        <v>80942401.39000003</v>
      </c>
      <c r="AZ57" s="43">
        <v>255109073.35000002</v>
      </c>
      <c r="BA57" s="21">
        <f t="shared" si="11"/>
        <v>1358332000</v>
      </c>
      <c r="BB57" s="21">
        <f t="shared" si="12"/>
        <v>1340102667</v>
      </c>
      <c r="BC57" s="21">
        <f t="shared" si="13"/>
        <v>824401753.49000001</v>
      </c>
      <c r="BD57" s="21">
        <f t="shared" si="14"/>
        <v>563142484.61000001</v>
      </c>
      <c r="BE57" s="21">
        <f t="shared" si="15"/>
        <v>561162655.98000002</v>
      </c>
      <c r="BF57" s="21">
        <f t="shared" si="16"/>
        <v>147358010.47000003</v>
      </c>
      <c r="BG57" s="21">
        <f t="shared" si="17"/>
        <v>708520666.45000005</v>
      </c>
      <c r="BH57" s="49">
        <f t="shared" si="18"/>
        <v>85.943614681866919</v>
      </c>
      <c r="BI57" s="49">
        <f t="shared" si="19"/>
        <v>52.870625803328842</v>
      </c>
    </row>
    <row r="58" spans="1:61" ht="49.95" customHeight="1" x14ac:dyDescent="0.3">
      <c r="A58" s="19" t="s">
        <v>324</v>
      </c>
      <c r="B58" s="19">
        <v>715</v>
      </c>
      <c r="C58" s="2" t="s">
        <v>85</v>
      </c>
      <c r="D58" s="6" t="s">
        <v>260</v>
      </c>
      <c r="E58" s="24">
        <v>3034</v>
      </c>
      <c r="F58" s="1" t="s">
        <v>60</v>
      </c>
      <c r="G58" s="24">
        <v>2867</v>
      </c>
      <c r="H58" s="68">
        <f t="shared" si="20"/>
        <v>94.495715227422551</v>
      </c>
      <c r="I58" s="68">
        <v>94.495715227422551</v>
      </c>
      <c r="J58" s="32">
        <v>4</v>
      </c>
      <c r="K58" s="56"/>
      <c r="L58" s="7" t="s">
        <v>631</v>
      </c>
      <c r="M58" s="7" t="s">
        <v>644</v>
      </c>
      <c r="N58" s="7" t="s">
        <v>632</v>
      </c>
      <c r="O58" s="65" t="s">
        <v>443</v>
      </c>
      <c r="P58" s="16">
        <v>3034</v>
      </c>
      <c r="Q58" s="6" t="s">
        <v>436</v>
      </c>
      <c r="R58" s="9">
        <v>32000000</v>
      </c>
      <c r="S58" s="10">
        <v>1</v>
      </c>
      <c r="T58" s="10">
        <v>3</v>
      </c>
      <c r="U58" s="4"/>
      <c r="V58" s="4">
        <v>8735</v>
      </c>
      <c r="W58" s="10">
        <v>1</v>
      </c>
      <c r="X58" s="10">
        <v>3</v>
      </c>
      <c r="Y58" s="43">
        <v>10000000</v>
      </c>
      <c r="Z58" s="43">
        <v>10000000</v>
      </c>
      <c r="AA58" s="43">
        <v>9245678.0399999991</v>
      </c>
      <c r="AB58" s="43">
        <v>5522750.7799999993</v>
      </c>
      <c r="AC58" s="43">
        <v>5495950.7799999993</v>
      </c>
      <c r="AD58" s="43">
        <v>0</v>
      </c>
      <c r="AE58" s="43">
        <v>5495950.7799999993</v>
      </c>
      <c r="AF58" s="43">
        <v>11211000</v>
      </c>
      <c r="AG58" s="43">
        <v>11211000</v>
      </c>
      <c r="AH58" s="43">
        <v>11135846.189999999</v>
      </c>
      <c r="AI58" s="43">
        <v>1650805.11</v>
      </c>
      <c r="AJ58" s="43">
        <v>1650805.11</v>
      </c>
      <c r="AK58" s="43">
        <v>2935574.55</v>
      </c>
      <c r="AL58" s="43">
        <v>4586379.66</v>
      </c>
      <c r="AM58" s="43">
        <v>17500000</v>
      </c>
      <c r="AN58" s="43">
        <v>12250000</v>
      </c>
      <c r="AO58" s="43">
        <v>10449871.35</v>
      </c>
      <c r="AP58" s="43">
        <v>2618653.0699999998</v>
      </c>
      <c r="AQ58" s="43">
        <v>2616108.79</v>
      </c>
      <c r="AR58" s="43">
        <v>4524239.41</v>
      </c>
      <c r="AS58" s="43">
        <v>7140348.2000000002</v>
      </c>
      <c r="AT58" s="43">
        <v>32000000</v>
      </c>
      <c r="AU58" s="43">
        <v>32000000</v>
      </c>
      <c r="AV58" s="43">
        <v>3761174.25</v>
      </c>
      <c r="AW58" s="43">
        <v>1474575.98</v>
      </c>
      <c r="AX58" s="43">
        <v>1435091.48</v>
      </c>
      <c r="AY58" s="43">
        <v>5355847.01</v>
      </c>
      <c r="AZ58" s="43">
        <v>6790938.4900000002</v>
      </c>
      <c r="BA58" s="21">
        <f t="shared" si="11"/>
        <v>70711000</v>
      </c>
      <c r="BB58" s="21">
        <f t="shared" si="12"/>
        <v>65461000</v>
      </c>
      <c r="BC58" s="21">
        <f t="shared" si="13"/>
        <v>34592569.829999998</v>
      </c>
      <c r="BD58" s="21">
        <f t="shared" si="14"/>
        <v>11266784.939999999</v>
      </c>
      <c r="BE58" s="21">
        <f t="shared" si="15"/>
        <v>11197956.16</v>
      </c>
      <c r="BF58" s="21">
        <f t="shared" si="16"/>
        <v>12815660.969999999</v>
      </c>
      <c r="BG58" s="21">
        <f t="shared" si="17"/>
        <v>24013617.130000003</v>
      </c>
      <c r="BH58" s="49">
        <f t="shared" si="18"/>
        <v>69.418424962387377</v>
      </c>
      <c r="BI58" s="49">
        <f t="shared" si="19"/>
        <v>36.683853179755893</v>
      </c>
    </row>
    <row r="59" spans="1:61" ht="49.95" customHeight="1" x14ac:dyDescent="0.3">
      <c r="A59" s="19" t="s">
        <v>325</v>
      </c>
      <c r="B59" s="19">
        <v>715</v>
      </c>
      <c r="C59" s="2" t="s">
        <v>122</v>
      </c>
      <c r="D59" s="6" t="s">
        <v>260</v>
      </c>
      <c r="E59" s="24">
        <v>36000000</v>
      </c>
      <c r="F59" s="1" t="s">
        <v>123</v>
      </c>
      <c r="G59" s="24">
        <v>30174521</v>
      </c>
      <c r="H59" s="68">
        <f t="shared" si="20"/>
        <v>83.818113888888888</v>
      </c>
      <c r="I59" s="68">
        <v>83.818113888888888</v>
      </c>
      <c r="J59" s="32">
        <v>4</v>
      </c>
      <c r="K59" s="56"/>
      <c r="L59" s="7" t="s">
        <v>635</v>
      </c>
      <c r="M59" s="7" t="s">
        <v>639</v>
      </c>
      <c r="N59" s="7" t="s">
        <v>632</v>
      </c>
      <c r="O59" s="65" t="s">
        <v>444</v>
      </c>
      <c r="P59" s="16">
        <v>10953072</v>
      </c>
      <c r="Q59" s="11" t="s">
        <v>574</v>
      </c>
      <c r="R59" s="9">
        <v>40802652512</v>
      </c>
      <c r="S59" s="10">
        <v>1</v>
      </c>
      <c r="T59" s="10">
        <v>6</v>
      </c>
      <c r="U59" s="4"/>
      <c r="V59" s="4">
        <v>8585</v>
      </c>
      <c r="W59" s="10">
        <v>1</v>
      </c>
      <c r="X59" s="10">
        <v>6</v>
      </c>
      <c r="Y59" s="43">
        <v>33865455227</v>
      </c>
      <c r="Z59" s="43">
        <v>34113964898</v>
      </c>
      <c r="AA59" s="43">
        <v>34095456762.360001</v>
      </c>
      <c r="AB59" s="43">
        <v>33291071177.960007</v>
      </c>
      <c r="AC59" s="43">
        <v>33230236496.190006</v>
      </c>
      <c r="AD59" s="43">
        <v>0</v>
      </c>
      <c r="AE59" s="43">
        <v>33230236496.190006</v>
      </c>
      <c r="AF59" s="43">
        <v>35608777455</v>
      </c>
      <c r="AG59" s="43">
        <v>34763826454</v>
      </c>
      <c r="AH59" s="43">
        <v>34737046259.069992</v>
      </c>
      <c r="AI59" s="43">
        <v>34216763113.840008</v>
      </c>
      <c r="AJ59" s="43">
        <v>34166290211.639996</v>
      </c>
      <c r="AK59" s="43">
        <v>549147346.24000001</v>
      </c>
      <c r="AL59" s="43">
        <v>34715437557.880005</v>
      </c>
      <c r="AM59" s="43">
        <v>36303600000</v>
      </c>
      <c r="AN59" s="43">
        <v>39172540850</v>
      </c>
      <c r="AO59" s="43">
        <v>39157371246.759987</v>
      </c>
      <c r="AP59" s="43">
        <v>38849537156.819977</v>
      </c>
      <c r="AQ59" s="43">
        <v>38749594634.479988</v>
      </c>
      <c r="AR59" s="43">
        <v>452022604.14999992</v>
      </c>
      <c r="AS59" s="43">
        <v>39201617238.629982</v>
      </c>
      <c r="AT59" s="43">
        <v>43817796512</v>
      </c>
      <c r="AU59" s="43">
        <v>43142321717</v>
      </c>
      <c r="AV59" s="43">
        <v>43132910999.139992</v>
      </c>
      <c r="AW59" s="43">
        <v>42765336857.470009</v>
      </c>
      <c r="AX59" s="43">
        <v>42602282063.72998</v>
      </c>
      <c r="AY59" s="43">
        <v>267730805.20000005</v>
      </c>
      <c r="AZ59" s="43">
        <v>42870012868.929993</v>
      </c>
      <c r="BA59" s="21">
        <f t="shared" si="11"/>
        <v>149595629194</v>
      </c>
      <c r="BB59" s="21">
        <f t="shared" si="12"/>
        <v>151192653919</v>
      </c>
      <c r="BC59" s="21">
        <f t="shared" si="13"/>
        <v>151122785267.32996</v>
      </c>
      <c r="BD59" s="21">
        <f t="shared" si="14"/>
        <v>149122708306.09</v>
      </c>
      <c r="BE59" s="21">
        <f t="shared" si="15"/>
        <v>148748403406.03998</v>
      </c>
      <c r="BF59" s="21">
        <f t="shared" si="16"/>
        <v>1268900755.5899999</v>
      </c>
      <c r="BG59" s="21">
        <f t="shared" si="17"/>
        <v>150017304161.62997</v>
      </c>
      <c r="BH59" s="49">
        <f t="shared" si="18"/>
        <v>99.268488134503059</v>
      </c>
      <c r="BI59" s="49">
        <f t="shared" si="19"/>
        <v>99.222614507448426</v>
      </c>
    </row>
    <row r="60" spans="1:61" ht="49.95" customHeight="1" x14ac:dyDescent="0.3">
      <c r="A60" s="19" t="s">
        <v>326</v>
      </c>
      <c r="B60" s="19">
        <v>715</v>
      </c>
      <c r="C60" s="2" t="s">
        <v>107</v>
      </c>
      <c r="D60" s="6" t="s">
        <v>260</v>
      </c>
      <c r="E60" s="24">
        <v>276</v>
      </c>
      <c r="F60" s="1" t="s">
        <v>108</v>
      </c>
      <c r="G60" s="24">
        <v>219</v>
      </c>
      <c r="H60" s="68">
        <f t="shared" si="20"/>
        <v>79.347826086956516</v>
      </c>
      <c r="I60" s="68">
        <v>79.347826086956516</v>
      </c>
      <c r="J60" s="32">
        <v>4</v>
      </c>
      <c r="K60" s="59" t="s">
        <v>238</v>
      </c>
      <c r="L60" s="7" t="s">
        <v>634</v>
      </c>
      <c r="M60" s="7" t="s">
        <v>638</v>
      </c>
      <c r="N60" s="7" t="s">
        <v>632</v>
      </c>
      <c r="O60" s="65" t="s">
        <v>445</v>
      </c>
      <c r="P60" s="14">
        <v>60</v>
      </c>
      <c r="Q60" s="6" t="s">
        <v>416</v>
      </c>
      <c r="R60" s="9">
        <v>196000000</v>
      </c>
      <c r="S60" s="10">
        <v>1</v>
      </c>
      <c r="T60" s="10">
        <v>8</v>
      </c>
      <c r="U60" s="4"/>
      <c r="V60" s="4" t="s">
        <v>589</v>
      </c>
      <c r="W60" s="10">
        <v>1</v>
      </c>
      <c r="X60" s="10">
        <v>8</v>
      </c>
      <c r="Y60" s="43">
        <v>196000000</v>
      </c>
      <c r="Z60" s="43">
        <v>222866664</v>
      </c>
      <c r="AA60" s="43">
        <v>88747112.280000001</v>
      </c>
      <c r="AB60" s="43">
        <v>9411417.6999999993</v>
      </c>
      <c r="AC60" s="43">
        <v>9411417.6999999993</v>
      </c>
      <c r="AD60" s="43">
        <v>0</v>
      </c>
      <c r="AE60" s="43">
        <v>9411417.6999999993</v>
      </c>
      <c r="AF60" s="43">
        <v>216400000</v>
      </c>
      <c r="AG60" s="43">
        <v>234600000</v>
      </c>
      <c r="AH60" s="43">
        <v>79207398.239999995</v>
      </c>
      <c r="AI60" s="43">
        <v>17662899.919999998</v>
      </c>
      <c r="AJ60" s="43">
        <v>15701290.410000002</v>
      </c>
      <c r="AK60" s="43">
        <v>14058075.390000001</v>
      </c>
      <c r="AL60" s="43">
        <v>29759365.800000001</v>
      </c>
      <c r="AM60" s="43">
        <v>195556400</v>
      </c>
      <c r="AN60" s="43">
        <v>160056400</v>
      </c>
      <c r="AO60" s="43">
        <v>117375801.29000001</v>
      </c>
      <c r="AP60" s="43">
        <v>44610949.189999998</v>
      </c>
      <c r="AQ60" s="43">
        <v>44610949.189999998</v>
      </c>
      <c r="AR60" s="43">
        <v>37846042.390000001</v>
      </c>
      <c r="AS60" s="43">
        <v>82456991.579999998</v>
      </c>
      <c r="AT60" s="43">
        <v>172400000</v>
      </c>
      <c r="AU60" s="43">
        <v>172400000</v>
      </c>
      <c r="AV60" s="43">
        <v>31782501.879999999</v>
      </c>
      <c r="AW60" s="43">
        <v>21730545.979999997</v>
      </c>
      <c r="AX60" s="43">
        <v>21311309.079999998</v>
      </c>
      <c r="AY60" s="43">
        <v>46748368.219999999</v>
      </c>
      <c r="AZ60" s="43">
        <v>68059677.299999997</v>
      </c>
      <c r="BA60" s="21">
        <f t="shared" si="11"/>
        <v>780356400</v>
      </c>
      <c r="BB60" s="21">
        <f t="shared" si="12"/>
        <v>789923064</v>
      </c>
      <c r="BC60" s="21">
        <f t="shared" si="13"/>
        <v>317112813.69</v>
      </c>
      <c r="BD60" s="21">
        <f t="shared" si="14"/>
        <v>93415812.789999992</v>
      </c>
      <c r="BE60" s="21">
        <f t="shared" si="15"/>
        <v>91034966.379999995</v>
      </c>
      <c r="BF60" s="21">
        <f t="shared" si="16"/>
        <v>98652486</v>
      </c>
      <c r="BG60" s="21">
        <f t="shared" si="17"/>
        <v>189687452.38</v>
      </c>
      <c r="BH60" s="49">
        <f t="shared" si="18"/>
        <v>59.817025421568985</v>
      </c>
      <c r="BI60" s="49">
        <f t="shared" si="19"/>
        <v>24.013408523541983</v>
      </c>
    </row>
    <row r="61" spans="1:61" ht="49.95" customHeight="1" x14ac:dyDescent="0.3">
      <c r="A61" s="19" t="s">
        <v>327</v>
      </c>
      <c r="B61" s="19">
        <v>715</v>
      </c>
      <c r="C61" s="2" t="s">
        <v>120</v>
      </c>
      <c r="D61" s="6" t="s">
        <v>260</v>
      </c>
      <c r="E61" s="24">
        <v>12000000</v>
      </c>
      <c r="F61" s="1" t="s">
        <v>121</v>
      </c>
      <c r="G61" s="24">
        <v>9168809</v>
      </c>
      <c r="H61" s="68">
        <f t="shared" si="20"/>
        <v>76.406741666666662</v>
      </c>
      <c r="I61" s="68">
        <v>76.406741666666662</v>
      </c>
      <c r="J61" s="32">
        <v>4</v>
      </c>
      <c r="K61" s="56"/>
      <c r="L61" s="7" t="s">
        <v>635</v>
      </c>
      <c r="M61" s="7" t="s">
        <v>639</v>
      </c>
      <c r="N61" s="7" t="s">
        <v>632</v>
      </c>
      <c r="O61" s="65" t="s">
        <v>446</v>
      </c>
      <c r="P61" s="16">
        <v>5058997</v>
      </c>
      <c r="Q61" s="11" t="s">
        <v>575</v>
      </c>
      <c r="R61" s="9">
        <v>40802652512</v>
      </c>
      <c r="S61" s="10">
        <v>1</v>
      </c>
      <c r="T61" s="10">
        <v>6</v>
      </c>
      <c r="U61" s="4"/>
      <c r="V61" s="4">
        <v>8585</v>
      </c>
      <c r="W61" s="10">
        <v>1</v>
      </c>
      <c r="X61" s="10">
        <v>6</v>
      </c>
      <c r="Y61" s="43">
        <v>33865455227</v>
      </c>
      <c r="Z61" s="43">
        <v>34113964898</v>
      </c>
      <c r="AA61" s="43">
        <v>34095456762.360001</v>
      </c>
      <c r="AB61" s="43">
        <v>33291071177.960007</v>
      </c>
      <c r="AC61" s="43">
        <v>33230236496.190006</v>
      </c>
      <c r="AD61" s="43">
        <v>0</v>
      </c>
      <c r="AE61" s="43">
        <v>33230236496.190006</v>
      </c>
      <c r="AF61" s="43">
        <v>35608777455</v>
      </c>
      <c r="AG61" s="43">
        <v>34763826454</v>
      </c>
      <c r="AH61" s="43">
        <v>34737046259.069992</v>
      </c>
      <c r="AI61" s="43">
        <v>34216763113.840008</v>
      </c>
      <c r="AJ61" s="43">
        <v>34166290211.639996</v>
      </c>
      <c r="AK61" s="43">
        <v>549147346.24000001</v>
      </c>
      <c r="AL61" s="43">
        <v>34715437557.880005</v>
      </c>
      <c r="AM61" s="43">
        <v>36303600000</v>
      </c>
      <c r="AN61" s="43">
        <v>39172540850</v>
      </c>
      <c r="AO61" s="43">
        <v>39157371246.759987</v>
      </c>
      <c r="AP61" s="43">
        <v>38849537156.819977</v>
      </c>
      <c r="AQ61" s="43">
        <v>38749594634.479988</v>
      </c>
      <c r="AR61" s="43">
        <v>452022604.14999992</v>
      </c>
      <c r="AS61" s="43">
        <v>39201617238.629982</v>
      </c>
      <c r="AT61" s="43">
        <v>43817796512</v>
      </c>
      <c r="AU61" s="43">
        <v>43142321717</v>
      </c>
      <c r="AV61" s="43">
        <v>43132910999.139992</v>
      </c>
      <c r="AW61" s="43">
        <v>42765336857.470009</v>
      </c>
      <c r="AX61" s="43">
        <v>42602282063.72998</v>
      </c>
      <c r="AY61" s="43">
        <v>267730805.20000005</v>
      </c>
      <c r="AZ61" s="43">
        <v>42870012868.929993</v>
      </c>
      <c r="BA61" s="21">
        <f t="shared" si="11"/>
        <v>149595629194</v>
      </c>
      <c r="BB61" s="21">
        <f t="shared" si="12"/>
        <v>151192653919</v>
      </c>
      <c r="BC61" s="21">
        <f t="shared" si="13"/>
        <v>151122785267.32996</v>
      </c>
      <c r="BD61" s="21">
        <f t="shared" si="14"/>
        <v>149122708306.09</v>
      </c>
      <c r="BE61" s="21">
        <f t="shared" si="15"/>
        <v>148748403406.03998</v>
      </c>
      <c r="BF61" s="21">
        <f t="shared" si="16"/>
        <v>1268900755.5899999</v>
      </c>
      <c r="BG61" s="21">
        <f t="shared" si="17"/>
        <v>150017304161.62997</v>
      </c>
      <c r="BH61" s="49">
        <f t="shared" si="18"/>
        <v>99.268488134503059</v>
      </c>
      <c r="BI61" s="49">
        <f t="shared" si="19"/>
        <v>99.222614507448426</v>
      </c>
    </row>
    <row r="62" spans="1:61" ht="49.95" customHeight="1" x14ac:dyDescent="0.3">
      <c r="A62" s="19" t="s">
        <v>328</v>
      </c>
      <c r="B62" s="19">
        <v>715</v>
      </c>
      <c r="C62" s="2" t="s">
        <v>111</v>
      </c>
      <c r="D62" s="6" t="s">
        <v>260</v>
      </c>
      <c r="E62" s="24">
        <v>20</v>
      </c>
      <c r="F62" s="1" t="s">
        <v>112</v>
      </c>
      <c r="G62" s="24">
        <v>15</v>
      </c>
      <c r="H62" s="68">
        <f t="shared" si="20"/>
        <v>75</v>
      </c>
      <c r="I62" s="68">
        <v>75</v>
      </c>
      <c r="J62" s="32">
        <v>4</v>
      </c>
      <c r="K62" s="56"/>
      <c r="L62" s="7" t="s">
        <v>634</v>
      </c>
      <c r="M62" s="7" t="s">
        <v>638</v>
      </c>
      <c r="N62" s="7" t="s">
        <v>632</v>
      </c>
      <c r="O62" s="65" t="s">
        <v>447</v>
      </c>
      <c r="P62" s="14">
        <v>6</v>
      </c>
      <c r="Q62" s="6" t="s">
        <v>448</v>
      </c>
      <c r="R62" s="9">
        <v>40802652512</v>
      </c>
      <c r="S62" s="10">
        <v>1</v>
      </c>
      <c r="T62" s="10">
        <v>5</v>
      </c>
      <c r="U62" s="4"/>
      <c r="V62" s="4">
        <v>8535</v>
      </c>
      <c r="W62" s="10">
        <v>1</v>
      </c>
      <c r="X62" s="10">
        <v>6</v>
      </c>
      <c r="Y62" s="43">
        <v>2542726499</v>
      </c>
      <c r="Z62" s="43">
        <v>2768926108</v>
      </c>
      <c r="AA62" s="43">
        <v>831306777.73000002</v>
      </c>
      <c r="AB62" s="43">
        <v>152618740.18000001</v>
      </c>
      <c r="AC62" s="43">
        <v>152618740.18000001</v>
      </c>
      <c r="AD62" s="43">
        <v>0</v>
      </c>
      <c r="AE62" s="43">
        <v>152618740.18000001</v>
      </c>
      <c r="AF62" s="43">
        <v>3285314985</v>
      </c>
      <c r="AG62" s="43">
        <v>3488580983</v>
      </c>
      <c r="AH62" s="43">
        <v>783165908.83000016</v>
      </c>
      <c r="AI62" s="43">
        <v>105476724.09</v>
      </c>
      <c r="AJ62" s="43">
        <v>105476724.09</v>
      </c>
      <c r="AK62" s="43">
        <v>298033318.68000001</v>
      </c>
      <c r="AL62" s="43">
        <v>403510042.76999998</v>
      </c>
      <c r="AM62" s="43">
        <v>3585582157</v>
      </c>
      <c r="AN62" s="43">
        <v>3635668136</v>
      </c>
      <c r="AO62" s="43">
        <v>1343955020.6900003</v>
      </c>
      <c r="AP62" s="43">
        <v>75191321.399999991</v>
      </c>
      <c r="AQ62" s="43">
        <v>75191321.399999991</v>
      </c>
      <c r="AR62" s="43">
        <v>515848558.97999996</v>
      </c>
      <c r="AS62" s="43">
        <v>591039880.38</v>
      </c>
      <c r="AT62" s="43">
        <v>5258849061</v>
      </c>
      <c r="AU62" s="43">
        <v>5352295854</v>
      </c>
      <c r="AV62" s="43">
        <v>1130363498.9800003</v>
      </c>
      <c r="AW62" s="43">
        <v>98527013.539999992</v>
      </c>
      <c r="AX62" s="43">
        <v>96627898.299999997</v>
      </c>
      <c r="AY62" s="43">
        <v>729623418.47000039</v>
      </c>
      <c r="AZ62" s="43">
        <v>826251316.77000046</v>
      </c>
      <c r="BA62" s="21">
        <f t="shared" si="11"/>
        <v>14672472702</v>
      </c>
      <c r="BB62" s="21">
        <f t="shared" si="12"/>
        <v>15245471081</v>
      </c>
      <c r="BC62" s="21">
        <f t="shared" si="13"/>
        <v>4088791206.2300005</v>
      </c>
      <c r="BD62" s="21">
        <f t="shared" si="14"/>
        <v>431813799.21000004</v>
      </c>
      <c r="BE62" s="21">
        <f t="shared" si="15"/>
        <v>429914683.97000003</v>
      </c>
      <c r="BF62" s="21">
        <f t="shared" si="16"/>
        <v>1543505296.1300004</v>
      </c>
      <c r="BG62" s="21">
        <f t="shared" si="17"/>
        <v>1973419980.1000004</v>
      </c>
      <c r="BH62" s="49">
        <f t="shared" si="18"/>
        <v>48.26414166351033</v>
      </c>
      <c r="BI62" s="49">
        <f t="shared" si="19"/>
        <v>12.944303062956303</v>
      </c>
    </row>
    <row r="63" spans="1:61" ht="49.95" customHeight="1" x14ac:dyDescent="0.3">
      <c r="A63" s="19" t="s">
        <v>329</v>
      </c>
      <c r="B63" s="19">
        <v>715</v>
      </c>
      <c r="C63" s="2" t="s">
        <v>109</v>
      </c>
      <c r="D63" s="6" t="s">
        <v>260</v>
      </c>
      <c r="E63" s="24">
        <v>20</v>
      </c>
      <c r="F63" s="1" t="s">
        <v>228</v>
      </c>
      <c r="G63" s="24">
        <v>13</v>
      </c>
      <c r="H63" s="68">
        <f t="shared" si="20"/>
        <v>65</v>
      </c>
      <c r="I63" s="68">
        <v>65</v>
      </c>
      <c r="J63" s="32">
        <v>3</v>
      </c>
      <c r="K63" s="57" t="s">
        <v>110</v>
      </c>
      <c r="L63" s="7" t="s">
        <v>634</v>
      </c>
      <c r="M63" s="7" t="s">
        <v>638</v>
      </c>
      <c r="N63" s="7" t="s">
        <v>632</v>
      </c>
      <c r="O63" s="63" t="s">
        <v>449</v>
      </c>
      <c r="P63" s="14">
        <v>7</v>
      </c>
      <c r="Q63" s="8" t="s">
        <v>416</v>
      </c>
      <c r="R63" s="16">
        <v>196000000</v>
      </c>
      <c r="S63" s="10">
        <v>1</v>
      </c>
      <c r="T63" s="10">
        <v>8</v>
      </c>
      <c r="U63" s="4"/>
      <c r="V63" s="4" t="s">
        <v>589</v>
      </c>
      <c r="W63" s="10">
        <v>1</v>
      </c>
      <c r="X63" s="10">
        <v>8</v>
      </c>
      <c r="Y63" s="43">
        <v>196000000</v>
      </c>
      <c r="Z63" s="43">
        <v>222866664</v>
      </c>
      <c r="AA63" s="43">
        <v>88747112.280000001</v>
      </c>
      <c r="AB63" s="43">
        <v>9411417.6999999993</v>
      </c>
      <c r="AC63" s="43">
        <v>9411417.6999999993</v>
      </c>
      <c r="AD63" s="43">
        <v>0</v>
      </c>
      <c r="AE63" s="43">
        <v>9411417.6999999993</v>
      </c>
      <c r="AF63" s="43">
        <v>216400000</v>
      </c>
      <c r="AG63" s="43">
        <v>234600000</v>
      </c>
      <c r="AH63" s="43">
        <v>79207398.239999995</v>
      </c>
      <c r="AI63" s="43">
        <v>17662899.919999998</v>
      </c>
      <c r="AJ63" s="43">
        <v>15701290.410000002</v>
      </c>
      <c r="AK63" s="43">
        <v>14058075.390000001</v>
      </c>
      <c r="AL63" s="43">
        <v>29759365.800000001</v>
      </c>
      <c r="AM63" s="43">
        <v>195556400</v>
      </c>
      <c r="AN63" s="43">
        <v>160056400</v>
      </c>
      <c r="AO63" s="43">
        <v>117375801.29000001</v>
      </c>
      <c r="AP63" s="43">
        <v>44610949.189999998</v>
      </c>
      <c r="AQ63" s="43">
        <v>44610949.189999998</v>
      </c>
      <c r="AR63" s="43">
        <v>37846042.390000001</v>
      </c>
      <c r="AS63" s="43">
        <v>82456991.579999998</v>
      </c>
      <c r="AT63" s="43">
        <v>172400000</v>
      </c>
      <c r="AU63" s="43">
        <v>172400000</v>
      </c>
      <c r="AV63" s="43">
        <v>31782501.879999999</v>
      </c>
      <c r="AW63" s="43">
        <v>21730545.979999997</v>
      </c>
      <c r="AX63" s="43">
        <v>21311309.079999998</v>
      </c>
      <c r="AY63" s="43">
        <v>46748368.219999999</v>
      </c>
      <c r="AZ63" s="43">
        <v>68059677.299999997</v>
      </c>
      <c r="BA63" s="21">
        <f t="shared" si="11"/>
        <v>780356400</v>
      </c>
      <c r="BB63" s="21">
        <f t="shared" si="12"/>
        <v>789923064</v>
      </c>
      <c r="BC63" s="21">
        <f t="shared" si="13"/>
        <v>317112813.69</v>
      </c>
      <c r="BD63" s="21">
        <f t="shared" si="14"/>
        <v>93415812.789999992</v>
      </c>
      <c r="BE63" s="21">
        <f t="shared" si="15"/>
        <v>91034966.379999995</v>
      </c>
      <c r="BF63" s="21">
        <f t="shared" si="16"/>
        <v>98652486</v>
      </c>
      <c r="BG63" s="21">
        <f t="shared" si="17"/>
        <v>189687452.38</v>
      </c>
      <c r="BH63" s="49">
        <f t="shared" si="18"/>
        <v>59.817025421568985</v>
      </c>
      <c r="BI63" s="49">
        <f t="shared" si="19"/>
        <v>24.013408523541983</v>
      </c>
    </row>
    <row r="64" spans="1:61" ht="49.95" customHeight="1" x14ac:dyDescent="0.3">
      <c r="A64" s="19" t="s">
        <v>330</v>
      </c>
      <c r="B64" s="19">
        <v>715</v>
      </c>
      <c r="C64" s="2" t="s">
        <v>98</v>
      </c>
      <c r="D64" s="6" t="s">
        <v>260</v>
      </c>
      <c r="E64" s="24">
        <v>1300</v>
      </c>
      <c r="F64" s="1" t="s">
        <v>99</v>
      </c>
      <c r="G64" s="24">
        <v>733</v>
      </c>
      <c r="H64" s="68">
        <f t="shared" si="20"/>
        <v>56.384615384615387</v>
      </c>
      <c r="I64" s="68">
        <v>56.384615384615387</v>
      </c>
      <c r="J64" s="32">
        <v>3</v>
      </c>
      <c r="K64" s="57" t="s">
        <v>100</v>
      </c>
      <c r="L64" s="7" t="s">
        <v>631</v>
      </c>
      <c r="M64" s="7" t="s">
        <v>641</v>
      </c>
      <c r="N64" s="7" t="s">
        <v>632</v>
      </c>
      <c r="O64" s="63" t="s">
        <v>450</v>
      </c>
      <c r="P64" s="14">
        <v>120</v>
      </c>
      <c r="Q64" s="15" t="s">
        <v>576</v>
      </c>
      <c r="R64" s="16">
        <v>2680000</v>
      </c>
      <c r="S64" s="10">
        <v>1</v>
      </c>
      <c r="T64" s="10">
        <v>1</v>
      </c>
      <c r="U64" s="4"/>
      <c r="V64" s="4">
        <v>8762</v>
      </c>
      <c r="W64" s="10">
        <v>1</v>
      </c>
      <c r="X64" s="10">
        <v>1</v>
      </c>
      <c r="Y64" s="43">
        <v>2400000</v>
      </c>
      <c r="Z64" s="43">
        <v>2400000</v>
      </c>
      <c r="AA64" s="43">
        <v>2400000</v>
      </c>
      <c r="AB64" s="43">
        <v>500000</v>
      </c>
      <c r="AC64" s="43">
        <v>500000</v>
      </c>
      <c r="AD64" s="43">
        <v>0</v>
      </c>
      <c r="AE64" s="43">
        <v>500000</v>
      </c>
      <c r="AF64" s="43">
        <v>2680000</v>
      </c>
      <c r="AG64" s="43">
        <v>2680000</v>
      </c>
      <c r="AH64" s="43">
        <v>2600393.87</v>
      </c>
      <c r="AI64" s="43">
        <v>14226.88</v>
      </c>
      <c r="AJ64" s="43">
        <v>14226.88</v>
      </c>
      <c r="AK64" s="43">
        <v>1656152.71</v>
      </c>
      <c r="AL64" s="43">
        <v>1670379.5899999999</v>
      </c>
      <c r="AM64" s="43">
        <v>2680000</v>
      </c>
      <c r="AN64" s="43">
        <v>1876000</v>
      </c>
      <c r="AO64" s="43">
        <v>1829392.47</v>
      </c>
      <c r="AP64" s="43">
        <v>1000000</v>
      </c>
      <c r="AQ64" s="43">
        <v>1000000</v>
      </c>
      <c r="AR64" s="43">
        <v>2829754.2800000003</v>
      </c>
      <c r="AS64" s="43">
        <v>3829754.2800000003</v>
      </c>
      <c r="AT64" s="43">
        <v>2680000</v>
      </c>
      <c r="AU64" s="43">
        <v>2680000</v>
      </c>
      <c r="AV64" s="43">
        <v>2000000</v>
      </c>
      <c r="AW64" s="43">
        <v>2000000</v>
      </c>
      <c r="AX64" s="43">
        <v>0</v>
      </c>
      <c r="AY64" s="43">
        <v>29392.47</v>
      </c>
      <c r="AZ64" s="43">
        <v>29392.47</v>
      </c>
      <c r="BA64" s="21">
        <f t="shared" si="11"/>
        <v>10440000</v>
      </c>
      <c r="BB64" s="21">
        <f t="shared" si="12"/>
        <v>9636000</v>
      </c>
      <c r="BC64" s="21">
        <f t="shared" si="13"/>
        <v>8829786.3399999999</v>
      </c>
      <c r="BD64" s="21">
        <f t="shared" si="14"/>
        <v>3514226.88</v>
      </c>
      <c r="BE64" s="21">
        <f t="shared" si="15"/>
        <v>1514226.88</v>
      </c>
      <c r="BF64" s="21">
        <f t="shared" si="16"/>
        <v>4515299.46</v>
      </c>
      <c r="BG64" s="21">
        <f t="shared" si="17"/>
        <v>6029526.3399999999</v>
      </c>
      <c r="BH64" s="49">
        <f t="shared" si="18"/>
        <v>68.28620883707589</v>
      </c>
      <c r="BI64" s="49">
        <f t="shared" si="19"/>
        <v>62.572917600664177</v>
      </c>
    </row>
    <row r="65" spans="1:61" ht="49.95" customHeight="1" x14ac:dyDescent="0.3">
      <c r="A65" s="19" t="s">
        <v>331</v>
      </c>
      <c r="B65" s="19">
        <v>715</v>
      </c>
      <c r="C65" s="2" t="s">
        <v>94</v>
      </c>
      <c r="D65" s="1" t="s">
        <v>264</v>
      </c>
      <c r="E65" s="24">
        <v>7500</v>
      </c>
      <c r="F65" s="1" t="s">
        <v>95</v>
      </c>
      <c r="G65" s="24">
        <v>6398</v>
      </c>
      <c r="H65" s="68">
        <v>27</v>
      </c>
      <c r="I65" s="68">
        <v>27</v>
      </c>
      <c r="J65" s="32">
        <v>2</v>
      </c>
      <c r="K65" s="59" t="s">
        <v>237</v>
      </c>
      <c r="L65" s="7" t="s">
        <v>635</v>
      </c>
      <c r="M65" s="7" t="s">
        <v>639</v>
      </c>
      <c r="N65" s="7" t="s">
        <v>632</v>
      </c>
      <c r="O65" s="63"/>
      <c r="P65" s="14"/>
      <c r="Q65" s="15"/>
      <c r="R65" s="16"/>
      <c r="S65" s="10"/>
      <c r="T65" s="10"/>
      <c r="U65" s="4">
        <v>6175</v>
      </c>
      <c r="V65" s="4">
        <v>6175</v>
      </c>
      <c r="W65" s="10">
        <v>1</v>
      </c>
      <c r="X65" s="10">
        <v>1</v>
      </c>
      <c r="Y65" s="43">
        <v>12700000</v>
      </c>
      <c r="Z65" s="43">
        <v>12700000</v>
      </c>
      <c r="AA65" s="43">
        <v>8979377.0999999996</v>
      </c>
      <c r="AB65" s="43">
        <v>2123891.96</v>
      </c>
      <c r="AC65" s="43">
        <v>2123171.96</v>
      </c>
      <c r="AD65" s="43">
        <v>0</v>
      </c>
      <c r="AE65" s="43">
        <v>2123171.96</v>
      </c>
      <c r="AF65" s="43">
        <v>13900000</v>
      </c>
      <c r="AG65" s="43">
        <v>13900000</v>
      </c>
      <c r="AH65" s="43">
        <v>11935253.140000001</v>
      </c>
      <c r="AI65" s="43">
        <v>192776.69</v>
      </c>
      <c r="AJ65" s="43">
        <v>192776.69</v>
      </c>
      <c r="AK65" s="43">
        <v>5779414.7000000002</v>
      </c>
      <c r="AL65" s="43">
        <v>5972191.3900000006</v>
      </c>
      <c r="AM65" s="43">
        <v>38980000</v>
      </c>
      <c r="AN65" s="43">
        <v>34600000</v>
      </c>
      <c r="AO65" s="43">
        <v>8603081.6099999994</v>
      </c>
      <c r="AP65" s="43">
        <v>4931056.6500000004</v>
      </c>
      <c r="AQ65" s="43">
        <v>4931056.6500000004</v>
      </c>
      <c r="AR65" s="43">
        <v>10482779.43</v>
      </c>
      <c r="AS65" s="43">
        <v>15413836.08</v>
      </c>
      <c r="AT65" s="43">
        <v>52600000</v>
      </c>
      <c r="AU65" s="43">
        <v>52600000</v>
      </c>
      <c r="AV65" s="43">
        <v>1190000</v>
      </c>
      <c r="AW65" s="43">
        <v>821173.37</v>
      </c>
      <c r="AX65" s="43">
        <v>0</v>
      </c>
      <c r="AY65" s="43">
        <v>3697553.46</v>
      </c>
      <c r="AZ65" s="43">
        <v>3697553.46</v>
      </c>
      <c r="BA65" s="21">
        <f t="shared" si="11"/>
        <v>118180000</v>
      </c>
      <c r="BB65" s="21">
        <f t="shared" si="12"/>
        <v>113800000</v>
      </c>
      <c r="BC65" s="21">
        <f t="shared" si="13"/>
        <v>30707711.850000001</v>
      </c>
      <c r="BD65" s="21">
        <f t="shared" si="14"/>
        <v>8068898.6700000009</v>
      </c>
      <c r="BE65" s="21">
        <f t="shared" si="15"/>
        <v>7247005.3000000007</v>
      </c>
      <c r="BF65" s="21">
        <f t="shared" si="16"/>
        <v>19959747.59</v>
      </c>
      <c r="BG65" s="21">
        <f t="shared" si="17"/>
        <v>27206752.890000001</v>
      </c>
      <c r="BH65" s="49">
        <f t="shared" si="18"/>
        <v>88.599088798600931</v>
      </c>
      <c r="BI65" s="49">
        <f t="shared" si="19"/>
        <v>23.90751572056239</v>
      </c>
    </row>
    <row r="66" spans="1:61" ht="49.95" customHeight="1" x14ac:dyDescent="0.3">
      <c r="A66" s="19" t="s">
        <v>332</v>
      </c>
      <c r="B66" s="19">
        <v>715</v>
      </c>
      <c r="C66" s="2" t="s">
        <v>117</v>
      </c>
      <c r="D66" s="50" t="s">
        <v>264</v>
      </c>
      <c r="E66" s="24">
        <v>1410</v>
      </c>
      <c r="F66" s="1" t="s">
        <v>118</v>
      </c>
      <c r="G66" s="24">
        <v>379</v>
      </c>
      <c r="H66" s="68">
        <f t="shared" ref="H66:H72" si="21">G66*100/E66</f>
        <v>26.879432624113477</v>
      </c>
      <c r="I66" s="68">
        <v>26.879432624113477</v>
      </c>
      <c r="J66" s="32">
        <v>2</v>
      </c>
      <c r="K66" s="57" t="s">
        <v>119</v>
      </c>
      <c r="L66" s="7" t="s">
        <v>631</v>
      </c>
      <c r="M66" s="7" t="s">
        <v>641</v>
      </c>
      <c r="N66" s="7" t="s">
        <v>632</v>
      </c>
      <c r="O66" s="63"/>
      <c r="P66" s="14"/>
      <c r="Q66" s="15"/>
      <c r="R66" s="16"/>
      <c r="S66" s="10"/>
      <c r="T66" s="10"/>
      <c r="U66" s="4" t="s">
        <v>475</v>
      </c>
      <c r="V66" s="4" t="s">
        <v>475</v>
      </c>
      <c r="W66" s="10"/>
      <c r="X66" s="10"/>
      <c r="Y66" s="30"/>
      <c r="Z66" s="30"/>
      <c r="AA66" s="30"/>
      <c r="AB66" s="30"/>
      <c r="AC66" s="30"/>
      <c r="AD66" s="30"/>
      <c r="AE66" s="30"/>
      <c r="AF66" s="30"/>
      <c r="AG66" s="30"/>
      <c r="AH66" s="30"/>
      <c r="AI66" s="30"/>
      <c r="AJ66" s="30"/>
      <c r="AK66" s="30"/>
      <c r="AL66" s="30"/>
      <c r="AM66" s="30"/>
      <c r="AN66" s="30"/>
      <c r="AO66" s="30"/>
      <c r="AP66" s="30"/>
      <c r="AQ66" s="30"/>
      <c r="AR66" s="30"/>
      <c r="AS66" s="30"/>
      <c r="AT66" s="21"/>
      <c r="AU66" s="21"/>
      <c r="AV66" s="21"/>
      <c r="AW66" s="21"/>
      <c r="AX66" s="23"/>
      <c r="AY66" s="23"/>
      <c r="AZ66" s="23"/>
      <c r="BA66" s="21"/>
      <c r="BB66" s="21"/>
      <c r="BC66" s="21"/>
      <c r="BD66" s="21"/>
      <c r="BE66" s="21"/>
      <c r="BF66" s="21"/>
      <c r="BG66" s="21"/>
      <c r="BH66" s="49"/>
      <c r="BI66" s="49"/>
    </row>
    <row r="67" spans="1:61" ht="49.95" customHeight="1" x14ac:dyDescent="0.3">
      <c r="A67" s="19" t="s">
        <v>333</v>
      </c>
      <c r="B67" s="19">
        <v>715</v>
      </c>
      <c r="C67" s="2" t="s">
        <v>105</v>
      </c>
      <c r="D67" s="6" t="s">
        <v>260</v>
      </c>
      <c r="E67" s="24">
        <v>100</v>
      </c>
      <c r="F67" s="1" t="s">
        <v>33</v>
      </c>
      <c r="G67" s="24">
        <v>21</v>
      </c>
      <c r="H67" s="69">
        <f t="shared" si="21"/>
        <v>21</v>
      </c>
      <c r="I67" s="69">
        <v>21</v>
      </c>
      <c r="J67" s="32">
        <v>1</v>
      </c>
      <c r="K67" s="57" t="s">
        <v>106</v>
      </c>
      <c r="L67" s="7" t="s">
        <v>634</v>
      </c>
      <c r="M67" s="7" t="s">
        <v>643</v>
      </c>
      <c r="N67" s="7" t="s">
        <v>632</v>
      </c>
      <c r="O67" s="63" t="s">
        <v>451</v>
      </c>
      <c r="P67" s="28">
        <v>0.6</v>
      </c>
      <c r="Q67" s="8" t="s">
        <v>440</v>
      </c>
      <c r="R67" s="9">
        <v>40802652512</v>
      </c>
      <c r="S67" s="10">
        <v>1</v>
      </c>
      <c r="T67" s="10">
        <v>6</v>
      </c>
      <c r="U67" s="4"/>
      <c r="V67" s="4">
        <v>8585</v>
      </c>
      <c r="W67" s="10">
        <v>1</v>
      </c>
      <c r="X67" s="10">
        <v>6</v>
      </c>
      <c r="Y67" s="43">
        <v>33865455227</v>
      </c>
      <c r="Z67" s="43">
        <v>34113964898</v>
      </c>
      <c r="AA67" s="43">
        <v>34095456762.360001</v>
      </c>
      <c r="AB67" s="43">
        <v>33291071177.960007</v>
      </c>
      <c r="AC67" s="43">
        <v>33230236496.190006</v>
      </c>
      <c r="AD67" s="43">
        <v>0</v>
      </c>
      <c r="AE67" s="43">
        <v>33230236496.190006</v>
      </c>
      <c r="AF67" s="43">
        <v>35608777455</v>
      </c>
      <c r="AG67" s="43">
        <v>34763826454</v>
      </c>
      <c r="AH67" s="43">
        <v>34737046259.069992</v>
      </c>
      <c r="AI67" s="43">
        <v>34216763113.840008</v>
      </c>
      <c r="AJ67" s="43">
        <v>34166290211.639996</v>
      </c>
      <c r="AK67" s="43">
        <v>549147346.24000001</v>
      </c>
      <c r="AL67" s="43">
        <v>34715437557.880005</v>
      </c>
      <c r="AM67" s="43">
        <v>36303600000</v>
      </c>
      <c r="AN67" s="43">
        <v>39172540850</v>
      </c>
      <c r="AO67" s="43">
        <v>39157371246.759987</v>
      </c>
      <c r="AP67" s="43">
        <v>38849537156.819977</v>
      </c>
      <c r="AQ67" s="43">
        <v>38749594634.479988</v>
      </c>
      <c r="AR67" s="43">
        <v>452022604.14999992</v>
      </c>
      <c r="AS67" s="43">
        <v>39201617238.629982</v>
      </c>
      <c r="AT67" s="43">
        <v>43817796512</v>
      </c>
      <c r="AU67" s="43">
        <v>43142321717</v>
      </c>
      <c r="AV67" s="43">
        <v>43132910999.139992</v>
      </c>
      <c r="AW67" s="43">
        <v>42765336857.470009</v>
      </c>
      <c r="AX67" s="43">
        <v>42602282063.72998</v>
      </c>
      <c r="AY67" s="43">
        <v>267730805.20000005</v>
      </c>
      <c r="AZ67" s="43">
        <v>42870012868.929993</v>
      </c>
      <c r="BA67" s="21">
        <f t="shared" ref="BA67:BG68" si="22">SUM(Y67+AF67+AM67+AT67)</f>
        <v>149595629194</v>
      </c>
      <c r="BB67" s="21">
        <f t="shared" si="22"/>
        <v>151192653919</v>
      </c>
      <c r="BC67" s="21">
        <f t="shared" si="22"/>
        <v>151122785267.32996</v>
      </c>
      <c r="BD67" s="21">
        <f t="shared" si="22"/>
        <v>149122708306.09</v>
      </c>
      <c r="BE67" s="21">
        <f t="shared" si="22"/>
        <v>148748403406.03998</v>
      </c>
      <c r="BF67" s="21">
        <f t="shared" si="22"/>
        <v>1268900755.5899999</v>
      </c>
      <c r="BG67" s="21">
        <f t="shared" si="22"/>
        <v>150017304161.62997</v>
      </c>
      <c r="BH67" s="49">
        <f>BG67*100/BC67</f>
        <v>99.268488134503059</v>
      </c>
      <c r="BI67" s="49">
        <f>BG67*100/BB67</f>
        <v>99.222614507448426</v>
      </c>
    </row>
    <row r="68" spans="1:61" ht="49.95" customHeight="1" x14ac:dyDescent="0.3">
      <c r="A68" s="19" t="s">
        <v>334</v>
      </c>
      <c r="B68" s="19">
        <v>715</v>
      </c>
      <c r="C68" s="2" t="s">
        <v>115</v>
      </c>
      <c r="D68" s="6" t="s">
        <v>260</v>
      </c>
      <c r="E68" s="24">
        <v>50</v>
      </c>
      <c r="F68" s="1" t="s">
        <v>112</v>
      </c>
      <c r="G68" s="24">
        <v>5</v>
      </c>
      <c r="H68" s="69">
        <f t="shared" si="21"/>
        <v>10</v>
      </c>
      <c r="I68" s="69">
        <v>10</v>
      </c>
      <c r="J68" s="32">
        <v>1</v>
      </c>
      <c r="K68" s="57" t="s">
        <v>116</v>
      </c>
      <c r="L68" s="7" t="s">
        <v>634</v>
      </c>
      <c r="M68" s="7" t="s">
        <v>638</v>
      </c>
      <c r="N68" s="7" t="s">
        <v>632</v>
      </c>
      <c r="O68" s="63" t="s">
        <v>452</v>
      </c>
      <c r="P68" s="14">
        <v>45</v>
      </c>
      <c r="Q68" s="8" t="s">
        <v>448</v>
      </c>
      <c r="R68" s="9">
        <v>40802652512</v>
      </c>
      <c r="S68" s="10">
        <v>1</v>
      </c>
      <c r="T68" s="10">
        <v>5</v>
      </c>
      <c r="U68" s="4"/>
      <c r="V68" s="4">
        <v>8535</v>
      </c>
      <c r="W68" s="10">
        <v>1</v>
      </c>
      <c r="X68" s="10">
        <v>6</v>
      </c>
      <c r="Y68" s="43">
        <v>2542726499</v>
      </c>
      <c r="Z68" s="43">
        <v>2768926108</v>
      </c>
      <c r="AA68" s="43">
        <v>831306777.73000002</v>
      </c>
      <c r="AB68" s="43">
        <v>152618740.18000001</v>
      </c>
      <c r="AC68" s="43">
        <v>152618740.18000001</v>
      </c>
      <c r="AD68" s="43">
        <v>0</v>
      </c>
      <c r="AE68" s="43">
        <v>152618740.18000001</v>
      </c>
      <c r="AF68" s="43">
        <v>3285314985</v>
      </c>
      <c r="AG68" s="43">
        <v>3488580983</v>
      </c>
      <c r="AH68" s="43">
        <v>783165908.83000016</v>
      </c>
      <c r="AI68" s="43">
        <v>105476724.09</v>
      </c>
      <c r="AJ68" s="43">
        <v>105476724.09</v>
      </c>
      <c r="AK68" s="43">
        <v>298033318.68000001</v>
      </c>
      <c r="AL68" s="43">
        <v>403510042.76999998</v>
      </c>
      <c r="AM68" s="43">
        <v>3585582157</v>
      </c>
      <c r="AN68" s="43">
        <v>3635668136</v>
      </c>
      <c r="AO68" s="43">
        <v>1343955020.6900003</v>
      </c>
      <c r="AP68" s="43">
        <v>75191321.399999991</v>
      </c>
      <c r="AQ68" s="43">
        <v>75191321.399999991</v>
      </c>
      <c r="AR68" s="43">
        <v>515848558.97999996</v>
      </c>
      <c r="AS68" s="43">
        <v>591039880.38</v>
      </c>
      <c r="AT68" s="43">
        <v>5258849061</v>
      </c>
      <c r="AU68" s="43">
        <v>5352295854</v>
      </c>
      <c r="AV68" s="43">
        <v>1130363498.9800003</v>
      </c>
      <c r="AW68" s="43">
        <v>98527013.539999992</v>
      </c>
      <c r="AX68" s="43">
        <v>96627898.299999997</v>
      </c>
      <c r="AY68" s="43">
        <v>729623418.47000039</v>
      </c>
      <c r="AZ68" s="43">
        <v>826251316.77000046</v>
      </c>
      <c r="BA68" s="21">
        <f t="shared" si="22"/>
        <v>14672472702</v>
      </c>
      <c r="BB68" s="21">
        <f t="shared" si="22"/>
        <v>15245471081</v>
      </c>
      <c r="BC68" s="21">
        <f t="shared" si="22"/>
        <v>4088791206.2300005</v>
      </c>
      <c r="BD68" s="21">
        <f t="shared" si="22"/>
        <v>431813799.21000004</v>
      </c>
      <c r="BE68" s="21">
        <f t="shared" si="22"/>
        <v>429914683.97000003</v>
      </c>
      <c r="BF68" s="21">
        <f t="shared" si="22"/>
        <v>1543505296.1300004</v>
      </c>
      <c r="BG68" s="21">
        <f t="shared" si="22"/>
        <v>1973419980.1000004</v>
      </c>
      <c r="BH68" s="49">
        <f>BG68*100/BC68</f>
        <v>48.26414166351033</v>
      </c>
      <c r="BI68" s="49">
        <f>BG68*100/BB68</f>
        <v>12.944303062956303</v>
      </c>
    </row>
    <row r="69" spans="1:61" ht="49.95" customHeight="1" x14ac:dyDescent="0.3">
      <c r="A69" s="19" t="s">
        <v>335</v>
      </c>
      <c r="B69" s="19">
        <v>715</v>
      </c>
      <c r="C69" s="2" t="s">
        <v>124</v>
      </c>
      <c r="D69" s="50" t="s">
        <v>264</v>
      </c>
      <c r="E69" s="24">
        <v>94</v>
      </c>
      <c r="F69" s="1" t="s">
        <v>125</v>
      </c>
      <c r="G69" s="24">
        <v>0</v>
      </c>
      <c r="H69" s="69">
        <f t="shared" si="21"/>
        <v>0</v>
      </c>
      <c r="I69" s="69">
        <v>0</v>
      </c>
      <c r="J69" s="32">
        <v>1</v>
      </c>
      <c r="K69" s="57" t="s">
        <v>126</v>
      </c>
      <c r="L69" s="7" t="s">
        <v>634</v>
      </c>
      <c r="M69" s="7" t="s">
        <v>638</v>
      </c>
      <c r="N69" s="7" t="s">
        <v>632</v>
      </c>
      <c r="O69" s="63"/>
      <c r="P69" s="14"/>
      <c r="Q69" s="8"/>
      <c r="R69" s="9"/>
      <c r="S69" s="10"/>
      <c r="T69" s="10"/>
      <c r="U69" s="4" t="s">
        <v>475</v>
      </c>
      <c r="V69" s="4" t="s">
        <v>475</v>
      </c>
      <c r="W69" s="10"/>
      <c r="X69" s="10"/>
      <c r="Y69" s="30"/>
      <c r="Z69" s="30"/>
      <c r="AA69" s="30"/>
      <c r="AB69" s="30"/>
      <c r="AC69" s="30"/>
      <c r="AD69" s="30"/>
      <c r="AE69" s="30"/>
      <c r="AF69" s="30"/>
      <c r="AG69" s="30"/>
      <c r="AH69" s="30"/>
      <c r="AI69" s="30"/>
      <c r="AJ69" s="30"/>
      <c r="AK69" s="30"/>
      <c r="AL69" s="30"/>
      <c r="AM69" s="30"/>
      <c r="AN69" s="30"/>
      <c r="AO69" s="30"/>
      <c r="AP69" s="30"/>
      <c r="AQ69" s="30"/>
      <c r="AR69" s="30"/>
      <c r="AS69" s="30"/>
      <c r="AT69" s="21"/>
      <c r="AU69" s="21"/>
      <c r="AV69" s="21"/>
      <c r="AW69" s="21"/>
      <c r="AX69" s="23"/>
      <c r="AY69" s="23"/>
      <c r="AZ69" s="23"/>
      <c r="BA69" s="21"/>
      <c r="BB69" s="21"/>
      <c r="BC69" s="21"/>
      <c r="BD69" s="21"/>
      <c r="BE69" s="21"/>
      <c r="BF69" s="21"/>
      <c r="BG69" s="21"/>
      <c r="BH69" s="49"/>
      <c r="BI69" s="49"/>
    </row>
    <row r="70" spans="1:61" ht="49.95" customHeight="1" x14ac:dyDescent="0.3">
      <c r="A70" s="19" t="s">
        <v>336</v>
      </c>
      <c r="B70" s="19">
        <v>717</v>
      </c>
      <c r="C70" s="2" t="s">
        <v>127</v>
      </c>
      <c r="D70" s="6" t="s">
        <v>260</v>
      </c>
      <c r="E70" s="24">
        <v>2160</v>
      </c>
      <c r="F70" s="1" t="s">
        <v>128</v>
      </c>
      <c r="G70" s="24">
        <v>2916</v>
      </c>
      <c r="H70" s="68">
        <f t="shared" si="21"/>
        <v>135</v>
      </c>
      <c r="I70" s="68">
        <v>100</v>
      </c>
      <c r="J70" s="32">
        <v>5</v>
      </c>
      <c r="K70" s="56"/>
      <c r="L70" s="7" t="s">
        <v>634</v>
      </c>
      <c r="M70" s="7" t="s">
        <v>638</v>
      </c>
      <c r="N70" s="7" t="s">
        <v>636</v>
      </c>
      <c r="O70" s="65" t="s">
        <v>453</v>
      </c>
      <c r="P70" s="14">
        <v>5003</v>
      </c>
      <c r="Q70" s="6" t="s">
        <v>454</v>
      </c>
      <c r="R70" s="16">
        <v>180000000</v>
      </c>
      <c r="S70" s="10">
        <v>1</v>
      </c>
      <c r="T70" s="10">
        <v>4</v>
      </c>
      <c r="U70" s="4"/>
      <c r="V70" s="4">
        <v>8933</v>
      </c>
      <c r="W70" s="10">
        <v>1</v>
      </c>
      <c r="X70" s="10">
        <v>5</v>
      </c>
      <c r="Y70" s="43">
        <v>552072373</v>
      </c>
      <c r="Z70" s="43">
        <v>683739040</v>
      </c>
      <c r="AA70" s="43">
        <v>220445927.91</v>
      </c>
      <c r="AB70" s="43">
        <v>81140707.25999999</v>
      </c>
      <c r="AC70" s="43">
        <v>81140707.25999999</v>
      </c>
      <c r="AD70" s="43">
        <v>0</v>
      </c>
      <c r="AE70" s="43">
        <v>81140707.25999999</v>
      </c>
      <c r="AF70" s="43">
        <v>518841832</v>
      </c>
      <c r="AG70" s="43">
        <v>563841832</v>
      </c>
      <c r="AH70" s="43">
        <v>210176111.88</v>
      </c>
      <c r="AI70" s="43">
        <v>56121757.839999996</v>
      </c>
      <c r="AJ70" s="43">
        <v>56121757.839999996</v>
      </c>
      <c r="AK70" s="43">
        <v>84747383.159999996</v>
      </c>
      <c r="AL70" s="43">
        <v>140869141</v>
      </c>
      <c r="AM70" s="43">
        <v>257824589</v>
      </c>
      <c r="AN70" s="43">
        <v>248174589</v>
      </c>
      <c r="AO70" s="43">
        <v>65259720.460000001</v>
      </c>
      <c r="AP70" s="43">
        <v>18890247.02</v>
      </c>
      <c r="AQ70" s="43">
        <v>18890247.02</v>
      </c>
      <c r="AR70" s="43">
        <v>132232382.56999999</v>
      </c>
      <c r="AS70" s="30">
        <f>SUBTOTAL(9,AQ70:AR70)</f>
        <v>151122629.59</v>
      </c>
      <c r="AT70" s="43">
        <v>215266400</v>
      </c>
      <c r="AU70" s="43">
        <v>247496456</v>
      </c>
      <c r="AV70" s="43">
        <v>111662763.71000001</v>
      </c>
      <c r="AW70" s="43">
        <v>28950283.620000001</v>
      </c>
      <c r="AX70" s="43">
        <v>28950283.620000001</v>
      </c>
      <c r="AY70" s="23">
        <v>45585212.43</v>
      </c>
      <c r="AZ70" s="23">
        <f>SUBTOTAL(9,AX70:AY70)</f>
        <v>74535496.049999997</v>
      </c>
      <c r="BA70" s="21">
        <f t="shared" ref="BA70:BA117" si="23">SUM(Y70+AF70+AM70+AT70)</f>
        <v>1544005194</v>
      </c>
      <c r="BB70" s="21">
        <f t="shared" ref="BB70:BB117" si="24">SUM(Z70+AG70+AN70+AU70)</f>
        <v>1743251917</v>
      </c>
      <c r="BC70" s="21">
        <f t="shared" ref="BC70:BC117" si="25">SUM(AA70+AH70+AO70+AV70)</f>
        <v>607544523.95999992</v>
      </c>
      <c r="BD70" s="21">
        <f t="shared" ref="BD70:BD117" si="26">SUM(AB70+AI70+AP70+AW70)</f>
        <v>185102995.74000001</v>
      </c>
      <c r="BE70" s="21">
        <f t="shared" ref="BE70:BE117" si="27">SUM(AC70+AJ70+AQ70+AX70)</f>
        <v>185102995.74000001</v>
      </c>
      <c r="BF70" s="21">
        <f t="shared" ref="BF70:BF117" si="28">SUM(AD70+AK70+AR70+AY70)</f>
        <v>262564978.16</v>
      </c>
      <c r="BG70" s="21">
        <f t="shared" ref="BG70:BG117" si="29">SUM(AE70+AL70+AS70+AZ70)</f>
        <v>447667973.90000004</v>
      </c>
      <c r="BH70" s="49">
        <f t="shared" ref="BH70:BH117" si="30">BG70*100/BC70</f>
        <v>73.684801071381884</v>
      </c>
      <c r="BI70" s="49">
        <f t="shared" ref="BI70:BI117" si="31">BG70*100/BB70</f>
        <v>25.680050572977514</v>
      </c>
    </row>
    <row r="71" spans="1:61" ht="49.95" customHeight="1" x14ac:dyDescent="0.3">
      <c r="A71" s="19" t="s">
        <v>337</v>
      </c>
      <c r="B71" s="19">
        <v>717</v>
      </c>
      <c r="C71" s="2" t="s">
        <v>129</v>
      </c>
      <c r="D71" s="6" t="s">
        <v>260</v>
      </c>
      <c r="E71" s="24">
        <v>231</v>
      </c>
      <c r="F71" s="1" t="s">
        <v>130</v>
      </c>
      <c r="G71" s="24">
        <v>299</v>
      </c>
      <c r="H71" s="68">
        <f t="shared" si="21"/>
        <v>129.43722943722943</v>
      </c>
      <c r="I71" s="68">
        <v>100</v>
      </c>
      <c r="J71" s="32">
        <v>5</v>
      </c>
      <c r="K71" s="56"/>
      <c r="L71" s="7" t="s">
        <v>634</v>
      </c>
      <c r="M71" s="7" t="s">
        <v>638</v>
      </c>
      <c r="N71" s="7" t="s">
        <v>632</v>
      </c>
      <c r="O71" s="65" t="s">
        <v>455</v>
      </c>
      <c r="P71" s="8" t="s">
        <v>394</v>
      </c>
      <c r="Q71" s="6" t="s">
        <v>456</v>
      </c>
      <c r="R71" s="9">
        <v>180000000</v>
      </c>
      <c r="S71" s="10">
        <v>1</v>
      </c>
      <c r="T71" s="10">
        <v>4</v>
      </c>
      <c r="U71" s="4"/>
      <c r="V71" s="4">
        <v>8933</v>
      </c>
      <c r="W71" s="10">
        <v>1</v>
      </c>
      <c r="X71" s="10">
        <v>5</v>
      </c>
      <c r="Y71" s="43">
        <v>552072373</v>
      </c>
      <c r="Z71" s="43">
        <v>683739040</v>
      </c>
      <c r="AA71" s="43">
        <v>220445927.91</v>
      </c>
      <c r="AB71" s="43">
        <v>81140707.25999999</v>
      </c>
      <c r="AC71" s="43">
        <v>81140707.25999999</v>
      </c>
      <c r="AD71" s="43">
        <v>0</v>
      </c>
      <c r="AE71" s="43">
        <v>81140707.25999999</v>
      </c>
      <c r="AF71" s="43">
        <v>518841832</v>
      </c>
      <c r="AG71" s="43">
        <v>563841832</v>
      </c>
      <c r="AH71" s="43">
        <v>210176111.88</v>
      </c>
      <c r="AI71" s="43">
        <v>56121757.839999996</v>
      </c>
      <c r="AJ71" s="43">
        <v>56121757.839999996</v>
      </c>
      <c r="AK71" s="43">
        <v>84747383.159999996</v>
      </c>
      <c r="AL71" s="43">
        <v>140869141</v>
      </c>
      <c r="AM71" s="43">
        <v>257824589</v>
      </c>
      <c r="AN71" s="43">
        <v>248174589</v>
      </c>
      <c r="AO71" s="43">
        <v>65259720.460000001</v>
      </c>
      <c r="AP71" s="43">
        <v>18890247.02</v>
      </c>
      <c r="AQ71" s="43">
        <v>18890247.02</v>
      </c>
      <c r="AR71" s="43">
        <v>132232382.56999999</v>
      </c>
      <c r="AS71" s="30">
        <f>SUBTOTAL(9,AQ71:AR71)</f>
        <v>151122629.59</v>
      </c>
      <c r="AT71" s="43">
        <v>215266400</v>
      </c>
      <c r="AU71" s="43">
        <v>247496456</v>
      </c>
      <c r="AV71" s="43">
        <v>111662763.71000001</v>
      </c>
      <c r="AW71" s="43">
        <v>28950283.620000001</v>
      </c>
      <c r="AX71" s="43">
        <v>28950283.620000001</v>
      </c>
      <c r="AY71" s="23">
        <v>45585212.43</v>
      </c>
      <c r="AZ71" s="23">
        <f>SUBTOTAL(9,AX71:AY71)</f>
        <v>74535496.049999997</v>
      </c>
      <c r="BA71" s="21">
        <f t="shared" si="23"/>
        <v>1544005194</v>
      </c>
      <c r="BB71" s="21">
        <f t="shared" si="24"/>
        <v>1743251917</v>
      </c>
      <c r="BC71" s="21">
        <f t="shared" si="25"/>
        <v>607544523.95999992</v>
      </c>
      <c r="BD71" s="21">
        <f t="shared" si="26"/>
        <v>185102995.74000001</v>
      </c>
      <c r="BE71" s="21">
        <f t="shared" si="27"/>
        <v>185102995.74000001</v>
      </c>
      <c r="BF71" s="21">
        <f t="shared" si="28"/>
        <v>262564978.16</v>
      </c>
      <c r="BG71" s="21">
        <f t="shared" si="29"/>
        <v>447667973.90000004</v>
      </c>
      <c r="BH71" s="49">
        <f t="shared" si="30"/>
        <v>73.684801071381884</v>
      </c>
      <c r="BI71" s="49">
        <f t="shared" si="31"/>
        <v>25.680050572977514</v>
      </c>
    </row>
    <row r="72" spans="1:61" ht="49.95" customHeight="1" x14ac:dyDescent="0.3">
      <c r="A72" s="19" t="s">
        <v>338</v>
      </c>
      <c r="B72" s="19">
        <v>717</v>
      </c>
      <c r="C72" s="2" t="s">
        <v>131</v>
      </c>
      <c r="D72" s="6" t="s">
        <v>260</v>
      </c>
      <c r="E72" s="24">
        <v>2163</v>
      </c>
      <c r="F72" s="1" t="s">
        <v>132</v>
      </c>
      <c r="G72" s="24">
        <v>3477</v>
      </c>
      <c r="H72" s="68">
        <f t="shared" si="21"/>
        <v>160.748959778086</v>
      </c>
      <c r="I72" s="68">
        <v>100</v>
      </c>
      <c r="J72" s="32">
        <v>5</v>
      </c>
      <c r="K72" s="56"/>
      <c r="L72" s="7" t="s">
        <v>634</v>
      </c>
      <c r="M72" s="7" t="s">
        <v>638</v>
      </c>
      <c r="N72" s="7" t="s">
        <v>632</v>
      </c>
      <c r="O72" s="65" t="s">
        <v>457</v>
      </c>
      <c r="P72" s="14">
        <v>5404</v>
      </c>
      <c r="Q72" s="6" t="s">
        <v>456</v>
      </c>
      <c r="R72" s="9">
        <v>180000000</v>
      </c>
      <c r="S72" s="10">
        <v>1</v>
      </c>
      <c r="T72" s="10">
        <v>4</v>
      </c>
      <c r="U72" s="4"/>
      <c r="V72" s="4">
        <v>8933</v>
      </c>
      <c r="W72" s="10">
        <v>1</v>
      </c>
      <c r="X72" s="10">
        <v>5</v>
      </c>
      <c r="Y72" s="43">
        <v>552072373</v>
      </c>
      <c r="Z72" s="43">
        <v>683739040</v>
      </c>
      <c r="AA72" s="43">
        <v>220445927.91</v>
      </c>
      <c r="AB72" s="43">
        <v>81140707.25999999</v>
      </c>
      <c r="AC72" s="43">
        <v>81140707.25999999</v>
      </c>
      <c r="AD72" s="43">
        <v>0</v>
      </c>
      <c r="AE72" s="43">
        <v>81140707.25999999</v>
      </c>
      <c r="AF72" s="43">
        <v>518841832</v>
      </c>
      <c r="AG72" s="43">
        <v>563841832</v>
      </c>
      <c r="AH72" s="43">
        <v>210176111.88</v>
      </c>
      <c r="AI72" s="43">
        <v>56121757.839999996</v>
      </c>
      <c r="AJ72" s="43">
        <v>56121757.839999996</v>
      </c>
      <c r="AK72" s="43">
        <v>84747383.159999996</v>
      </c>
      <c r="AL72" s="43">
        <v>140869141</v>
      </c>
      <c r="AM72" s="43">
        <v>257824589</v>
      </c>
      <c r="AN72" s="43">
        <v>248174589</v>
      </c>
      <c r="AO72" s="43">
        <v>65259720.460000001</v>
      </c>
      <c r="AP72" s="43">
        <v>18890247.02</v>
      </c>
      <c r="AQ72" s="43">
        <v>18890247.02</v>
      </c>
      <c r="AR72" s="43">
        <v>132232382.56999999</v>
      </c>
      <c r="AS72" s="30">
        <f>SUBTOTAL(9,AQ72:AR72)</f>
        <v>151122629.59</v>
      </c>
      <c r="AT72" s="43">
        <v>215266400</v>
      </c>
      <c r="AU72" s="43">
        <v>247496456</v>
      </c>
      <c r="AV72" s="43">
        <v>111662763.71000001</v>
      </c>
      <c r="AW72" s="43">
        <v>28950283.620000001</v>
      </c>
      <c r="AX72" s="43">
        <v>28950283.620000001</v>
      </c>
      <c r="AY72" s="23">
        <v>45585212.43</v>
      </c>
      <c r="AZ72" s="23">
        <f>SUBTOTAL(9,AX72:AY72)</f>
        <v>74535496.049999997</v>
      </c>
      <c r="BA72" s="21">
        <f t="shared" si="23"/>
        <v>1544005194</v>
      </c>
      <c r="BB72" s="21">
        <f t="shared" si="24"/>
        <v>1743251917</v>
      </c>
      <c r="BC72" s="21">
        <f t="shared" si="25"/>
        <v>607544523.95999992</v>
      </c>
      <c r="BD72" s="21">
        <f t="shared" si="26"/>
        <v>185102995.74000001</v>
      </c>
      <c r="BE72" s="21">
        <f t="shared" si="27"/>
        <v>185102995.74000001</v>
      </c>
      <c r="BF72" s="21">
        <f t="shared" si="28"/>
        <v>262564978.16</v>
      </c>
      <c r="BG72" s="21">
        <f t="shared" si="29"/>
        <v>447667973.90000004</v>
      </c>
      <c r="BH72" s="49">
        <f t="shared" si="30"/>
        <v>73.684801071381884</v>
      </c>
      <c r="BI72" s="49">
        <f t="shared" si="31"/>
        <v>25.680050572977514</v>
      </c>
    </row>
    <row r="73" spans="1:61" ht="49.95" customHeight="1" x14ac:dyDescent="0.3">
      <c r="A73" s="19" t="s">
        <v>339</v>
      </c>
      <c r="B73" s="19">
        <v>717</v>
      </c>
      <c r="C73" s="2" t="s">
        <v>133</v>
      </c>
      <c r="D73" s="51" t="s">
        <v>260</v>
      </c>
      <c r="E73" s="24">
        <v>500</v>
      </c>
      <c r="F73" s="1" t="s">
        <v>134</v>
      </c>
      <c r="G73" s="24">
        <v>987</v>
      </c>
      <c r="H73" s="68">
        <v>78</v>
      </c>
      <c r="I73" s="68">
        <v>78</v>
      </c>
      <c r="J73" s="32">
        <v>4</v>
      </c>
      <c r="K73" s="59" t="s">
        <v>239</v>
      </c>
      <c r="L73" s="7" t="s">
        <v>634</v>
      </c>
      <c r="M73" s="7" t="s">
        <v>638</v>
      </c>
      <c r="N73" s="7" t="s">
        <v>632</v>
      </c>
      <c r="O73" s="65" t="s">
        <v>458</v>
      </c>
      <c r="P73" s="14">
        <v>110</v>
      </c>
      <c r="Q73" s="6" t="s">
        <v>459</v>
      </c>
      <c r="R73" s="9">
        <v>146000000</v>
      </c>
      <c r="S73" s="10">
        <v>1</v>
      </c>
      <c r="T73" s="10">
        <v>1</v>
      </c>
      <c r="U73" s="4"/>
      <c r="V73" s="4" t="s">
        <v>492</v>
      </c>
      <c r="W73" s="10">
        <v>1</v>
      </c>
      <c r="X73" s="10">
        <v>1</v>
      </c>
      <c r="Y73" s="43">
        <v>345840000</v>
      </c>
      <c r="Z73" s="43">
        <v>489693333</v>
      </c>
      <c r="AA73" s="43">
        <v>264211721</v>
      </c>
      <c r="AB73" s="43">
        <v>34013523.5</v>
      </c>
      <c r="AC73" s="43">
        <v>34013523.5</v>
      </c>
      <c r="AD73" s="43">
        <v>0</v>
      </c>
      <c r="AE73" s="43">
        <v>34013523.5</v>
      </c>
      <c r="AF73" s="43">
        <v>474560000</v>
      </c>
      <c r="AG73" s="43">
        <v>474560000</v>
      </c>
      <c r="AH73" s="43">
        <v>474556232.13999999</v>
      </c>
      <c r="AI73" s="43">
        <v>62835934.299999997</v>
      </c>
      <c r="AJ73" s="43">
        <v>62835934.299999997</v>
      </c>
      <c r="AK73" s="43">
        <v>57274990</v>
      </c>
      <c r="AL73" s="43">
        <v>120110924.3</v>
      </c>
      <c r="AM73" s="43">
        <v>81028000</v>
      </c>
      <c r="AN73" s="43">
        <v>116028000</v>
      </c>
      <c r="AO73" s="43">
        <v>72133754.599999994</v>
      </c>
      <c r="AP73" s="43">
        <v>34456546.270000003</v>
      </c>
      <c r="AQ73" s="43">
        <v>34456546.270000003</v>
      </c>
      <c r="AR73" s="43">
        <v>222429336.62</v>
      </c>
      <c r="AS73" s="43">
        <v>256885882.89000002</v>
      </c>
      <c r="AT73" s="43">
        <v>135900000</v>
      </c>
      <c r="AU73" s="43">
        <v>126320000</v>
      </c>
      <c r="AV73" s="43">
        <v>79305587.159999996</v>
      </c>
      <c r="AW73" s="43">
        <v>74345587.159999996</v>
      </c>
      <c r="AX73" s="43">
        <v>74345587.159999996</v>
      </c>
      <c r="AY73" s="43">
        <v>186298896.44</v>
      </c>
      <c r="AZ73" s="43">
        <v>260644483.59999999</v>
      </c>
      <c r="BA73" s="21">
        <f t="shared" si="23"/>
        <v>1037328000</v>
      </c>
      <c r="BB73" s="21">
        <f t="shared" si="24"/>
        <v>1206601333</v>
      </c>
      <c r="BC73" s="21">
        <f t="shared" si="25"/>
        <v>890207294.89999998</v>
      </c>
      <c r="BD73" s="21">
        <f t="shared" si="26"/>
        <v>205651591.22999999</v>
      </c>
      <c r="BE73" s="21">
        <f t="shared" si="27"/>
        <v>205651591.22999999</v>
      </c>
      <c r="BF73" s="21">
        <f t="shared" si="28"/>
        <v>466003223.06</v>
      </c>
      <c r="BG73" s="21">
        <f t="shared" si="29"/>
        <v>671654814.29000008</v>
      </c>
      <c r="BH73" s="49">
        <f t="shared" si="30"/>
        <v>75.449259755330289</v>
      </c>
      <c r="BI73" s="49">
        <f t="shared" si="31"/>
        <v>55.665015106526496</v>
      </c>
    </row>
    <row r="74" spans="1:61" ht="49.95" customHeight="1" thickBot="1" x14ac:dyDescent="0.35">
      <c r="A74" s="19" t="s">
        <v>340</v>
      </c>
      <c r="B74" s="19">
        <v>717</v>
      </c>
      <c r="C74" s="2" t="s">
        <v>135</v>
      </c>
      <c r="D74" s="6" t="s">
        <v>260</v>
      </c>
      <c r="E74" s="24">
        <v>64</v>
      </c>
      <c r="F74" s="1" t="s">
        <v>136</v>
      </c>
      <c r="G74" s="24">
        <v>28</v>
      </c>
      <c r="H74" s="71">
        <f t="shared" ref="H74:H79" si="32">G74*100/E74</f>
        <v>43.75</v>
      </c>
      <c r="I74" s="71">
        <v>43.75</v>
      </c>
      <c r="J74" s="34">
        <v>2</v>
      </c>
      <c r="K74" s="60" t="s">
        <v>137</v>
      </c>
      <c r="L74" s="7" t="s">
        <v>634</v>
      </c>
      <c r="M74" s="7" t="s">
        <v>643</v>
      </c>
      <c r="N74" s="7" t="s">
        <v>632</v>
      </c>
      <c r="O74" s="66" t="s">
        <v>577</v>
      </c>
      <c r="P74" s="14">
        <v>8</v>
      </c>
      <c r="Q74" s="11" t="s">
        <v>578</v>
      </c>
      <c r="R74" s="9">
        <v>180000000</v>
      </c>
      <c r="S74" s="10">
        <v>1</v>
      </c>
      <c r="T74" s="10">
        <v>4</v>
      </c>
      <c r="U74" s="4"/>
      <c r="V74" s="4">
        <v>8933</v>
      </c>
      <c r="W74" s="10">
        <v>1</v>
      </c>
      <c r="X74" s="10">
        <v>5</v>
      </c>
      <c r="Y74" s="43">
        <v>552072373</v>
      </c>
      <c r="Z74" s="43">
        <v>683739040</v>
      </c>
      <c r="AA74" s="43">
        <v>220445927.91</v>
      </c>
      <c r="AB74" s="43">
        <v>81140707.25999999</v>
      </c>
      <c r="AC74" s="43">
        <v>81140707.25999999</v>
      </c>
      <c r="AD74" s="43">
        <v>0</v>
      </c>
      <c r="AE74" s="43">
        <v>81140707.25999999</v>
      </c>
      <c r="AF74" s="43">
        <v>518841832</v>
      </c>
      <c r="AG74" s="43">
        <v>563841832</v>
      </c>
      <c r="AH74" s="43">
        <v>210176111.88</v>
      </c>
      <c r="AI74" s="43">
        <v>56121757.839999996</v>
      </c>
      <c r="AJ74" s="43">
        <v>56121757.839999996</v>
      </c>
      <c r="AK74" s="43">
        <v>84747383.159999996</v>
      </c>
      <c r="AL74" s="43">
        <v>140869141</v>
      </c>
      <c r="AM74" s="43">
        <v>257824589</v>
      </c>
      <c r="AN74" s="43">
        <v>248174589</v>
      </c>
      <c r="AO74" s="43">
        <v>65259720.460000001</v>
      </c>
      <c r="AP74" s="43">
        <v>18890247.02</v>
      </c>
      <c r="AQ74" s="43">
        <v>18890247.02</v>
      </c>
      <c r="AR74" s="43">
        <v>132232382.56999999</v>
      </c>
      <c r="AS74" s="30">
        <f>SUBTOTAL(9,AQ74:AR74)</f>
        <v>151122629.59</v>
      </c>
      <c r="AT74" s="43">
        <v>215266400</v>
      </c>
      <c r="AU74" s="43">
        <v>247496456</v>
      </c>
      <c r="AV74" s="43">
        <v>111662763.71000001</v>
      </c>
      <c r="AW74" s="43">
        <v>28950283.620000001</v>
      </c>
      <c r="AX74" s="43">
        <v>28950283.620000001</v>
      </c>
      <c r="AY74" s="23">
        <v>45585212.43</v>
      </c>
      <c r="AZ74" s="23">
        <f>SUBTOTAL(9,AX74:AY74)</f>
        <v>74535496.049999997</v>
      </c>
      <c r="BA74" s="21">
        <f t="shared" si="23"/>
        <v>1544005194</v>
      </c>
      <c r="BB74" s="21">
        <f t="shared" si="24"/>
        <v>1743251917</v>
      </c>
      <c r="BC74" s="21">
        <f t="shared" si="25"/>
        <v>607544523.95999992</v>
      </c>
      <c r="BD74" s="21">
        <f t="shared" si="26"/>
        <v>185102995.74000001</v>
      </c>
      <c r="BE74" s="21">
        <f t="shared" si="27"/>
        <v>185102995.74000001</v>
      </c>
      <c r="BF74" s="21">
        <f t="shared" si="28"/>
        <v>262564978.16</v>
      </c>
      <c r="BG74" s="21">
        <f t="shared" si="29"/>
        <v>447667973.90000004</v>
      </c>
      <c r="BH74" s="49">
        <f t="shared" si="30"/>
        <v>73.684801071381884</v>
      </c>
      <c r="BI74" s="49">
        <f t="shared" si="31"/>
        <v>25.680050572977514</v>
      </c>
    </row>
    <row r="75" spans="1:61" ht="49.95" customHeight="1" thickBot="1" x14ac:dyDescent="0.35">
      <c r="A75" s="19" t="s">
        <v>341</v>
      </c>
      <c r="B75" s="19">
        <v>717</v>
      </c>
      <c r="C75" s="2" t="s">
        <v>138</v>
      </c>
      <c r="D75" s="50" t="s">
        <v>264</v>
      </c>
      <c r="E75" s="24">
        <v>40</v>
      </c>
      <c r="F75" s="1" t="s">
        <v>139</v>
      </c>
      <c r="G75" s="24">
        <v>28</v>
      </c>
      <c r="H75" s="71">
        <f t="shared" si="32"/>
        <v>70</v>
      </c>
      <c r="I75" s="72">
        <v>70</v>
      </c>
      <c r="J75" s="35">
        <v>3</v>
      </c>
      <c r="K75" s="56"/>
      <c r="L75" s="7" t="s">
        <v>634</v>
      </c>
      <c r="M75" s="7" t="s">
        <v>638</v>
      </c>
      <c r="N75" s="7" t="s">
        <v>632</v>
      </c>
      <c r="O75" s="66"/>
      <c r="P75" s="14"/>
      <c r="Q75" s="11"/>
      <c r="R75" s="9"/>
      <c r="S75" s="10"/>
      <c r="T75" s="10"/>
      <c r="U75" s="4">
        <v>8933</v>
      </c>
      <c r="V75" s="4">
        <v>8933</v>
      </c>
      <c r="W75" s="10">
        <v>1</v>
      </c>
      <c r="X75" s="10">
        <v>5</v>
      </c>
      <c r="Y75" s="43">
        <v>552072373</v>
      </c>
      <c r="Z75" s="43">
        <v>683739040</v>
      </c>
      <c r="AA75" s="43">
        <v>220445927.91</v>
      </c>
      <c r="AB75" s="43">
        <v>81140707.25999999</v>
      </c>
      <c r="AC75" s="43">
        <v>81140707.25999999</v>
      </c>
      <c r="AD75" s="43">
        <v>0</v>
      </c>
      <c r="AE75" s="43">
        <v>81140707.25999999</v>
      </c>
      <c r="AF75" s="43">
        <v>518841832</v>
      </c>
      <c r="AG75" s="43">
        <v>563841832</v>
      </c>
      <c r="AH75" s="43">
        <v>210176111.88</v>
      </c>
      <c r="AI75" s="43">
        <v>56121757.839999996</v>
      </c>
      <c r="AJ75" s="43">
        <v>56121757.839999996</v>
      </c>
      <c r="AK75" s="43">
        <v>84747383.159999996</v>
      </c>
      <c r="AL75" s="43">
        <v>140869141</v>
      </c>
      <c r="AM75" s="43">
        <v>257824589</v>
      </c>
      <c r="AN75" s="43">
        <v>248174589</v>
      </c>
      <c r="AO75" s="43">
        <v>65259720.460000001</v>
      </c>
      <c r="AP75" s="43">
        <v>18890247.02</v>
      </c>
      <c r="AQ75" s="43">
        <v>18890247.02</v>
      </c>
      <c r="AR75" s="43">
        <v>132232382.56999999</v>
      </c>
      <c r="AS75" s="30">
        <f>SUBTOTAL(9,AQ75:AR75)</f>
        <v>151122629.59</v>
      </c>
      <c r="AT75" s="43">
        <v>215266400</v>
      </c>
      <c r="AU75" s="43">
        <v>247496456</v>
      </c>
      <c r="AV75" s="43">
        <v>111662763.71000001</v>
      </c>
      <c r="AW75" s="43">
        <v>28950283.620000001</v>
      </c>
      <c r="AX75" s="43">
        <v>28950283.620000001</v>
      </c>
      <c r="AY75" s="23">
        <v>45585212.43</v>
      </c>
      <c r="AZ75" s="23">
        <f>SUBTOTAL(9,AX75:AY75)</f>
        <v>74535496.049999997</v>
      </c>
      <c r="BA75" s="21">
        <f t="shared" si="23"/>
        <v>1544005194</v>
      </c>
      <c r="BB75" s="21">
        <f t="shared" si="24"/>
        <v>1743251917</v>
      </c>
      <c r="BC75" s="21">
        <f t="shared" si="25"/>
        <v>607544523.95999992</v>
      </c>
      <c r="BD75" s="21">
        <f t="shared" si="26"/>
        <v>185102995.74000001</v>
      </c>
      <c r="BE75" s="21">
        <f t="shared" si="27"/>
        <v>185102995.74000001</v>
      </c>
      <c r="BF75" s="21">
        <f t="shared" si="28"/>
        <v>262564978.16</v>
      </c>
      <c r="BG75" s="21">
        <f t="shared" si="29"/>
        <v>447667973.90000004</v>
      </c>
      <c r="BH75" s="49">
        <f t="shared" si="30"/>
        <v>73.684801071381884</v>
      </c>
      <c r="BI75" s="49">
        <f t="shared" si="31"/>
        <v>25.680050572977514</v>
      </c>
    </row>
    <row r="76" spans="1:61" ht="49.95" customHeight="1" thickBot="1" x14ac:dyDescent="0.35">
      <c r="A76" s="19" t="s">
        <v>342</v>
      </c>
      <c r="B76" s="19">
        <v>718</v>
      </c>
      <c r="C76" s="2" t="s">
        <v>151</v>
      </c>
      <c r="D76" s="51" t="s">
        <v>260</v>
      </c>
      <c r="E76" s="24">
        <v>640</v>
      </c>
      <c r="F76" s="1" t="s">
        <v>223</v>
      </c>
      <c r="G76" s="24">
        <v>582</v>
      </c>
      <c r="H76" s="71">
        <f t="shared" si="32"/>
        <v>90.9375</v>
      </c>
      <c r="I76" s="72">
        <v>90.9375</v>
      </c>
      <c r="J76" s="35">
        <v>5</v>
      </c>
      <c r="K76" s="59" t="s">
        <v>241</v>
      </c>
      <c r="L76" s="7" t="s">
        <v>634</v>
      </c>
      <c r="M76" s="7" t="s">
        <v>638</v>
      </c>
      <c r="N76" s="7" t="s">
        <v>632</v>
      </c>
      <c r="O76" s="65" t="s">
        <v>498</v>
      </c>
      <c r="P76" s="25">
        <v>120</v>
      </c>
      <c r="Q76" s="6" t="s">
        <v>499</v>
      </c>
      <c r="R76" s="26">
        <v>98000000</v>
      </c>
      <c r="S76" s="17">
        <v>1</v>
      </c>
      <c r="T76" s="17">
        <v>3</v>
      </c>
      <c r="U76" s="4"/>
      <c r="V76" s="4" t="s">
        <v>479</v>
      </c>
      <c r="W76" s="17">
        <v>1</v>
      </c>
      <c r="X76" s="17">
        <v>4</v>
      </c>
      <c r="Y76" s="43">
        <v>188352854</v>
      </c>
      <c r="Z76" s="43">
        <v>120562854</v>
      </c>
      <c r="AA76" s="43">
        <v>63926744.789999999</v>
      </c>
      <c r="AB76" s="43">
        <v>21983507.970000003</v>
      </c>
      <c r="AC76" s="43">
        <v>21983507.970000003</v>
      </c>
      <c r="AD76" s="43">
        <v>0</v>
      </c>
      <c r="AE76" s="43">
        <v>21983507.969999999</v>
      </c>
      <c r="AF76" s="43">
        <v>108778000</v>
      </c>
      <c r="AG76" s="43">
        <v>79119720</v>
      </c>
      <c r="AH76" s="43">
        <v>32174945.740000002</v>
      </c>
      <c r="AI76" s="43">
        <v>27898000</v>
      </c>
      <c r="AJ76" s="43">
        <v>27898000</v>
      </c>
      <c r="AK76" s="43">
        <v>28370692.879999999</v>
      </c>
      <c r="AL76" s="43">
        <v>56268692.879999995</v>
      </c>
      <c r="AM76" s="43">
        <v>122386000</v>
      </c>
      <c r="AN76" s="43">
        <v>91264486</v>
      </c>
      <c r="AO76" s="43">
        <v>64803050.399999991</v>
      </c>
      <c r="AP76" s="43">
        <v>43302350</v>
      </c>
      <c r="AQ76" s="43">
        <v>43302350</v>
      </c>
      <c r="AR76" s="43">
        <v>3973555.7199999997</v>
      </c>
      <c r="AS76" s="43">
        <v>47275905.719999999</v>
      </c>
      <c r="AT76" s="43">
        <v>134818900</v>
      </c>
      <c r="AU76" s="43">
        <v>89160244</v>
      </c>
      <c r="AV76" s="43">
        <v>19786308</v>
      </c>
      <c r="AW76" s="43">
        <v>9369802.1500000004</v>
      </c>
      <c r="AX76" s="43">
        <v>9369802.1500000004</v>
      </c>
      <c r="AY76" s="43">
        <v>2072941.76</v>
      </c>
      <c r="AZ76" s="43">
        <v>11442743.91</v>
      </c>
      <c r="BA76" s="21">
        <f t="shared" si="23"/>
        <v>554335754</v>
      </c>
      <c r="BB76" s="21">
        <f t="shared" si="24"/>
        <v>380107304</v>
      </c>
      <c r="BC76" s="21">
        <f t="shared" si="25"/>
        <v>180691048.93000001</v>
      </c>
      <c r="BD76" s="21">
        <f t="shared" si="26"/>
        <v>102553660.12</v>
      </c>
      <c r="BE76" s="21">
        <f t="shared" si="27"/>
        <v>102553660.12</v>
      </c>
      <c r="BF76" s="21">
        <f t="shared" si="28"/>
        <v>34417190.359999999</v>
      </c>
      <c r="BG76" s="21">
        <f t="shared" si="29"/>
        <v>136970850.47999999</v>
      </c>
      <c r="BH76" s="49">
        <f t="shared" si="30"/>
        <v>75.803893602423386</v>
      </c>
      <c r="BI76" s="49">
        <f t="shared" si="31"/>
        <v>36.034785187921564</v>
      </c>
    </row>
    <row r="77" spans="1:61" ht="49.95" customHeight="1" thickBot="1" x14ac:dyDescent="0.35">
      <c r="A77" s="19" t="s">
        <v>343</v>
      </c>
      <c r="B77" s="19">
        <v>718</v>
      </c>
      <c r="C77" s="2" t="s">
        <v>147</v>
      </c>
      <c r="D77" s="6" t="s">
        <v>260</v>
      </c>
      <c r="E77" s="24">
        <v>179</v>
      </c>
      <c r="F77" s="1" t="s">
        <v>148</v>
      </c>
      <c r="G77" s="24">
        <v>148</v>
      </c>
      <c r="H77" s="71">
        <f t="shared" si="32"/>
        <v>82.681564245810051</v>
      </c>
      <c r="I77" s="72">
        <v>82.681564245810051</v>
      </c>
      <c r="J77" s="35">
        <v>4</v>
      </c>
      <c r="K77" s="56"/>
      <c r="L77" s="7" t="s">
        <v>634</v>
      </c>
      <c r="M77" s="7" t="s">
        <v>638</v>
      </c>
      <c r="N77" s="7" t="s">
        <v>632</v>
      </c>
      <c r="O77" s="65" t="s">
        <v>525</v>
      </c>
      <c r="P77" s="25">
        <v>162</v>
      </c>
      <c r="Q77" s="6" t="s">
        <v>400</v>
      </c>
      <c r="R77" s="26">
        <v>13005000000</v>
      </c>
      <c r="S77" s="17">
        <v>1</v>
      </c>
      <c r="T77" s="17">
        <v>7</v>
      </c>
      <c r="U77" s="4"/>
      <c r="V77" s="4" t="s">
        <v>588</v>
      </c>
      <c r="W77" s="17">
        <v>1</v>
      </c>
      <c r="X77" s="17">
        <v>8</v>
      </c>
      <c r="Y77" s="43">
        <v>8310000000</v>
      </c>
      <c r="Z77" s="43">
        <v>8128167000</v>
      </c>
      <c r="AA77" s="43">
        <v>8128167000</v>
      </c>
      <c r="AB77" s="43">
        <v>8065567432.96</v>
      </c>
      <c r="AC77" s="43">
        <v>8065567432.96</v>
      </c>
      <c r="AD77" s="43">
        <v>0</v>
      </c>
      <c r="AE77" s="43">
        <v>8065567432.96</v>
      </c>
      <c r="AF77" s="43">
        <v>9437758513</v>
      </c>
      <c r="AG77" s="43">
        <v>9097758513</v>
      </c>
      <c r="AH77" s="43">
        <v>9090882507.8299999</v>
      </c>
      <c r="AI77" s="43">
        <v>8799902880.6899986</v>
      </c>
      <c r="AJ77" s="43">
        <v>8799336312.1499996</v>
      </c>
      <c r="AK77" s="43">
        <v>11021735.890000001</v>
      </c>
      <c r="AL77" s="43">
        <v>8810358048.039999</v>
      </c>
      <c r="AM77" s="43">
        <v>11173500000</v>
      </c>
      <c r="AN77" s="43">
        <v>11025043000</v>
      </c>
      <c r="AO77" s="43">
        <v>11017263936.820002</v>
      </c>
      <c r="AP77" s="43">
        <v>10979104161.189999</v>
      </c>
      <c r="AQ77" s="43">
        <v>10977931477.679998</v>
      </c>
      <c r="AR77" s="43">
        <v>285443489.39999998</v>
      </c>
      <c r="AS77" s="43">
        <v>11263374967.079998</v>
      </c>
      <c r="AT77" s="43">
        <v>13005000000</v>
      </c>
      <c r="AU77" s="43">
        <v>12477000000</v>
      </c>
      <c r="AV77" s="43">
        <v>12469221346.609999</v>
      </c>
      <c r="AW77" s="43">
        <v>12340179421.469999</v>
      </c>
      <c r="AX77" s="43">
        <v>12339655066.240002</v>
      </c>
      <c r="AY77" s="43">
        <v>6154583.0899999999</v>
      </c>
      <c r="AZ77" s="43">
        <v>12345809649.330002</v>
      </c>
      <c r="BA77" s="21">
        <f t="shared" si="23"/>
        <v>41926258513</v>
      </c>
      <c r="BB77" s="21">
        <f t="shared" si="24"/>
        <v>40727968513</v>
      </c>
      <c r="BC77" s="21">
        <f t="shared" si="25"/>
        <v>40705534791.260002</v>
      </c>
      <c r="BD77" s="21">
        <f t="shared" si="26"/>
        <v>40184753896.309998</v>
      </c>
      <c r="BE77" s="21">
        <f t="shared" si="27"/>
        <v>40182490289.029999</v>
      </c>
      <c r="BF77" s="21">
        <f t="shared" si="28"/>
        <v>302619808.37999994</v>
      </c>
      <c r="BG77" s="21">
        <f t="shared" si="29"/>
        <v>40485110097.410004</v>
      </c>
      <c r="BH77" s="49">
        <f t="shared" si="30"/>
        <v>99.458489625599213</v>
      </c>
      <c r="BI77" s="49">
        <f t="shared" si="31"/>
        <v>99.40370604167876</v>
      </c>
    </row>
    <row r="78" spans="1:61" ht="49.95" customHeight="1" thickBot="1" x14ac:dyDescent="0.35">
      <c r="A78" s="19" t="s">
        <v>344</v>
      </c>
      <c r="B78" s="19">
        <v>718</v>
      </c>
      <c r="C78" s="2" t="s">
        <v>142</v>
      </c>
      <c r="D78" s="50" t="s">
        <v>264</v>
      </c>
      <c r="E78" s="24">
        <v>175</v>
      </c>
      <c r="F78" s="1" t="s">
        <v>222</v>
      </c>
      <c r="G78" s="24">
        <v>88</v>
      </c>
      <c r="H78" s="71">
        <f t="shared" si="32"/>
        <v>50.285714285714285</v>
      </c>
      <c r="I78" s="72">
        <v>50.285714285714285</v>
      </c>
      <c r="J78" s="35">
        <v>3</v>
      </c>
      <c r="K78" s="57" t="s">
        <v>146</v>
      </c>
      <c r="L78" s="7" t="s">
        <v>634</v>
      </c>
      <c r="M78" s="7" t="s">
        <v>638</v>
      </c>
      <c r="N78" s="7" t="s">
        <v>632</v>
      </c>
      <c r="O78" s="65"/>
      <c r="P78" s="25"/>
      <c r="Q78" s="6"/>
      <c r="R78" s="26"/>
      <c r="S78" s="17"/>
      <c r="T78" s="17"/>
      <c r="U78" s="4" t="s">
        <v>479</v>
      </c>
      <c r="V78" s="4" t="s">
        <v>479</v>
      </c>
      <c r="W78" s="17">
        <v>1</v>
      </c>
      <c r="X78" s="17">
        <v>4</v>
      </c>
      <c r="Y78" s="43">
        <v>188352854</v>
      </c>
      <c r="Z78" s="43">
        <v>120562854</v>
      </c>
      <c r="AA78" s="43">
        <v>63926744.789999999</v>
      </c>
      <c r="AB78" s="43">
        <v>21983507.970000003</v>
      </c>
      <c r="AC78" s="43">
        <v>21983507.970000003</v>
      </c>
      <c r="AD78" s="43">
        <v>0</v>
      </c>
      <c r="AE78" s="43">
        <v>21983507.969999999</v>
      </c>
      <c r="AF78" s="43">
        <v>108778000</v>
      </c>
      <c r="AG78" s="43">
        <v>79119720</v>
      </c>
      <c r="AH78" s="43">
        <v>32174945.740000002</v>
      </c>
      <c r="AI78" s="43">
        <v>27898000</v>
      </c>
      <c r="AJ78" s="43">
        <v>27898000</v>
      </c>
      <c r="AK78" s="43">
        <v>28370692.879999999</v>
      </c>
      <c r="AL78" s="43">
        <v>56268692.879999995</v>
      </c>
      <c r="AM78" s="43">
        <v>122386000</v>
      </c>
      <c r="AN78" s="43">
        <v>91264486</v>
      </c>
      <c r="AO78" s="43">
        <v>64803050.399999991</v>
      </c>
      <c r="AP78" s="43">
        <v>43302350</v>
      </c>
      <c r="AQ78" s="43">
        <v>43302350</v>
      </c>
      <c r="AR78" s="43">
        <v>3973555.72</v>
      </c>
      <c r="AS78" s="43">
        <v>47275905.719999999</v>
      </c>
      <c r="AT78" s="43">
        <v>134818900</v>
      </c>
      <c r="AU78" s="43">
        <v>89160244</v>
      </c>
      <c r="AV78" s="43">
        <v>19786308</v>
      </c>
      <c r="AW78" s="43">
        <v>9369802.1500000004</v>
      </c>
      <c r="AX78" s="43">
        <v>9369802.1500000004</v>
      </c>
      <c r="AY78" s="43">
        <v>2072941.76</v>
      </c>
      <c r="AZ78" s="43">
        <v>11442743.91</v>
      </c>
      <c r="BA78" s="21">
        <f t="shared" si="23"/>
        <v>554335754</v>
      </c>
      <c r="BB78" s="21">
        <f t="shared" si="24"/>
        <v>380107304</v>
      </c>
      <c r="BC78" s="21">
        <f t="shared" si="25"/>
        <v>180691048.93000001</v>
      </c>
      <c r="BD78" s="21">
        <f t="shared" si="26"/>
        <v>102553660.12</v>
      </c>
      <c r="BE78" s="21">
        <f t="shared" si="27"/>
        <v>102553660.12</v>
      </c>
      <c r="BF78" s="21">
        <f t="shared" si="28"/>
        <v>34417190.359999999</v>
      </c>
      <c r="BG78" s="21">
        <f t="shared" si="29"/>
        <v>136970850.47999999</v>
      </c>
      <c r="BH78" s="49">
        <f t="shared" si="30"/>
        <v>75.803893602423386</v>
      </c>
      <c r="BI78" s="49">
        <f t="shared" si="31"/>
        <v>36.034785187921564</v>
      </c>
    </row>
    <row r="79" spans="1:61" ht="49.95" customHeight="1" thickBot="1" x14ac:dyDescent="0.35">
      <c r="A79" s="19" t="s">
        <v>345</v>
      </c>
      <c r="B79" s="19">
        <v>718</v>
      </c>
      <c r="C79" s="2" t="s">
        <v>149</v>
      </c>
      <c r="D79" s="51" t="s">
        <v>260</v>
      </c>
      <c r="E79" s="24">
        <v>3600</v>
      </c>
      <c r="F79" s="1" t="s">
        <v>102</v>
      </c>
      <c r="G79" s="24">
        <v>997</v>
      </c>
      <c r="H79" s="71">
        <f t="shared" si="32"/>
        <v>27.694444444444443</v>
      </c>
      <c r="I79" s="72">
        <v>27.694444444444443</v>
      </c>
      <c r="J79" s="35">
        <v>2</v>
      </c>
      <c r="K79" s="57" t="s">
        <v>150</v>
      </c>
      <c r="L79" s="7" t="s">
        <v>634</v>
      </c>
      <c r="M79" s="7" t="s">
        <v>638</v>
      </c>
      <c r="N79" s="7" t="s">
        <v>632</v>
      </c>
      <c r="O79" s="65" t="s">
        <v>526</v>
      </c>
      <c r="P79" s="25">
        <v>270</v>
      </c>
      <c r="Q79" s="6" t="s">
        <v>448</v>
      </c>
      <c r="R79" s="26">
        <v>400500000</v>
      </c>
      <c r="S79" s="17">
        <v>1</v>
      </c>
      <c r="T79" s="17">
        <v>5</v>
      </c>
      <c r="U79" s="4"/>
      <c r="V79" s="4">
        <v>8535</v>
      </c>
      <c r="W79" s="17">
        <v>1</v>
      </c>
      <c r="X79" s="17">
        <v>6</v>
      </c>
      <c r="Y79" s="43">
        <v>2542726499</v>
      </c>
      <c r="Z79" s="43">
        <v>2768926108</v>
      </c>
      <c r="AA79" s="43">
        <v>831306777.73000002</v>
      </c>
      <c r="AB79" s="43">
        <v>152618740.18000001</v>
      </c>
      <c r="AC79" s="43">
        <v>152618740.18000001</v>
      </c>
      <c r="AD79" s="43">
        <v>0</v>
      </c>
      <c r="AE79" s="43">
        <v>152618740.18000001</v>
      </c>
      <c r="AF79" s="43">
        <v>3285314985</v>
      </c>
      <c r="AG79" s="43">
        <v>3488580983</v>
      </c>
      <c r="AH79" s="43">
        <v>783165908.83000016</v>
      </c>
      <c r="AI79" s="43">
        <v>105476724.09</v>
      </c>
      <c r="AJ79" s="43">
        <v>105476724.09</v>
      </c>
      <c r="AK79" s="43">
        <v>298033318.68000001</v>
      </c>
      <c r="AL79" s="43">
        <v>403510042.76999998</v>
      </c>
      <c r="AM79" s="43">
        <v>3585582157</v>
      </c>
      <c r="AN79" s="43">
        <v>3635668136</v>
      </c>
      <c r="AO79" s="43">
        <v>1343955020.6900003</v>
      </c>
      <c r="AP79" s="43">
        <v>75191321.399999991</v>
      </c>
      <c r="AQ79" s="43">
        <v>75191321.399999991</v>
      </c>
      <c r="AR79" s="43">
        <v>515848558.97999996</v>
      </c>
      <c r="AS79" s="43">
        <v>591039880.38</v>
      </c>
      <c r="AT79" s="43">
        <v>5258849061</v>
      </c>
      <c r="AU79" s="43">
        <v>5352295854</v>
      </c>
      <c r="AV79" s="43">
        <v>1130363498.9800003</v>
      </c>
      <c r="AW79" s="43">
        <v>98527013.539999992</v>
      </c>
      <c r="AX79" s="43">
        <v>96627898.299999997</v>
      </c>
      <c r="AY79" s="43">
        <v>729623418.47000039</v>
      </c>
      <c r="AZ79" s="43">
        <v>826251316.77000046</v>
      </c>
      <c r="BA79" s="21">
        <f t="shared" si="23"/>
        <v>14672472702</v>
      </c>
      <c r="BB79" s="21">
        <f t="shared" si="24"/>
        <v>15245471081</v>
      </c>
      <c r="BC79" s="21">
        <f t="shared" si="25"/>
        <v>4088791206.2300005</v>
      </c>
      <c r="BD79" s="21">
        <f t="shared" si="26"/>
        <v>431813799.21000004</v>
      </c>
      <c r="BE79" s="21">
        <f t="shared" si="27"/>
        <v>429914683.97000003</v>
      </c>
      <c r="BF79" s="21">
        <f t="shared" si="28"/>
        <v>1543505296.1300004</v>
      </c>
      <c r="BG79" s="21">
        <f t="shared" si="29"/>
        <v>1973419980.1000004</v>
      </c>
      <c r="BH79" s="49">
        <f t="shared" si="30"/>
        <v>48.26414166351033</v>
      </c>
      <c r="BI79" s="49">
        <f t="shared" si="31"/>
        <v>12.944303062956303</v>
      </c>
    </row>
    <row r="80" spans="1:61" ht="49.95" customHeight="1" thickBot="1" x14ac:dyDescent="0.35">
      <c r="A80" s="19" t="s">
        <v>346</v>
      </c>
      <c r="B80" s="19">
        <v>718</v>
      </c>
      <c r="C80" s="2" t="s">
        <v>140</v>
      </c>
      <c r="D80" s="51" t="s">
        <v>260</v>
      </c>
      <c r="E80" s="24">
        <v>6186</v>
      </c>
      <c r="F80" s="1" t="s">
        <v>141</v>
      </c>
      <c r="G80" s="24">
        <v>4394</v>
      </c>
      <c r="H80" s="71">
        <v>25</v>
      </c>
      <c r="I80" s="71">
        <v>25</v>
      </c>
      <c r="J80" s="34">
        <v>2</v>
      </c>
      <c r="K80" s="61" t="s">
        <v>240</v>
      </c>
      <c r="L80" s="7" t="s">
        <v>635</v>
      </c>
      <c r="M80" s="7" t="s">
        <v>639</v>
      </c>
      <c r="N80" s="7" t="s">
        <v>632</v>
      </c>
      <c r="O80" s="65" t="s">
        <v>527</v>
      </c>
      <c r="P80" s="25">
        <v>95</v>
      </c>
      <c r="Q80" s="27" t="s">
        <v>579</v>
      </c>
      <c r="R80" s="26">
        <v>24300000</v>
      </c>
      <c r="S80" s="17">
        <v>1</v>
      </c>
      <c r="T80" s="17">
        <v>1</v>
      </c>
      <c r="U80" s="4"/>
      <c r="V80" s="4" t="s">
        <v>493</v>
      </c>
      <c r="W80" s="17">
        <v>1</v>
      </c>
      <c r="X80" s="17">
        <v>1</v>
      </c>
      <c r="Y80" s="43">
        <v>18600000</v>
      </c>
      <c r="Z80" s="43">
        <v>18600000</v>
      </c>
      <c r="AA80" s="43">
        <v>18522704</v>
      </c>
      <c r="AB80" s="43">
        <v>15712082.66</v>
      </c>
      <c r="AC80" s="43">
        <v>15712082.66</v>
      </c>
      <c r="AD80" s="43">
        <v>0</v>
      </c>
      <c r="AE80" s="43">
        <v>15712082.66</v>
      </c>
      <c r="AF80" s="43">
        <v>19530000</v>
      </c>
      <c r="AG80" s="43">
        <v>19530000</v>
      </c>
      <c r="AH80" s="43">
        <v>19530000</v>
      </c>
      <c r="AI80" s="43">
        <v>18433848.48</v>
      </c>
      <c r="AJ80" s="43">
        <v>18433848.48</v>
      </c>
      <c r="AK80" s="43">
        <v>19160.68</v>
      </c>
      <c r="AL80" s="43">
        <v>18453009.16</v>
      </c>
      <c r="AM80" s="43">
        <v>23500000</v>
      </c>
      <c r="AN80" s="43">
        <v>22100000</v>
      </c>
      <c r="AO80" s="43">
        <v>21416661</v>
      </c>
      <c r="AP80" s="43">
        <v>21375865.719999999</v>
      </c>
      <c r="AQ80" s="43">
        <v>21375865.719999999</v>
      </c>
      <c r="AR80" s="43">
        <v>13090</v>
      </c>
      <c r="AS80" s="43">
        <v>21388955.719999999</v>
      </c>
      <c r="AT80" s="43">
        <v>24300000</v>
      </c>
      <c r="AU80" s="43">
        <v>24300000</v>
      </c>
      <c r="AV80" s="43">
        <v>21790483.920000002</v>
      </c>
      <c r="AW80" s="43">
        <v>21749106.629999999</v>
      </c>
      <c r="AX80" s="43">
        <v>21749106.629999999</v>
      </c>
      <c r="AY80" s="43">
        <v>40795.279999999999</v>
      </c>
      <c r="AZ80" s="43">
        <v>21789901.91</v>
      </c>
      <c r="BA80" s="21">
        <f t="shared" si="23"/>
        <v>85930000</v>
      </c>
      <c r="BB80" s="21">
        <f t="shared" si="24"/>
        <v>84530000</v>
      </c>
      <c r="BC80" s="21">
        <f t="shared" si="25"/>
        <v>81259848.920000002</v>
      </c>
      <c r="BD80" s="21">
        <f t="shared" si="26"/>
        <v>77270903.489999995</v>
      </c>
      <c r="BE80" s="21">
        <f t="shared" si="27"/>
        <v>77270903.489999995</v>
      </c>
      <c r="BF80" s="21">
        <f t="shared" si="28"/>
        <v>73045.959999999992</v>
      </c>
      <c r="BG80" s="21">
        <f t="shared" si="29"/>
        <v>77343949.450000003</v>
      </c>
      <c r="BH80" s="49">
        <f t="shared" si="30"/>
        <v>95.181015566672798</v>
      </c>
      <c r="BI80" s="49">
        <f t="shared" si="31"/>
        <v>91.498816337395013</v>
      </c>
    </row>
    <row r="81" spans="1:61" ht="49.95" customHeight="1" x14ac:dyDescent="0.3">
      <c r="A81" s="19" t="s">
        <v>347</v>
      </c>
      <c r="B81" s="19">
        <v>718</v>
      </c>
      <c r="C81" s="2" t="s">
        <v>143</v>
      </c>
      <c r="D81" s="50" t="s">
        <v>265</v>
      </c>
      <c r="E81" s="24">
        <v>188</v>
      </c>
      <c r="F81" s="1" t="s">
        <v>224</v>
      </c>
      <c r="G81" s="24">
        <v>31</v>
      </c>
      <c r="H81" s="73">
        <f t="shared" ref="H81:H88" si="33">G81*100/E81</f>
        <v>16.48936170212766</v>
      </c>
      <c r="I81" s="69">
        <v>16.48936170212766</v>
      </c>
      <c r="J81" s="52">
        <v>1</v>
      </c>
      <c r="K81" s="57" t="s">
        <v>146</v>
      </c>
      <c r="L81" s="7" t="s">
        <v>634</v>
      </c>
      <c r="M81" s="7" t="s">
        <v>638</v>
      </c>
      <c r="N81" s="7" t="s">
        <v>632</v>
      </c>
      <c r="O81" s="67" t="s">
        <v>501</v>
      </c>
      <c r="P81" s="25">
        <v>70</v>
      </c>
      <c r="Q81" s="6" t="s">
        <v>499</v>
      </c>
      <c r="R81" s="26">
        <v>98000000</v>
      </c>
      <c r="S81" s="17">
        <v>1</v>
      </c>
      <c r="T81" s="17">
        <v>3</v>
      </c>
      <c r="U81" s="4"/>
      <c r="V81" s="4" t="s">
        <v>479</v>
      </c>
      <c r="W81" s="17">
        <v>1</v>
      </c>
      <c r="X81" s="17">
        <v>4</v>
      </c>
      <c r="Y81" s="43">
        <v>188352854</v>
      </c>
      <c r="Z81" s="43">
        <v>120562854</v>
      </c>
      <c r="AA81" s="43">
        <v>63926744.789999999</v>
      </c>
      <c r="AB81" s="43">
        <v>21983507.970000003</v>
      </c>
      <c r="AC81" s="43">
        <v>21983507.970000003</v>
      </c>
      <c r="AD81" s="43">
        <v>0</v>
      </c>
      <c r="AE81" s="43">
        <v>21983507.969999999</v>
      </c>
      <c r="AF81" s="43">
        <v>108778000</v>
      </c>
      <c r="AG81" s="43">
        <v>79119720</v>
      </c>
      <c r="AH81" s="43">
        <v>32174945.740000002</v>
      </c>
      <c r="AI81" s="43">
        <v>27898000</v>
      </c>
      <c r="AJ81" s="43">
        <v>27898000</v>
      </c>
      <c r="AK81" s="43">
        <v>28370692.879999999</v>
      </c>
      <c r="AL81" s="43">
        <v>56268692.879999995</v>
      </c>
      <c r="AM81" s="43">
        <v>122386000</v>
      </c>
      <c r="AN81" s="43">
        <v>91264486</v>
      </c>
      <c r="AO81" s="43">
        <v>64803050.399999991</v>
      </c>
      <c r="AP81" s="43">
        <v>43302350</v>
      </c>
      <c r="AQ81" s="43">
        <v>43302350</v>
      </c>
      <c r="AR81" s="43">
        <v>3973555.7199999997</v>
      </c>
      <c r="AS81" s="43">
        <v>47275905.719999999</v>
      </c>
      <c r="AT81" s="43">
        <v>134818900</v>
      </c>
      <c r="AU81" s="43">
        <v>89160244</v>
      </c>
      <c r="AV81" s="43">
        <v>19786308</v>
      </c>
      <c r="AW81" s="43">
        <v>9369802.1500000004</v>
      </c>
      <c r="AX81" s="43">
        <v>9369802.1500000004</v>
      </c>
      <c r="AY81" s="43">
        <v>2072941.76</v>
      </c>
      <c r="AZ81" s="43">
        <v>11442743.91</v>
      </c>
      <c r="BA81" s="21">
        <f t="shared" si="23"/>
        <v>554335754</v>
      </c>
      <c r="BB81" s="21">
        <f t="shared" si="24"/>
        <v>380107304</v>
      </c>
      <c r="BC81" s="21">
        <f t="shared" si="25"/>
        <v>180691048.93000001</v>
      </c>
      <c r="BD81" s="21">
        <f t="shared" si="26"/>
        <v>102553660.12</v>
      </c>
      <c r="BE81" s="21">
        <f t="shared" si="27"/>
        <v>102553660.12</v>
      </c>
      <c r="BF81" s="21">
        <f t="shared" si="28"/>
        <v>34417190.359999999</v>
      </c>
      <c r="BG81" s="21">
        <f t="shared" si="29"/>
        <v>136970850.47999999</v>
      </c>
      <c r="BH81" s="49">
        <f t="shared" si="30"/>
        <v>75.803893602423386</v>
      </c>
      <c r="BI81" s="49">
        <f t="shared" si="31"/>
        <v>36.034785187921564</v>
      </c>
    </row>
    <row r="82" spans="1:61" ht="49.95" customHeight="1" x14ac:dyDescent="0.3">
      <c r="A82" s="19" t="s">
        <v>348</v>
      </c>
      <c r="B82" s="19">
        <v>718</v>
      </c>
      <c r="C82" s="2" t="s">
        <v>144</v>
      </c>
      <c r="D82" s="50" t="s">
        <v>265</v>
      </c>
      <c r="E82" s="24">
        <v>430</v>
      </c>
      <c r="F82" s="1" t="s">
        <v>145</v>
      </c>
      <c r="G82" s="24">
        <v>38</v>
      </c>
      <c r="H82" s="73">
        <f t="shared" si="33"/>
        <v>8.8372093023255811</v>
      </c>
      <c r="I82" s="69">
        <v>8.8372093023255811</v>
      </c>
      <c r="J82" s="52">
        <v>1</v>
      </c>
      <c r="K82" s="57" t="s">
        <v>146</v>
      </c>
      <c r="L82" s="7" t="s">
        <v>634</v>
      </c>
      <c r="M82" s="7" t="s">
        <v>638</v>
      </c>
      <c r="N82" s="7" t="s">
        <v>632</v>
      </c>
      <c r="O82" s="67"/>
      <c r="P82" s="25"/>
      <c r="Q82" s="8" t="s">
        <v>499</v>
      </c>
      <c r="R82" s="26"/>
      <c r="S82" s="17">
        <v>1</v>
      </c>
      <c r="T82" s="17">
        <v>3</v>
      </c>
      <c r="U82" s="4" t="s">
        <v>485</v>
      </c>
      <c r="V82" s="4" t="s">
        <v>479</v>
      </c>
      <c r="W82" s="17">
        <v>1</v>
      </c>
      <c r="X82" s="17">
        <v>4</v>
      </c>
      <c r="Y82" s="43">
        <v>188352854</v>
      </c>
      <c r="Z82" s="43">
        <v>120562854</v>
      </c>
      <c r="AA82" s="43">
        <v>63926744.789999999</v>
      </c>
      <c r="AB82" s="43">
        <v>21983507.970000003</v>
      </c>
      <c r="AC82" s="43">
        <v>21983507.970000003</v>
      </c>
      <c r="AD82" s="43">
        <v>0</v>
      </c>
      <c r="AE82" s="43">
        <v>21983507.969999999</v>
      </c>
      <c r="AF82" s="43">
        <v>108778000</v>
      </c>
      <c r="AG82" s="43">
        <v>79119720</v>
      </c>
      <c r="AH82" s="43">
        <v>32174945.740000002</v>
      </c>
      <c r="AI82" s="43">
        <v>27898000</v>
      </c>
      <c r="AJ82" s="43">
        <v>27898000</v>
      </c>
      <c r="AK82" s="43">
        <v>28370692.879999999</v>
      </c>
      <c r="AL82" s="43">
        <v>56268692.879999995</v>
      </c>
      <c r="AM82" s="43">
        <v>122386000</v>
      </c>
      <c r="AN82" s="43">
        <v>91264486</v>
      </c>
      <c r="AO82" s="43">
        <v>64803050.399999991</v>
      </c>
      <c r="AP82" s="43">
        <v>43302350</v>
      </c>
      <c r="AQ82" s="43">
        <v>43302350</v>
      </c>
      <c r="AR82" s="43">
        <v>3973555.7199999997</v>
      </c>
      <c r="AS82" s="43">
        <v>47275905.719999999</v>
      </c>
      <c r="AT82" s="43">
        <v>134818900</v>
      </c>
      <c r="AU82" s="43">
        <v>89160244</v>
      </c>
      <c r="AV82" s="43">
        <v>19786308</v>
      </c>
      <c r="AW82" s="43">
        <v>9369802.1500000004</v>
      </c>
      <c r="AX82" s="43">
        <v>9369802.1500000004</v>
      </c>
      <c r="AY82" s="43">
        <v>2072941.76</v>
      </c>
      <c r="AZ82" s="43">
        <v>11442743.91</v>
      </c>
      <c r="BA82" s="21">
        <f t="shared" si="23"/>
        <v>554335754</v>
      </c>
      <c r="BB82" s="21">
        <f t="shared" si="24"/>
        <v>380107304</v>
      </c>
      <c r="BC82" s="21">
        <f t="shared" si="25"/>
        <v>180691048.93000001</v>
      </c>
      <c r="BD82" s="21">
        <f t="shared" si="26"/>
        <v>102553660.12</v>
      </c>
      <c r="BE82" s="21">
        <f t="shared" si="27"/>
        <v>102553660.12</v>
      </c>
      <c r="BF82" s="21">
        <f t="shared" si="28"/>
        <v>34417190.359999999</v>
      </c>
      <c r="BG82" s="21">
        <f t="shared" si="29"/>
        <v>136970850.47999999</v>
      </c>
      <c r="BH82" s="49">
        <f t="shared" si="30"/>
        <v>75.803893602423386</v>
      </c>
      <c r="BI82" s="49">
        <f t="shared" si="31"/>
        <v>36.034785187921564</v>
      </c>
    </row>
    <row r="83" spans="1:61" ht="49.95" customHeight="1" x14ac:dyDescent="0.3">
      <c r="A83" s="19" t="s">
        <v>349</v>
      </c>
      <c r="B83" s="19">
        <v>719</v>
      </c>
      <c r="C83" s="2" t="s">
        <v>152</v>
      </c>
      <c r="D83" s="6" t="s">
        <v>260</v>
      </c>
      <c r="E83" s="24">
        <v>45</v>
      </c>
      <c r="F83" s="1" t="s">
        <v>220</v>
      </c>
      <c r="G83" s="24">
        <v>135</v>
      </c>
      <c r="H83" s="74">
        <f t="shared" si="33"/>
        <v>300</v>
      </c>
      <c r="I83" s="68">
        <v>100</v>
      </c>
      <c r="J83" s="36">
        <v>5</v>
      </c>
      <c r="K83" s="56"/>
      <c r="L83" s="7" t="s">
        <v>634</v>
      </c>
      <c r="M83" s="7" t="s">
        <v>638</v>
      </c>
      <c r="N83" s="7" t="s">
        <v>632</v>
      </c>
      <c r="O83" s="65" t="s">
        <v>528</v>
      </c>
      <c r="P83" s="8" t="s">
        <v>394</v>
      </c>
      <c r="Q83" s="8" t="s">
        <v>448</v>
      </c>
      <c r="R83" s="9">
        <v>400500000</v>
      </c>
      <c r="S83" s="10">
        <v>1</v>
      </c>
      <c r="T83" s="10">
        <v>5</v>
      </c>
      <c r="U83" s="4"/>
      <c r="V83" s="4">
        <v>8535</v>
      </c>
      <c r="W83" s="10">
        <v>1</v>
      </c>
      <c r="X83" s="10">
        <v>6</v>
      </c>
      <c r="Y83" s="43">
        <v>2542726499</v>
      </c>
      <c r="Z83" s="43">
        <v>2768926108</v>
      </c>
      <c r="AA83" s="43">
        <v>831306777.73000002</v>
      </c>
      <c r="AB83" s="43">
        <v>152618740.18000001</v>
      </c>
      <c r="AC83" s="43">
        <v>152618740.18000001</v>
      </c>
      <c r="AD83" s="43">
        <v>0</v>
      </c>
      <c r="AE83" s="43">
        <v>152618740.18000001</v>
      </c>
      <c r="AF83" s="43">
        <v>3285314985</v>
      </c>
      <c r="AG83" s="43">
        <v>3488580983</v>
      </c>
      <c r="AH83" s="43">
        <v>783165908.83000016</v>
      </c>
      <c r="AI83" s="43">
        <v>105476724.09</v>
      </c>
      <c r="AJ83" s="43">
        <v>105476724.09</v>
      </c>
      <c r="AK83" s="43">
        <v>298033318.68000001</v>
      </c>
      <c r="AL83" s="43">
        <v>403510042.76999998</v>
      </c>
      <c r="AM83" s="43">
        <v>3585582157</v>
      </c>
      <c r="AN83" s="43">
        <v>3635668136</v>
      </c>
      <c r="AO83" s="43">
        <v>1343955020.6900003</v>
      </c>
      <c r="AP83" s="43">
        <v>75191321.399999991</v>
      </c>
      <c r="AQ83" s="43">
        <v>75191321.399999991</v>
      </c>
      <c r="AR83" s="43">
        <v>515848558.97999996</v>
      </c>
      <c r="AS83" s="43">
        <v>591039880.38</v>
      </c>
      <c r="AT83" s="43">
        <v>5258849061</v>
      </c>
      <c r="AU83" s="43">
        <v>5352295854</v>
      </c>
      <c r="AV83" s="43">
        <v>1130363498.9800003</v>
      </c>
      <c r="AW83" s="43">
        <v>98527013.539999992</v>
      </c>
      <c r="AX83" s="43">
        <v>96627898.299999997</v>
      </c>
      <c r="AY83" s="43">
        <v>729623418.47000039</v>
      </c>
      <c r="AZ83" s="43">
        <v>826251316.77000046</v>
      </c>
      <c r="BA83" s="21">
        <f t="shared" si="23"/>
        <v>14672472702</v>
      </c>
      <c r="BB83" s="21">
        <f t="shared" si="24"/>
        <v>15245471081</v>
      </c>
      <c r="BC83" s="21">
        <f t="shared" si="25"/>
        <v>4088791206.2300005</v>
      </c>
      <c r="BD83" s="21">
        <f t="shared" si="26"/>
        <v>431813799.21000004</v>
      </c>
      <c r="BE83" s="21">
        <f t="shared" si="27"/>
        <v>429914683.97000003</v>
      </c>
      <c r="BF83" s="21">
        <f t="shared" si="28"/>
        <v>1543505296.1300004</v>
      </c>
      <c r="BG83" s="21">
        <f t="shared" si="29"/>
        <v>1973419980.1000004</v>
      </c>
      <c r="BH83" s="49">
        <f t="shared" si="30"/>
        <v>48.26414166351033</v>
      </c>
      <c r="BI83" s="49">
        <f t="shared" si="31"/>
        <v>12.944303062956303</v>
      </c>
    </row>
    <row r="84" spans="1:61" ht="49.95" customHeight="1" x14ac:dyDescent="0.3">
      <c r="A84" s="19" t="s">
        <v>350</v>
      </c>
      <c r="B84" s="19">
        <v>719</v>
      </c>
      <c r="C84" s="2" t="s">
        <v>266</v>
      </c>
      <c r="D84" s="6" t="s">
        <v>260</v>
      </c>
      <c r="E84" s="24">
        <v>5500</v>
      </c>
      <c r="F84" s="1" t="s">
        <v>153</v>
      </c>
      <c r="G84" s="24">
        <v>5578</v>
      </c>
      <c r="H84" s="74">
        <f t="shared" si="33"/>
        <v>101.41818181818182</v>
      </c>
      <c r="I84" s="74">
        <v>100</v>
      </c>
      <c r="J84" s="36">
        <v>5</v>
      </c>
      <c r="K84" s="56"/>
      <c r="L84" s="7" t="s">
        <v>631</v>
      </c>
      <c r="M84" s="7" t="s">
        <v>641</v>
      </c>
      <c r="N84" s="7" t="s">
        <v>632</v>
      </c>
      <c r="O84" s="65" t="s">
        <v>497</v>
      </c>
      <c r="P84" s="16">
        <v>1000</v>
      </c>
      <c r="Q84" s="8" t="s">
        <v>496</v>
      </c>
      <c r="R84" s="9">
        <v>10000000</v>
      </c>
      <c r="S84" s="10">
        <v>1</v>
      </c>
      <c r="T84" s="10">
        <v>2</v>
      </c>
      <c r="U84" s="4"/>
      <c r="V84" s="4">
        <v>6178</v>
      </c>
      <c r="W84" s="10">
        <v>1</v>
      </c>
      <c r="X84" s="10">
        <v>2</v>
      </c>
      <c r="Y84" s="43">
        <v>10000000</v>
      </c>
      <c r="Z84" s="43">
        <v>10000000</v>
      </c>
      <c r="AA84" s="43">
        <v>9235530.9900000002</v>
      </c>
      <c r="AB84" s="43">
        <v>2699937.45</v>
      </c>
      <c r="AC84" s="43">
        <v>2699937.45</v>
      </c>
      <c r="AD84" s="43">
        <v>0</v>
      </c>
      <c r="AE84" s="43">
        <v>2699937.45</v>
      </c>
      <c r="AF84" s="43">
        <v>10000000</v>
      </c>
      <c r="AG84" s="43">
        <v>10000000</v>
      </c>
      <c r="AH84" s="43">
        <v>5634848</v>
      </c>
      <c r="AI84" s="43">
        <v>0</v>
      </c>
      <c r="AJ84" s="43">
        <v>0</v>
      </c>
      <c r="AK84" s="43">
        <v>4786244.54</v>
      </c>
      <c r="AL84" s="43">
        <v>4786244.54</v>
      </c>
      <c r="AM84" s="43">
        <v>10300000</v>
      </c>
      <c r="AN84" s="43">
        <v>7300000</v>
      </c>
      <c r="AO84" s="43">
        <v>7299999.8300000001</v>
      </c>
      <c r="AP84" s="43">
        <v>989667.17</v>
      </c>
      <c r="AQ84" s="43">
        <v>989667.17</v>
      </c>
      <c r="AR84" s="43">
        <v>4877257.3099999996</v>
      </c>
      <c r="AS84" s="43">
        <v>5866924.4799999995</v>
      </c>
      <c r="AT84" s="24">
        <v>10000000</v>
      </c>
      <c r="AU84" s="24">
        <v>10000000</v>
      </c>
      <c r="AV84" s="24">
        <v>425000</v>
      </c>
      <c r="AW84" s="24">
        <v>0</v>
      </c>
      <c r="AX84" s="24">
        <v>0</v>
      </c>
      <c r="AY84" s="43">
        <v>4325301.08</v>
      </c>
      <c r="AZ84" s="43">
        <v>4325301.08</v>
      </c>
      <c r="BA84" s="21">
        <f t="shared" si="23"/>
        <v>40300000</v>
      </c>
      <c r="BB84" s="21">
        <f t="shared" si="24"/>
        <v>37300000</v>
      </c>
      <c r="BC84" s="21">
        <f t="shared" si="25"/>
        <v>22595378.82</v>
      </c>
      <c r="BD84" s="21">
        <f t="shared" si="26"/>
        <v>3689604.62</v>
      </c>
      <c r="BE84" s="21">
        <f t="shared" si="27"/>
        <v>3689604.62</v>
      </c>
      <c r="BF84" s="21">
        <f t="shared" si="28"/>
        <v>13988802.93</v>
      </c>
      <c r="BG84" s="21">
        <f t="shared" si="29"/>
        <v>17678407.549999997</v>
      </c>
      <c r="BH84" s="49">
        <f t="shared" si="30"/>
        <v>78.239040340196425</v>
      </c>
      <c r="BI84" s="49">
        <f t="shared" si="31"/>
        <v>47.39519450402144</v>
      </c>
    </row>
    <row r="85" spans="1:61" ht="49.95" customHeight="1" x14ac:dyDescent="0.3">
      <c r="A85" s="19" t="s">
        <v>351</v>
      </c>
      <c r="B85" s="19">
        <v>719</v>
      </c>
      <c r="C85" s="2" t="s">
        <v>154</v>
      </c>
      <c r="D85" s="6" t="s">
        <v>260</v>
      </c>
      <c r="E85" s="24">
        <v>19</v>
      </c>
      <c r="F85" s="1" t="s">
        <v>155</v>
      </c>
      <c r="G85" s="24">
        <v>24</v>
      </c>
      <c r="H85" s="74">
        <f t="shared" si="33"/>
        <v>126.31578947368421</v>
      </c>
      <c r="I85" s="68">
        <v>100</v>
      </c>
      <c r="J85" s="36">
        <v>5</v>
      </c>
      <c r="K85" s="57" t="s">
        <v>156</v>
      </c>
      <c r="L85" s="7" t="s">
        <v>634</v>
      </c>
      <c r="M85" s="7" t="s">
        <v>638</v>
      </c>
      <c r="N85" s="7" t="s">
        <v>632</v>
      </c>
      <c r="O85" s="65" t="s">
        <v>529</v>
      </c>
      <c r="P85" s="8" t="s">
        <v>394</v>
      </c>
      <c r="Q85" s="8" t="s">
        <v>448</v>
      </c>
      <c r="R85" s="9">
        <v>400500000</v>
      </c>
      <c r="S85" s="10">
        <v>1</v>
      </c>
      <c r="T85" s="10">
        <v>5</v>
      </c>
      <c r="U85" s="4"/>
      <c r="V85" s="4">
        <v>8535</v>
      </c>
      <c r="W85" s="10">
        <v>1</v>
      </c>
      <c r="X85" s="10">
        <v>6</v>
      </c>
      <c r="Y85" s="43">
        <v>2542726499</v>
      </c>
      <c r="Z85" s="43">
        <v>2768926108</v>
      </c>
      <c r="AA85" s="43">
        <v>831306777.73000002</v>
      </c>
      <c r="AB85" s="43">
        <v>152618740.18000001</v>
      </c>
      <c r="AC85" s="43">
        <v>152618740.18000001</v>
      </c>
      <c r="AD85" s="43">
        <v>0</v>
      </c>
      <c r="AE85" s="43">
        <v>152618740.18000001</v>
      </c>
      <c r="AF85" s="43">
        <v>3285314985</v>
      </c>
      <c r="AG85" s="43">
        <v>3488580983</v>
      </c>
      <c r="AH85" s="43">
        <v>783165908.83000016</v>
      </c>
      <c r="AI85" s="43">
        <v>105476724.09</v>
      </c>
      <c r="AJ85" s="43">
        <v>105476724.09</v>
      </c>
      <c r="AK85" s="43">
        <v>298033318.68000001</v>
      </c>
      <c r="AL85" s="43">
        <v>403510042.76999998</v>
      </c>
      <c r="AM85" s="43">
        <v>3585582157</v>
      </c>
      <c r="AN85" s="43">
        <v>3635668136</v>
      </c>
      <c r="AO85" s="43">
        <v>1343955020.6900003</v>
      </c>
      <c r="AP85" s="43">
        <v>75191321.399999991</v>
      </c>
      <c r="AQ85" s="43">
        <v>75191321.399999991</v>
      </c>
      <c r="AR85" s="43">
        <v>515848558.97999996</v>
      </c>
      <c r="AS85" s="43">
        <v>591039880.38</v>
      </c>
      <c r="AT85" s="43">
        <v>5258849061</v>
      </c>
      <c r="AU85" s="43">
        <v>5352295854</v>
      </c>
      <c r="AV85" s="43">
        <v>1130363498.9800003</v>
      </c>
      <c r="AW85" s="43">
        <v>98527013.539999992</v>
      </c>
      <c r="AX85" s="43">
        <v>96627898.299999997</v>
      </c>
      <c r="AY85" s="43">
        <v>729623418.47000039</v>
      </c>
      <c r="AZ85" s="43">
        <v>826251316.77000046</v>
      </c>
      <c r="BA85" s="21">
        <f t="shared" si="23"/>
        <v>14672472702</v>
      </c>
      <c r="BB85" s="21">
        <f t="shared" si="24"/>
        <v>15245471081</v>
      </c>
      <c r="BC85" s="21">
        <f t="shared" si="25"/>
        <v>4088791206.2300005</v>
      </c>
      <c r="BD85" s="21">
        <f t="shared" si="26"/>
        <v>431813799.21000004</v>
      </c>
      <c r="BE85" s="21">
        <f t="shared" si="27"/>
        <v>429914683.97000003</v>
      </c>
      <c r="BF85" s="21">
        <f t="shared" si="28"/>
        <v>1543505296.1300004</v>
      </c>
      <c r="BG85" s="21">
        <f t="shared" si="29"/>
        <v>1973419980.1000004</v>
      </c>
      <c r="BH85" s="49">
        <f t="shared" si="30"/>
        <v>48.26414166351033</v>
      </c>
      <c r="BI85" s="49">
        <f t="shared" si="31"/>
        <v>12.944303062956303</v>
      </c>
    </row>
    <row r="86" spans="1:61" ht="49.95" customHeight="1" x14ac:dyDescent="0.3">
      <c r="A86" s="19" t="s">
        <v>352</v>
      </c>
      <c r="B86" s="19">
        <v>719</v>
      </c>
      <c r="C86" s="2" t="s">
        <v>157</v>
      </c>
      <c r="D86" s="51" t="s">
        <v>260</v>
      </c>
      <c r="E86" s="24">
        <v>27</v>
      </c>
      <c r="F86" s="1" t="s">
        <v>42</v>
      </c>
      <c r="G86" s="24">
        <v>27</v>
      </c>
      <c r="H86" s="74">
        <f t="shared" si="33"/>
        <v>100</v>
      </c>
      <c r="I86" s="74">
        <v>100</v>
      </c>
      <c r="J86" s="36">
        <v>5</v>
      </c>
      <c r="K86" s="56"/>
      <c r="L86" s="7" t="s">
        <v>631</v>
      </c>
      <c r="M86" s="7" t="s">
        <v>644</v>
      </c>
      <c r="N86" s="7" t="s">
        <v>632</v>
      </c>
      <c r="O86" s="65" t="s">
        <v>530</v>
      </c>
      <c r="P86" s="8" t="s">
        <v>394</v>
      </c>
      <c r="Q86" s="8" t="s">
        <v>416</v>
      </c>
      <c r="R86" s="9">
        <v>196000000</v>
      </c>
      <c r="S86" s="10">
        <v>1</v>
      </c>
      <c r="T86" s="10">
        <v>8</v>
      </c>
      <c r="U86" s="4"/>
      <c r="V86" s="4" t="s">
        <v>589</v>
      </c>
      <c r="W86" s="10">
        <v>1</v>
      </c>
      <c r="X86" s="10">
        <v>8</v>
      </c>
      <c r="Y86" s="43">
        <v>196000000</v>
      </c>
      <c r="Z86" s="43">
        <v>222866664</v>
      </c>
      <c r="AA86" s="43">
        <v>88747112.280000001</v>
      </c>
      <c r="AB86" s="43">
        <v>9411417.6999999993</v>
      </c>
      <c r="AC86" s="43">
        <v>9411417.6999999993</v>
      </c>
      <c r="AD86" s="43">
        <v>0</v>
      </c>
      <c r="AE86" s="43">
        <v>9411417.6999999993</v>
      </c>
      <c r="AF86" s="43">
        <v>216400000</v>
      </c>
      <c r="AG86" s="43">
        <v>234600000</v>
      </c>
      <c r="AH86" s="43">
        <v>79207398.239999995</v>
      </c>
      <c r="AI86" s="43">
        <v>17662899.919999998</v>
      </c>
      <c r="AJ86" s="43">
        <v>15701290.410000002</v>
      </c>
      <c r="AK86" s="43">
        <v>14058075.390000001</v>
      </c>
      <c r="AL86" s="43">
        <v>29759365.800000001</v>
      </c>
      <c r="AM86" s="43">
        <v>195556400</v>
      </c>
      <c r="AN86" s="43">
        <v>160056400</v>
      </c>
      <c r="AO86" s="43">
        <v>117375801.29000001</v>
      </c>
      <c r="AP86" s="43">
        <v>44610949.189999998</v>
      </c>
      <c r="AQ86" s="43">
        <v>44610949.189999998</v>
      </c>
      <c r="AR86" s="43">
        <v>37846042.390000001</v>
      </c>
      <c r="AS86" s="43">
        <v>82456991.579999998</v>
      </c>
      <c r="AT86" s="43">
        <v>172400000</v>
      </c>
      <c r="AU86" s="43">
        <v>172400000</v>
      </c>
      <c r="AV86" s="43">
        <v>31782501.879999999</v>
      </c>
      <c r="AW86" s="43">
        <v>21730545.979999997</v>
      </c>
      <c r="AX86" s="43">
        <v>21311309.079999998</v>
      </c>
      <c r="AY86" s="43">
        <v>46748368.219999999</v>
      </c>
      <c r="AZ86" s="43">
        <v>68059677.299999997</v>
      </c>
      <c r="BA86" s="21">
        <f t="shared" si="23"/>
        <v>780356400</v>
      </c>
      <c r="BB86" s="21">
        <f t="shared" si="24"/>
        <v>789923064</v>
      </c>
      <c r="BC86" s="21">
        <f t="shared" si="25"/>
        <v>317112813.69</v>
      </c>
      <c r="BD86" s="21">
        <f t="shared" si="26"/>
        <v>93415812.789999992</v>
      </c>
      <c r="BE86" s="21">
        <f t="shared" si="27"/>
        <v>91034966.379999995</v>
      </c>
      <c r="BF86" s="21">
        <f t="shared" si="28"/>
        <v>98652486</v>
      </c>
      <c r="BG86" s="21">
        <f t="shared" si="29"/>
        <v>189687452.38</v>
      </c>
      <c r="BH86" s="49">
        <f t="shared" si="30"/>
        <v>59.817025421568985</v>
      </c>
      <c r="BI86" s="49">
        <f t="shared" si="31"/>
        <v>24.013408523541983</v>
      </c>
    </row>
    <row r="87" spans="1:61" ht="49.95" customHeight="1" x14ac:dyDescent="0.3">
      <c r="A87" s="19" t="s">
        <v>353</v>
      </c>
      <c r="B87" s="19">
        <v>719</v>
      </c>
      <c r="C87" s="2" t="s">
        <v>158</v>
      </c>
      <c r="D87" s="51" t="s">
        <v>260</v>
      </c>
      <c r="E87" s="24">
        <v>420</v>
      </c>
      <c r="F87" s="1" t="s">
        <v>219</v>
      </c>
      <c r="G87" s="24">
        <v>490</v>
      </c>
      <c r="H87" s="74">
        <f t="shared" si="33"/>
        <v>116.66666666666667</v>
      </c>
      <c r="I87" s="74">
        <v>100</v>
      </c>
      <c r="J87" s="36">
        <v>5</v>
      </c>
      <c r="K87" s="56"/>
      <c r="L87" s="7" t="s">
        <v>634</v>
      </c>
      <c r="M87" s="7" t="s">
        <v>638</v>
      </c>
      <c r="N87" s="7" t="s">
        <v>632</v>
      </c>
      <c r="O87" s="65" t="s">
        <v>500</v>
      </c>
      <c r="P87" s="8" t="s">
        <v>394</v>
      </c>
      <c r="Q87" s="8" t="s">
        <v>419</v>
      </c>
      <c r="R87" s="9">
        <v>270000000</v>
      </c>
      <c r="S87" s="10">
        <v>1</v>
      </c>
      <c r="T87" s="10">
        <v>2</v>
      </c>
      <c r="U87" s="4"/>
      <c r="V87" s="4">
        <v>8730</v>
      </c>
      <c r="W87" s="10">
        <v>1</v>
      </c>
      <c r="X87" s="10">
        <v>2</v>
      </c>
      <c r="Y87" s="43">
        <v>227450000</v>
      </c>
      <c r="Z87" s="43">
        <v>267283333</v>
      </c>
      <c r="AA87" s="43">
        <v>171952610.34</v>
      </c>
      <c r="AB87" s="43">
        <v>142400371.78999999</v>
      </c>
      <c r="AC87" s="43">
        <v>142097257.68000001</v>
      </c>
      <c r="AD87" s="43">
        <v>0</v>
      </c>
      <c r="AE87" s="43">
        <v>142097257.68000001</v>
      </c>
      <c r="AF87" s="43">
        <v>236433000</v>
      </c>
      <c r="AG87" s="43">
        <v>305433000</v>
      </c>
      <c r="AH87" s="43">
        <v>199602806.13</v>
      </c>
      <c r="AI87" s="43">
        <v>161645154.76000002</v>
      </c>
      <c r="AJ87" s="43">
        <v>155374568.82000002</v>
      </c>
      <c r="AK87" s="43">
        <v>26655807.690000001</v>
      </c>
      <c r="AL87" s="43">
        <v>182030376.50999999</v>
      </c>
      <c r="AM87" s="43">
        <v>241024000</v>
      </c>
      <c r="AN87" s="43">
        <v>225194536</v>
      </c>
      <c r="AO87" s="43">
        <v>178316163.02000004</v>
      </c>
      <c r="AP87" s="43">
        <v>165095165.68000001</v>
      </c>
      <c r="AQ87" s="43">
        <v>165040628.67000002</v>
      </c>
      <c r="AR87" s="43">
        <v>38085430.280000001</v>
      </c>
      <c r="AS87" s="43">
        <v>203126058.94999999</v>
      </c>
      <c r="AT87" s="43">
        <v>282960700</v>
      </c>
      <c r="AU87" s="43">
        <v>283025700</v>
      </c>
      <c r="AV87" s="43">
        <v>218146069.37</v>
      </c>
      <c r="AW87" s="43">
        <v>214458634.5</v>
      </c>
      <c r="AX87" s="43">
        <v>214371393.97</v>
      </c>
      <c r="AY87" s="43">
        <v>4790055.16</v>
      </c>
      <c r="AZ87" s="43">
        <v>219161449.13</v>
      </c>
      <c r="BA87" s="21">
        <f t="shared" si="23"/>
        <v>987867700</v>
      </c>
      <c r="BB87" s="21">
        <f t="shared" si="24"/>
        <v>1080936569</v>
      </c>
      <c r="BC87" s="21">
        <f t="shared" si="25"/>
        <v>768017648.86000001</v>
      </c>
      <c r="BD87" s="21">
        <f t="shared" si="26"/>
        <v>683599326.73000002</v>
      </c>
      <c r="BE87" s="21">
        <f t="shared" si="27"/>
        <v>676883849.13999999</v>
      </c>
      <c r="BF87" s="21">
        <f t="shared" si="28"/>
        <v>69531293.129999995</v>
      </c>
      <c r="BG87" s="21">
        <f t="shared" si="29"/>
        <v>746415142.26999998</v>
      </c>
      <c r="BH87" s="49">
        <f t="shared" si="30"/>
        <v>97.187238259164289</v>
      </c>
      <c r="BI87" s="49">
        <f t="shared" si="31"/>
        <v>69.052631178953106</v>
      </c>
    </row>
    <row r="88" spans="1:61" ht="49.95" customHeight="1" thickBot="1" x14ac:dyDescent="0.35">
      <c r="A88" s="19" t="s">
        <v>354</v>
      </c>
      <c r="B88" s="19">
        <v>719</v>
      </c>
      <c r="C88" s="2" t="s">
        <v>159</v>
      </c>
      <c r="D88" s="50" t="s">
        <v>264</v>
      </c>
      <c r="E88" s="24">
        <v>60</v>
      </c>
      <c r="F88" s="1" t="s">
        <v>160</v>
      </c>
      <c r="G88" s="24">
        <v>37</v>
      </c>
      <c r="H88" s="74">
        <f t="shared" si="33"/>
        <v>61.666666666666664</v>
      </c>
      <c r="I88" s="68">
        <v>61.666666666666664</v>
      </c>
      <c r="J88" s="37">
        <v>3</v>
      </c>
      <c r="K88" s="62"/>
      <c r="L88" s="7" t="s">
        <v>634</v>
      </c>
      <c r="M88" s="7" t="s">
        <v>638</v>
      </c>
      <c r="N88" s="7" t="s">
        <v>632</v>
      </c>
      <c r="O88" s="65"/>
      <c r="P88" s="8"/>
      <c r="Q88" s="8"/>
      <c r="R88" s="9"/>
      <c r="S88" s="10"/>
      <c r="T88" s="10"/>
      <c r="U88" s="4">
        <v>8535</v>
      </c>
      <c r="V88" s="4">
        <v>8535</v>
      </c>
      <c r="W88" s="10">
        <v>1</v>
      </c>
      <c r="X88" s="10">
        <v>6</v>
      </c>
      <c r="Y88" s="43">
        <v>2542726499</v>
      </c>
      <c r="Z88" s="43">
        <v>2768926108</v>
      </c>
      <c r="AA88" s="43">
        <v>831306777.73000002</v>
      </c>
      <c r="AB88" s="43">
        <v>152618740.18000001</v>
      </c>
      <c r="AC88" s="43">
        <v>152618740.18000001</v>
      </c>
      <c r="AD88" s="43">
        <v>0</v>
      </c>
      <c r="AE88" s="43">
        <v>152618740.18000001</v>
      </c>
      <c r="AF88" s="43">
        <v>3285314985</v>
      </c>
      <c r="AG88" s="43">
        <v>3488580983</v>
      </c>
      <c r="AH88" s="43">
        <v>783165908.83000016</v>
      </c>
      <c r="AI88" s="43">
        <v>105476724.09</v>
      </c>
      <c r="AJ88" s="43">
        <v>105476724.09</v>
      </c>
      <c r="AK88" s="43">
        <v>298033318.68000001</v>
      </c>
      <c r="AL88" s="43">
        <v>403510042.76999998</v>
      </c>
      <c r="AM88" s="43">
        <v>3585582157</v>
      </c>
      <c r="AN88" s="43">
        <v>3635668136</v>
      </c>
      <c r="AO88" s="43">
        <v>1343955020.6900003</v>
      </c>
      <c r="AP88" s="43">
        <v>75191321.399999991</v>
      </c>
      <c r="AQ88" s="43">
        <v>75191321.399999991</v>
      </c>
      <c r="AR88" s="43">
        <v>515848558.97999996</v>
      </c>
      <c r="AS88" s="43">
        <v>591039880.38</v>
      </c>
      <c r="AT88" s="43">
        <v>5258849061</v>
      </c>
      <c r="AU88" s="43">
        <v>5352295854</v>
      </c>
      <c r="AV88" s="43">
        <v>1130363498.9800003</v>
      </c>
      <c r="AW88" s="43">
        <v>98527013.539999992</v>
      </c>
      <c r="AX88" s="43">
        <v>96627898.299999997</v>
      </c>
      <c r="AY88" s="43">
        <v>729623418.47000039</v>
      </c>
      <c r="AZ88" s="43">
        <v>826251316.77000046</v>
      </c>
      <c r="BA88" s="21">
        <f t="shared" si="23"/>
        <v>14672472702</v>
      </c>
      <c r="BB88" s="21">
        <f t="shared" si="24"/>
        <v>15245471081</v>
      </c>
      <c r="BC88" s="21">
        <f t="shared" si="25"/>
        <v>4088791206.2300005</v>
      </c>
      <c r="BD88" s="21">
        <f t="shared" si="26"/>
        <v>431813799.21000004</v>
      </c>
      <c r="BE88" s="21">
        <f t="shared" si="27"/>
        <v>429914683.97000003</v>
      </c>
      <c r="BF88" s="21">
        <f t="shared" si="28"/>
        <v>1543505296.1300004</v>
      </c>
      <c r="BG88" s="21">
        <f t="shared" si="29"/>
        <v>1973419980.1000004</v>
      </c>
      <c r="BH88" s="49">
        <f t="shared" si="30"/>
        <v>48.26414166351033</v>
      </c>
      <c r="BI88" s="49">
        <f t="shared" si="31"/>
        <v>12.944303062956303</v>
      </c>
    </row>
    <row r="89" spans="1:61" ht="49.95" customHeight="1" x14ac:dyDescent="0.3">
      <c r="A89" s="19" t="s">
        <v>355</v>
      </c>
      <c r="B89" s="19">
        <v>721</v>
      </c>
      <c r="C89" s="2" t="s">
        <v>167</v>
      </c>
      <c r="D89" s="1" t="s">
        <v>264</v>
      </c>
      <c r="E89" s="24">
        <v>1000</v>
      </c>
      <c r="F89" s="1" t="s">
        <v>164</v>
      </c>
      <c r="G89" s="24">
        <v>535</v>
      </c>
      <c r="H89" s="73">
        <v>0</v>
      </c>
      <c r="I89" s="69">
        <v>0</v>
      </c>
      <c r="J89" s="36">
        <v>1</v>
      </c>
      <c r="K89" s="57" t="s">
        <v>244</v>
      </c>
      <c r="L89" s="7" t="s">
        <v>631</v>
      </c>
      <c r="M89" s="7" t="s">
        <v>641</v>
      </c>
      <c r="N89" s="7" t="s">
        <v>632</v>
      </c>
      <c r="O89" s="65"/>
      <c r="P89" s="8"/>
      <c r="Q89" s="8"/>
      <c r="R89" s="9"/>
      <c r="S89" s="10"/>
      <c r="T89" s="10"/>
      <c r="U89" s="4" t="s">
        <v>480</v>
      </c>
      <c r="V89" s="4" t="s">
        <v>480</v>
      </c>
      <c r="W89" s="10">
        <v>1</v>
      </c>
      <c r="X89" s="10">
        <v>15</v>
      </c>
      <c r="Y89" s="30">
        <v>0</v>
      </c>
      <c r="Z89" s="30">
        <v>18588000</v>
      </c>
      <c r="AA89" s="30">
        <v>0</v>
      </c>
      <c r="AB89" s="30">
        <v>0</v>
      </c>
      <c r="AC89" s="30">
        <v>0</v>
      </c>
      <c r="AD89" s="30">
        <v>0</v>
      </c>
      <c r="AE89" s="30">
        <v>0</v>
      </c>
      <c r="AF89" s="42">
        <v>748249175</v>
      </c>
      <c r="AG89" s="42">
        <v>962830008</v>
      </c>
      <c r="AH89" s="42">
        <v>810927994.60000002</v>
      </c>
      <c r="AI89" s="42">
        <v>659617516.17000008</v>
      </c>
      <c r="AJ89" s="42">
        <v>653290690.56999993</v>
      </c>
      <c r="AK89" s="43">
        <v>0</v>
      </c>
      <c r="AL89" s="43">
        <v>653290690.57000005</v>
      </c>
      <c r="AM89" s="42">
        <v>1188453200</v>
      </c>
      <c r="AN89" s="42">
        <v>1188724200</v>
      </c>
      <c r="AO89" s="42">
        <v>1138303793.0599999</v>
      </c>
      <c r="AP89" s="42">
        <v>1044179893.88</v>
      </c>
      <c r="AQ89" s="42">
        <v>1037982860.72</v>
      </c>
      <c r="AR89" s="43">
        <v>117299880.36000001</v>
      </c>
      <c r="AS89" s="43">
        <v>1155282741.0799999</v>
      </c>
      <c r="AT89" s="42">
        <v>1486050000</v>
      </c>
      <c r="AU89" s="42">
        <v>1061352220</v>
      </c>
      <c r="AV89" s="42">
        <v>1026550418.0400001</v>
      </c>
      <c r="AW89" s="42">
        <v>963080029.90999997</v>
      </c>
      <c r="AX89" s="42">
        <v>960267500.35999978</v>
      </c>
      <c r="AY89" s="43">
        <v>75553073.690000013</v>
      </c>
      <c r="AZ89" s="43">
        <v>1035820574.05</v>
      </c>
      <c r="BA89" s="21">
        <f t="shared" si="23"/>
        <v>3422752375</v>
      </c>
      <c r="BB89" s="21">
        <f t="shared" si="24"/>
        <v>3231494428</v>
      </c>
      <c r="BC89" s="21">
        <f t="shared" si="25"/>
        <v>2975782205.6999998</v>
      </c>
      <c r="BD89" s="21">
        <f t="shared" si="26"/>
        <v>2666877439.96</v>
      </c>
      <c r="BE89" s="21">
        <f t="shared" si="27"/>
        <v>2651541051.6499996</v>
      </c>
      <c r="BF89" s="21">
        <f t="shared" si="28"/>
        <v>192852954.05000001</v>
      </c>
      <c r="BG89" s="21">
        <f t="shared" si="29"/>
        <v>2844394005.6999998</v>
      </c>
      <c r="BH89" s="49">
        <f t="shared" si="30"/>
        <v>95.58475080103878</v>
      </c>
      <c r="BI89" s="49">
        <f t="shared" si="31"/>
        <v>88.021009136024418</v>
      </c>
    </row>
    <row r="90" spans="1:61" ht="49.95" customHeight="1" x14ac:dyDescent="0.3">
      <c r="A90" s="19" t="s">
        <v>356</v>
      </c>
      <c r="B90" s="19">
        <v>721</v>
      </c>
      <c r="C90" s="2" t="s">
        <v>161</v>
      </c>
      <c r="D90" s="6" t="s">
        <v>260</v>
      </c>
      <c r="E90" s="24">
        <v>6600</v>
      </c>
      <c r="F90" s="1" t="s">
        <v>162</v>
      </c>
      <c r="G90" s="24">
        <v>21361</v>
      </c>
      <c r="H90" s="74">
        <f>G90*100/E90</f>
        <v>323.65151515151513</v>
      </c>
      <c r="I90" s="68">
        <v>100</v>
      </c>
      <c r="J90" s="36">
        <v>5</v>
      </c>
      <c r="K90" s="56"/>
      <c r="L90" s="7" t="s">
        <v>631</v>
      </c>
      <c r="M90" s="7" t="s">
        <v>641</v>
      </c>
      <c r="N90" s="7" t="s">
        <v>632</v>
      </c>
      <c r="O90" s="65" t="s">
        <v>531</v>
      </c>
      <c r="P90" s="16">
        <v>6600</v>
      </c>
      <c r="Q90" s="8" t="s">
        <v>532</v>
      </c>
      <c r="R90" s="9">
        <v>1454730000</v>
      </c>
      <c r="S90" s="10">
        <v>1</v>
      </c>
      <c r="T90" s="10">
        <v>9</v>
      </c>
      <c r="U90" s="4"/>
      <c r="V90" s="4" t="s">
        <v>480</v>
      </c>
      <c r="W90" s="10">
        <v>1</v>
      </c>
      <c r="X90" s="10">
        <v>15</v>
      </c>
      <c r="Y90" s="30">
        <v>0</v>
      </c>
      <c r="Z90" s="30">
        <v>18588000</v>
      </c>
      <c r="AA90" s="30">
        <v>0</v>
      </c>
      <c r="AB90" s="30">
        <v>0</v>
      </c>
      <c r="AC90" s="30">
        <v>0</v>
      </c>
      <c r="AD90" s="30">
        <v>0</v>
      </c>
      <c r="AE90" s="30">
        <v>0</v>
      </c>
      <c r="AF90" s="42">
        <v>748249175</v>
      </c>
      <c r="AG90" s="42">
        <v>962830008</v>
      </c>
      <c r="AH90" s="42">
        <v>810927994.60000002</v>
      </c>
      <c r="AI90" s="42">
        <v>659617516.17000008</v>
      </c>
      <c r="AJ90" s="42">
        <v>653290690.56999993</v>
      </c>
      <c r="AK90" s="43">
        <v>0</v>
      </c>
      <c r="AL90" s="43">
        <v>653290690.57000005</v>
      </c>
      <c r="AM90" s="42">
        <v>1188453200</v>
      </c>
      <c r="AN90" s="42">
        <v>1188724200</v>
      </c>
      <c r="AO90" s="42">
        <v>1138303793.0599999</v>
      </c>
      <c r="AP90" s="42">
        <v>1044179893.88</v>
      </c>
      <c r="AQ90" s="42">
        <v>1037982860.72</v>
      </c>
      <c r="AR90" s="43">
        <v>117299880.36000001</v>
      </c>
      <c r="AS90" s="43">
        <v>1155282741.0799999</v>
      </c>
      <c r="AT90" s="42">
        <v>1486050000</v>
      </c>
      <c r="AU90" s="42">
        <v>1061352220</v>
      </c>
      <c r="AV90" s="42">
        <v>1026550418.0400001</v>
      </c>
      <c r="AW90" s="42">
        <v>963080029.90999997</v>
      </c>
      <c r="AX90" s="42">
        <v>960267500.35999978</v>
      </c>
      <c r="AY90" s="43">
        <v>75553073.690000013</v>
      </c>
      <c r="AZ90" s="43">
        <v>1035820574.05</v>
      </c>
      <c r="BA90" s="21">
        <f t="shared" si="23"/>
        <v>3422752375</v>
      </c>
      <c r="BB90" s="21">
        <f t="shared" si="24"/>
        <v>3231494428</v>
      </c>
      <c r="BC90" s="21">
        <f t="shared" si="25"/>
        <v>2975782205.6999998</v>
      </c>
      <c r="BD90" s="21">
        <f t="shared" si="26"/>
        <v>2666877439.96</v>
      </c>
      <c r="BE90" s="21">
        <f t="shared" si="27"/>
        <v>2651541051.6499996</v>
      </c>
      <c r="BF90" s="21">
        <f t="shared" si="28"/>
        <v>192852954.05000001</v>
      </c>
      <c r="BG90" s="21">
        <f t="shared" si="29"/>
        <v>2844394005.6999998</v>
      </c>
      <c r="BH90" s="49">
        <f t="shared" si="30"/>
        <v>95.58475080103878</v>
      </c>
      <c r="BI90" s="49">
        <f t="shared" si="31"/>
        <v>88.021009136024418</v>
      </c>
    </row>
    <row r="91" spans="1:61" ht="49.95" customHeight="1" x14ac:dyDescent="0.3">
      <c r="A91" s="19" t="s">
        <v>357</v>
      </c>
      <c r="B91" s="19">
        <v>721</v>
      </c>
      <c r="C91" s="2" t="s">
        <v>183</v>
      </c>
      <c r="D91" s="1" t="s">
        <v>264</v>
      </c>
      <c r="E91" s="24">
        <v>100000</v>
      </c>
      <c r="F91" s="1" t="s">
        <v>184</v>
      </c>
      <c r="G91" s="24">
        <v>280475</v>
      </c>
      <c r="H91" s="74">
        <f>G91*100/E91</f>
        <v>280.47500000000002</v>
      </c>
      <c r="I91" s="68">
        <v>100</v>
      </c>
      <c r="J91" s="36">
        <v>5</v>
      </c>
      <c r="K91" s="56"/>
      <c r="L91" s="7" t="s">
        <v>631</v>
      </c>
      <c r="M91" s="7" t="s">
        <v>641</v>
      </c>
      <c r="N91" s="7" t="s">
        <v>632</v>
      </c>
      <c r="O91" s="65"/>
      <c r="P91" s="16"/>
      <c r="Q91" s="8"/>
      <c r="R91" s="9"/>
      <c r="S91" s="10"/>
      <c r="T91" s="10"/>
      <c r="U91" s="4" t="s">
        <v>480</v>
      </c>
      <c r="V91" s="4" t="s">
        <v>480</v>
      </c>
      <c r="W91" s="10">
        <v>1</v>
      </c>
      <c r="X91" s="10">
        <v>15</v>
      </c>
      <c r="Y91" s="30">
        <v>0</v>
      </c>
      <c r="Z91" s="30">
        <v>18588000</v>
      </c>
      <c r="AA91" s="30">
        <v>0</v>
      </c>
      <c r="AB91" s="30">
        <v>0</v>
      </c>
      <c r="AC91" s="30">
        <v>0</v>
      </c>
      <c r="AD91" s="30">
        <v>0</v>
      </c>
      <c r="AE91" s="30">
        <v>0</v>
      </c>
      <c r="AF91" s="42">
        <v>748249175</v>
      </c>
      <c r="AG91" s="42">
        <v>962830008</v>
      </c>
      <c r="AH91" s="42">
        <v>810927994.60000002</v>
      </c>
      <c r="AI91" s="42">
        <v>659617516.17000008</v>
      </c>
      <c r="AJ91" s="42">
        <v>653290690.56999993</v>
      </c>
      <c r="AK91" s="43">
        <v>0</v>
      </c>
      <c r="AL91" s="43">
        <v>653290690.57000005</v>
      </c>
      <c r="AM91" s="42">
        <v>1188453200</v>
      </c>
      <c r="AN91" s="42">
        <v>1188724200</v>
      </c>
      <c r="AO91" s="42">
        <v>1138303793.0599999</v>
      </c>
      <c r="AP91" s="42">
        <v>1044179893.88</v>
      </c>
      <c r="AQ91" s="42">
        <v>1037982860.72</v>
      </c>
      <c r="AR91" s="43">
        <v>117299880.36000001</v>
      </c>
      <c r="AS91" s="43">
        <v>1155282741.0799999</v>
      </c>
      <c r="AT91" s="42">
        <v>1486050000</v>
      </c>
      <c r="AU91" s="42">
        <v>1061352220</v>
      </c>
      <c r="AV91" s="42">
        <v>1026550418.0400001</v>
      </c>
      <c r="AW91" s="42">
        <v>963080029.90999997</v>
      </c>
      <c r="AX91" s="42">
        <v>960267500.35999978</v>
      </c>
      <c r="AY91" s="43">
        <v>75553073.690000013</v>
      </c>
      <c r="AZ91" s="43">
        <v>1035820574.05</v>
      </c>
      <c r="BA91" s="21">
        <f t="shared" si="23"/>
        <v>3422752375</v>
      </c>
      <c r="BB91" s="21">
        <f t="shared" si="24"/>
        <v>3231494428</v>
      </c>
      <c r="BC91" s="21">
        <f t="shared" si="25"/>
        <v>2975782205.6999998</v>
      </c>
      <c r="BD91" s="21">
        <f t="shared" si="26"/>
        <v>2666877439.96</v>
      </c>
      <c r="BE91" s="21">
        <f t="shared" si="27"/>
        <v>2651541051.6499996</v>
      </c>
      <c r="BF91" s="21">
        <f t="shared" si="28"/>
        <v>192852954.05000001</v>
      </c>
      <c r="BG91" s="21">
        <f t="shared" si="29"/>
        <v>2844394005.6999998</v>
      </c>
      <c r="BH91" s="49">
        <f t="shared" si="30"/>
        <v>95.58475080103878</v>
      </c>
      <c r="BI91" s="49">
        <f t="shared" si="31"/>
        <v>88.021009136024418</v>
      </c>
    </row>
    <row r="92" spans="1:61" ht="49.95" customHeight="1" x14ac:dyDescent="0.3">
      <c r="A92" s="19" t="s">
        <v>358</v>
      </c>
      <c r="B92" s="19">
        <v>721</v>
      </c>
      <c r="C92" s="2" t="s">
        <v>218</v>
      </c>
      <c r="D92" s="51" t="s">
        <v>260</v>
      </c>
      <c r="E92" s="24">
        <v>5000</v>
      </c>
      <c r="F92" s="1" t="s">
        <v>118</v>
      </c>
      <c r="G92" s="24">
        <v>12205</v>
      </c>
      <c r="H92" s="74">
        <f>G92*100/E92</f>
        <v>244.1</v>
      </c>
      <c r="I92" s="68">
        <v>100</v>
      </c>
      <c r="J92" s="36">
        <v>5</v>
      </c>
      <c r="K92" s="56"/>
      <c r="L92" s="7" t="s">
        <v>635</v>
      </c>
      <c r="M92" s="7" t="s">
        <v>639</v>
      </c>
      <c r="N92" s="7" t="s">
        <v>632</v>
      </c>
      <c r="O92" s="67" t="s">
        <v>580</v>
      </c>
      <c r="P92" s="16">
        <v>3500</v>
      </c>
      <c r="Q92" s="8" t="s">
        <v>533</v>
      </c>
      <c r="R92" s="9">
        <v>1454730000</v>
      </c>
      <c r="S92" s="20">
        <v>1</v>
      </c>
      <c r="T92" s="20">
        <v>9</v>
      </c>
      <c r="U92" s="4"/>
      <c r="V92" s="4" t="s">
        <v>480</v>
      </c>
      <c r="W92" s="10">
        <v>1</v>
      </c>
      <c r="X92" s="10">
        <v>15</v>
      </c>
      <c r="Y92" s="30">
        <v>0</v>
      </c>
      <c r="Z92" s="30">
        <v>18588000</v>
      </c>
      <c r="AA92" s="30">
        <v>0</v>
      </c>
      <c r="AB92" s="30">
        <v>0</v>
      </c>
      <c r="AC92" s="30">
        <v>0</v>
      </c>
      <c r="AD92" s="30">
        <v>0</v>
      </c>
      <c r="AE92" s="30">
        <v>0</v>
      </c>
      <c r="AF92" s="42">
        <v>748249175</v>
      </c>
      <c r="AG92" s="42">
        <v>962830008</v>
      </c>
      <c r="AH92" s="42">
        <v>810927994.60000002</v>
      </c>
      <c r="AI92" s="42">
        <v>659617516.17000008</v>
      </c>
      <c r="AJ92" s="42">
        <v>653290690.56999993</v>
      </c>
      <c r="AK92" s="43">
        <v>0</v>
      </c>
      <c r="AL92" s="43">
        <v>653290690.57000005</v>
      </c>
      <c r="AM92" s="42">
        <v>1188453200</v>
      </c>
      <c r="AN92" s="42">
        <v>1188724200</v>
      </c>
      <c r="AO92" s="42">
        <v>1138303793.0599999</v>
      </c>
      <c r="AP92" s="42">
        <v>1044179893.88</v>
      </c>
      <c r="AQ92" s="42">
        <v>1037982860.72</v>
      </c>
      <c r="AR92" s="43">
        <v>117299880.36000001</v>
      </c>
      <c r="AS92" s="43">
        <v>1155282741.0799999</v>
      </c>
      <c r="AT92" s="42">
        <v>1486050000</v>
      </c>
      <c r="AU92" s="42">
        <v>1061352220</v>
      </c>
      <c r="AV92" s="42">
        <v>1026550418.0400001</v>
      </c>
      <c r="AW92" s="42">
        <v>963080029.90999997</v>
      </c>
      <c r="AX92" s="42">
        <v>960267500.35999978</v>
      </c>
      <c r="AY92" s="43">
        <v>75553073.690000013</v>
      </c>
      <c r="AZ92" s="43">
        <v>1035820574.05</v>
      </c>
      <c r="BA92" s="21">
        <f t="shared" si="23"/>
        <v>3422752375</v>
      </c>
      <c r="BB92" s="21">
        <f t="shared" si="24"/>
        <v>3231494428</v>
      </c>
      <c r="BC92" s="21">
        <f t="shared" si="25"/>
        <v>2975782205.6999998</v>
      </c>
      <c r="BD92" s="21">
        <f t="shared" si="26"/>
        <v>2666877439.96</v>
      </c>
      <c r="BE92" s="21">
        <f t="shared" si="27"/>
        <v>2651541051.6499996</v>
      </c>
      <c r="BF92" s="21">
        <f t="shared" si="28"/>
        <v>192852954.05000001</v>
      </c>
      <c r="BG92" s="21">
        <f t="shared" si="29"/>
        <v>2844394005.6999998</v>
      </c>
      <c r="BH92" s="49">
        <f t="shared" si="30"/>
        <v>95.58475080103878</v>
      </c>
      <c r="BI92" s="49">
        <f t="shared" si="31"/>
        <v>88.021009136024418</v>
      </c>
    </row>
    <row r="93" spans="1:61" ht="49.95" customHeight="1" x14ac:dyDescent="0.3">
      <c r="A93" s="19" t="s">
        <v>359</v>
      </c>
      <c r="B93" s="19">
        <v>721</v>
      </c>
      <c r="C93" s="2" t="s">
        <v>163</v>
      </c>
      <c r="D93" s="1" t="s">
        <v>264</v>
      </c>
      <c r="E93" s="24">
        <v>4000</v>
      </c>
      <c r="F93" s="1" t="s">
        <v>164</v>
      </c>
      <c r="G93" s="24">
        <v>9405</v>
      </c>
      <c r="H93" s="74">
        <f>8305*100/E93</f>
        <v>207.625</v>
      </c>
      <c r="I93" s="68">
        <v>100</v>
      </c>
      <c r="J93" s="36">
        <v>5</v>
      </c>
      <c r="K93" s="59" t="s">
        <v>242</v>
      </c>
      <c r="L93" s="7" t="s">
        <v>631</v>
      </c>
      <c r="M93" s="7" t="s">
        <v>641</v>
      </c>
      <c r="N93" s="7" t="s">
        <v>636</v>
      </c>
      <c r="O93" s="67"/>
      <c r="P93" s="16"/>
      <c r="Q93" s="8"/>
      <c r="R93" s="9"/>
      <c r="S93" s="20"/>
      <c r="T93" s="20"/>
      <c r="U93" s="4" t="s">
        <v>480</v>
      </c>
      <c r="V93" s="4" t="s">
        <v>480</v>
      </c>
      <c r="W93" s="10">
        <v>1</v>
      </c>
      <c r="X93" s="10">
        <v>15</v>
      </c>
      <c r="Y93" s="30">
        <v>0</v>
      </c>
      <c r="Z93" s="30">
        <v>18588000</v>
      </c>
      <c r="AA93" s="30">
        <v>0</v>
      </c>
      <c r="AB93" s="30">
        <v>0</v>
      </c>
      <c r="AC93" s="30">
        <v>0</v>
      </c>
      <c r="AD93" s="30">
        <v>0</v>
      </c>
      <c r="AE93" s="30">
        <v>0</v>
      </c>
      <c r="AF93" s="42">
        <v>748249175</v>
      </c>
      <c r="AG93" s="42">
        <v>962830008</v>
      </c>
      <c r="AH93" s="42">
        <v>810927994.60000002</v>
      </c>
      <c r="AI93" s="42">
        <v>659617516.17000008</v>
      </c>
      <c r="AJ93" s="42">
        <v>653290690.56999993</v>
      </c>
      <c r="AK93" s="43">
        <v>0</v>
      </c>
      <c r="AL93" s="43">
        <v>653290690.57000005</v>
      </c>
      <c r="AM93" s="42">
        <v>1188453200</v>
      </c>
      <c r="AN93" s="42">
        <v>1188724200</v>
      </c>
      <c r="AO93" s="42">
        <v>1138303793.0599999</v>
      </c>
      <c r="AP93" s="42">
        <v>1044179893.88</v>
      </c>
      <c r="AQ93" s="42">
        <v>1037982860.72</v>
      </c>
      <c r="AR93" s="43">
        <v>117299880.36000001</v>
      </c>
      <c r="AS93" s="43">
        <v>1155282741.0799999</v>
      </c>
      <c r="AT93" s="42">
        <v>1486050000</v>
      </c>
      <c r="AU93" s="42">
        <v>1061352220</v>
      </c>
      <c r="AV93" s="42">
        <v>1026550418.0400001</v>
      </c>
      <c r="AW93" s="42">
        <v>963080029.90999997</v>
      </c>
      <c r="AX93" s="42">
        <v>960267500.35999978</v>
      </c>
      <c r="AY93" s="43">
        <v>75553073.690000013</v>
      </c>
      <c r="AZ93" s="43">
        <v>1035820574.05</v>
      </c>
      <c r="BA93" s="21">
        <f t="shared" si="23"/>
        <v>3422752375</v>
      </c>
      <c r="BB93" s="21">
        <f t="shared" si="24"/>
        <v>3231494428</v>
      </c>
      <c r="BC93" s="21">
        <f t="shared" si="25"/>
        <v>2975782205.6999998</v>
      </c>
      <c r="BD93" s="21">
        <f t="shared" si="26"/>
        <v>2666877439.96</v>
      </c>
      <c r="BE93" s="21">
        <f t="shared" si="27"/>
        <v>2651541051.6499996</v>
      </c>
      <c r="BF93" s="21">
        <f t="shared" si="28"/>
        <v>192852954.05000001</v>
      </c>
      <c r="BG93" s="21">
        <f t="shared" si="29"/>
        <v>2844394005.6999998</v>
      </c>
      <c r="BH93" s="49">
        <f t="shared" si="30"/>
        <v>95.58475080103878</v>
      </c>
      <c r="BI93" s="49">
        <f t="shared" si="31"/>
        <v>88.021009136024418</v>
      </c>
    </row>
    <row r="94" spans="1:61" ht="49.95" customHeight="1" x14ac:dyDescent="0.3">
      <c r="A94" s="19" t="s">
        <v>360</v>
      </c>
      <c r="B94" s="19">
        <v>721</v>
      </c>
      <c r="C94" s="2" t="s">
        <v>173</v>
      </c>
      <c r="D94" s="50" t="s">
        <v>264</v>
      </c>
      <c r="E94" s="24">
        <v>360</v>
      </c>
      <c r="F94" s="1" t="s">
        <v>174</v>
      </c>
      <c r="G94" s="24">
        <v>564</v>
      </c>
      <c r="H94" s="74">
        <f>G94*100/E94</f>
        <v>156.66666666666666</v>
      </c>
      <c r="I94" s="74">
        <v>100</v>
      </c>
      <c r="J94" s="36">
        <v>5</v>
      </c>
      <c r="K94" s="59"/>
      <c r="L94" s="7" t="s">
        <v>631</v>
      </c>
      <c r="M94" s="7" t="s">
        <v>641</v>
      </c>
      <c r="N94" s="7" t="s">
        <v>632</v>
      </c>
      <c r="O94" s="67"/>
      <c r="P94" s="16"/>
      <c r="Q94" s="8"/>
      <c r="R94" s="9"/>
      <c r="S94" s="20"/>
      <c r="T94" s="20"/>
      <c r="U94" s="4" t="s">
        <v>480</v>
      </c>
      <c r="V94" s="4" t="s">
        <v>480</v>
      </c>
      <c r="W94" s="10">
        <v>1</v>
      </c>
      <c r="X94" s="10">
        <v>15</v>
      </c>
      <c r="Y94" s="30">
        <v>0</v>
      </c>
      <c r="Z94" s="30">
        <v>18588000</v>
      </c>
      <c r="AA94" s="30">
        <v>0</v>
      </c>
      <c r="AB94" s="30">
        <v>0</v>
      </c>
      <c r="AC94" s="30">
        <v>0</v>
      </c>
      <c r="AD94" s="30">
        <v>0</v>
      </c>
      <c r="AE94" s="30">
        <v>0</v>
      </c>
      <c r="AF94" s="42">
        <v>748249175</v>
      </c>
      <c r="AG94" s="42">
        <v>962830008</v>
      </c>
      <c r="AH94" s="42">
        <v>810927994.60000002</v>
      </c>
      <c r="AI94" s="42">
        <v>659617516.17000008</v>
      </c>
      <c r="AJ94" s="42">
        <v>653290690.56999993</v>
      </c>
      <c r="AK94" s="43">
        <v>0</v>
      </c>
      <c r="AL94" s="43">
        <v>653290690.57000005</v>
      </c>
      <c r="AM94" s="42">
        <v>1188453200</v>
      </c>
      <c r="AN94" s="42">
        <v>1188724200</v>
      </c>
      <c r="AO94" s="42">
        <v>1138303793.0599999</v>
      </c>
      <c r="AP94" s="42">
        <v>1044179893.88</v>
      </c>
      <c r="AQ94" s="42">
        <v>1037982860.72</v>
      </c>
      <c r="AR94" s="43">
        <v>117299880.36000001</v>
      </c>
      <c r="AS94" s="43">
        <v>1155282741.0799999</v>
      </c>
      <c r="AT94" s="42">
        <v>1486050000</v>
      </c>
      <c r="AU94" s="42">
        <v>1061352220</v>
      </c>
      <c r="AV94" s="42">
        <v>1026550418.0400001</v>
      </c>
      <c r="AW94" s="42">
        <v>963080029.90999997</v>
      </c>
      <c r="AX94" s="42">
        <v>960267500.35999978</v>
      </c>
      <c r="AY94" s="43">
        <v>75553073.690000013</v>
      </c>
      <c r="AZ94" s="43">
        <v>1035820574.05</v>
      </c>
      <c r="BA94" s="21">
        <f t="shared" si="23"/>
        <v>3422752375</v>
      </c>
      <c r="BB94" s="21">
        <f t="shared" si="24"/>
        <v>3231494428</v>
      </c>
      <c r="BC94" s="21">
        <f t="shared" si="25"/>
        <v>2975782205.6999998</v>
      </c>
      <c r="BD94" s="21">
        <f t="shared" si="26"/>
        <v>2666877439.96</v>
      </c>
      <c r="BE94" s="21">
        <f t="shared" si="27"/>
        <v>2651541051.6499996</v>
      </c>
      <c r="BF94" s="21">
        <f t="shared" si="28"/>
        <v>192852954.05000001</v>
      </c>
      <c r="BG94" s="21">
        <f t="shared" si="29"/>
        <v>2844394005.6999998</v>
      </c>
      <c r="BH94" s="49">
        <f t="shared" si="30"/>
        <v>95.58475080103878</v>
      </c>
      <c r="BI94" s="49">
        <f t="shared" si="31"/>
        <v>88.021009136024418</v>
      </c>
    </row>
    <row r="95" spans="1:61" ht="49.95" customHeight="1" x14ac:dyDescent="0.3">
      <c r="A95" s="19" t="s">
        <v>361</v>
      </c>
      <c r="B95" s="19">
        <v>721</v>
      </c>
      <c r="C95" s="2" t="s">
        <v>177</v>
      </c>
      <c r="D95" s="50" t="s">
        <v>264</v>
      </c>
      <c r="E95" s="24">
        <v>62</v>
      </c>
      <c r="F95" s="1" t="s">
        <v>178</v>
      </c>
      <c r="G95" s="24">
        <v>64</v>
      </c>
      <c r="H95" s="74">
        <v>120</v>
      </c>
      <c r="I95" s="74">
        <v>100</v>
      </c>
      <c r="J95" s="36">
        <v>5</v>
      </c>
      <c r="K95" s="59" t="s">
        <v>246</v>
      </c>
      <c r="L95" s="7" t="s">
        <v>631</v>
      </c>
      <c r="M95" s="7" t="s">
        <v>641</v>
      </c>
      <c r="N95" s="7" t="s">
        <v>636</v>
      </c>
      <c r="O95" s="67"/>
      <c r="P95" s="9"/>
      <c r="Q95" s="6"/>
      <c r="R95" s="16"/>
      <c r="S95" s="20"/>
      <c r="T95" s="20"/>
      <c r="U95" s="4" t="s">
        <v>480</v>
      </c>
      <c r="V95" s="4" t="s">
        <v>480</v>
      </c>
      <c r="W95" s="10">
        <v>1</v>
      </c>
      <c r="X95" s="10">
        <v>15</v>
      </c>
      <c r="Y95" s="30">
        <v>0</v>
      </c>
      <c r="Z95" s="30">
        <v>18588000</v>
      </c>
      <c r="AA95" s="30">
        <v>0</v>
      </c>
      <c r="AB95" s="30">
        <v>0</v>
      </c>
      <c r="AC95" s="30">
        <v>0</v>
      </c>
      <c r="AD95" s="30">
        <v>0</v>
      </c>
      <c r="AE95" s="30">
        <v>0</v>
      </c>
      <c r="AF95" s="42">
        <v>748249175</v>
      </c>
      <c r="AG95" s="42">
        <v>962830008</v>
      </c>
      <c r="AH95" s="42">
        <v>810927994.60000002</v>
      </c>
      <c r="AI95" s="42">
        <v>659617516.17000008</v>
      </c>
      <c r="AJ95" s="42">
        <v>653290690.56999993</v>
      </c>
      <c r="AK95" s="43">
        <v>0</v>
      </c>
      <c r="AL95" s="43">
        <v>653290690.57000005</v>
      </c>
      <c r="AM95" s="42">
        <v>1188453200</v>
      </c>
      <c r="AN95" s="42">
        <v>1188724200</v>
      </c>
      <c r="AO95" s="42">
        <v>1138303793.0599999</v>
      </c>
      <c r="AP95" s="42">
        <v>1044179893.88</v>
      </c>
      <c r="AQ95" s="42">
        <v>1037982860.72</v>
      </c>
      <c r="AR95" s="43">
        <v>117299880.36000001</v>
      </c>
      <c r="AS95" s="43">
        <v>1155282741.0799999</v>
      </c>
      <c r="AT95" s="42">
        <v>1486050000</v>
      </c>
      <c r="AU95" s="42">
        <v>1061352220</v>
      </c>
      <c r="AV95" s="42">
        <v>1026550418.0400001</v>
      </c>
      <c r="AW95" s="42">
        <v>963080029.90999997</v>
      </c>
      <c r="AX95" s="42">
        <v>960267500.35999978</v>
      </c>
      <c r="AY95" s="43">
        <v>75553073.690000013</v>
      </c>
      <c r="AZ95" s="43">
        <v>1035820574.05</v>
      </c>
      <c r="BA95" s="21">
        <f t="shared" si="23"/>
        <v>3422752375</v>
      </c>
      <c r="BB95" s="21">
        <f t="shared" si="24"/>
        <v>3231494428</v>
      </c>
      <c r="BC95" s="21">
        <f t="shared" si="25"/>
        <v>2975782205.6999998</v>
      </c>
      <c r="BD95" s="21">
        <f t="shared" si="26"/>
        <v>2666877439.96</v>
      </c>
      <c r="BE95" s="21">
        <f t="shared" si="27"/>
        <v>2651541051.6499996</v>
      </c>
      <c r="BF95" s="21">
        <f t="shared" si="28"/>
        <v>192852954.05000001</v>
      </c>
      <c r="BG95" s="21">
        <f t="shared" si="29"/>
        <v>2844394005.6999998</v>
      </c>
      <c r="BH95" s="49">
        <f t="shared" si="30"/>
        <v>95.58475080103878</v>
      </c>
      <c r="BI95" s="49">
        <f t="shared" si="31"/>
        <v>88.021009136024418</v>
      </c>
    </row>
    <row r="96" spans="1:61" ht="49.95" customHeight="1" x14ac:dyDescent="0.3">
      <c r="A96" s="19" t="s">
        <v>362</v>
      </c>
      <c r="B96" s="19">
        <v>721</v>
      </c>
      <c r="C96" s="2" t="s">
        <v>179</v>
      </c>
      <c r="D96" s="6" t="s">
        <v>260</v>
      </c>
      <c r="E96" s="24">
        <v>709</v>
      </c>
      <c r="F96" s="1" t="s">
        <v>180</v>
      </c>
      <c r="G96" s="24">
        <v>709</v>
      </c>
      <c r="H96" s="74">
        <f>G96*100/E96</f>
        <v>100</v>
      </c>
      <c r="I96" s="74">
        <v>100</v>
      </c>
      <c r="J96" s="36">
        <v>5</v>
      </c>
      <c r="K96" s="56"/>
      <c r="L96" s="7" t="s">
        <v>631</v>
      </c>
      <c r="M96" s="7" t="s">
        <v>641</v>
      </c>
      <c r="N96" s="7" t="s">
        <v>632</v>
      </c>
      <c r="O96" s="65" t="s">
        <v>534</v>
      </c>
      <c r="P96" s="6" t="s">
        <v>421</v>
      </c>
      <c r="Q96" s="6" t="s">
        <v>532</v>
      </c>
      <c r="R96" s="16">
        <v>1454730000</v>
      </c>
      <c r="S96" s="20">
        <v>1</v>
      </c>
      <c r="T96" s="20">
        <v>9</v>
      </c>
      <c r="U96" s="4"/>
      <c r="V96" s="4" t="s">
        <v>480</v>
      </c>
      <c r="W96" s="10">
        <v>1</v>
      </c>
      <c r="X96" s="10">
        <v>15</v>
      </c>
      <c r="Y96" s="30">
        <v>0</v>
      </c>
      <c r="Z96" s="30">
        <v>18588000</v>
      </c>
      <c r="AA96" s="30">
        <v>0</v>
      </c>
      <c r="AB96" s="30">
        <v>0</v>
      </c>
      <c r="AC96" s="30">
        <v>0</v>
      </c>
      <c r="AD96" s="30">
        <v>0</v>
      </c>
      <c r="AE96" s="30">
        <v>0</v>
      </c>
      <c r="AF96" s="42">
        <v>748249175</v>
      </c>
      <c r="AG96" s="42">
        <v>962830008</v>
      </c>
      <c r="AH96" s="42">
        <v>810927994.60000002</v>
      </c>
      <c r="AI96" s="42">
        <v>659617516.17000008</v>
      </c>
      <c r="AJ96" s="42">
        <v>653290690.56999993</v>
      </c>
      <c r="AK96" s="43">
        <v>0</v>
      </c>
      <c r="AL96" s="43">
        <v>653290690.57000005</v>
      </c>
      <c r="AM96" s="42">
        <v>1188453200</v>
      </c>
      <c r="AN96" s="42">
        <v>1188724200</v>
      </c>
      <c r="AO96" s="42">
        <v>1138303793.0599999</v>
      </c>
      <c r="AP96" s="42">
        <v>1044179893.88</v>
      </c>
      <c r="AQ96" s="42">
        <v>1037982860.72</v>
      </c>
      <c r="AR96" s="43">
        <v>117299880.36000001</v>
      </c>
      <c r="AS96" s="43">
        <v>1155282741.0799999</v>
      </c>
      <c r="AT96" s="42">
        <v>1486050000</v>
      </c>
      <c r="AU96" s="42">
        <v>1061352220</v>
      </c>
      <c r="AV96" s="42">
        <v>1026550418.0400001</v>
      </c>
      <c r="AW96" s="42">
        <v>963080029.90999997</v>
      </c>
      <c r="AX96" s="42">
        <v>960267500.35999978</v>
      </c>
      <c r="AY96" s="43">
        <v>75553073.690000013</v>
      </c>
      <c r="AZ96" s="43">
        <v>1035820574.05</v>
      </c>
      <c r="BA96" s="21">
        <f t="shared" si="23"/>
        <v>3422752375</v>
      </c>
      <c r="BB96" s="21">
        <f t="shared" si="24"/>
        <v>3231494428</v>
      </c>
      <c r="BC96" s="21">
        <f t="shared" si="25"/>
        <v>2975782205.6999998</v>
      </c>
      <c r="BD96" s="21">
        <f t="shared" si="26"/>
        <v>2666877439.96</v>
      </c>
      <c r="BE96" s="21">
        <f t="shared" si="27"/>
        <v>2651541051.6499996</v>
      </c>
      <c r="BF96" s="21">
        <f t="shared" si="28"/>
        <v>192852954.05000001</v>
      </c>
      <c r="BG96" s="21">
        <f t="shared" si="29"/>
        <v>2844394005.6999998</v>
      </c>
      <c r="BH96" s="49">
        <f t="shared" si="30"/>
        <v>95.58475080103878</v>
      </c>
      <c r="BI96" s="49">
        <f t="shared" si="31"/>
        <v>88.021009136024418</v>
      </c>
    </row>
    <row r="97" spans="1:61" ht="49.95" customHeight="1" x14ac:dyDescent="0.3">
      <c r="A97" s="19" t="s">
        <v>363</v>
      </c>
      <c r="B97" s="19">
        <v>721</v>
      </c>
      <c r="C97" s="2" t="s">
        <v>181</v>
      </c>
      <c r="D97" s="51" t="s">
        <v>260</v>
      </c>
      <c r="E97" s="24">
        <v>18</v>
      </c>
      <c r="F97" s="1" t="s">
        <v>182</v>
      </c>
      <c r="G97" s="24">
        <v>18</v>
      </c>
      <c r="H97" s="74">
        <f>G97*100/E97</f>
        <v>100</v>
      </c>
      <c r="I97" s="74">
        <v>100</v>
      </c>
      <c r="J97" s="36">
        <v>5</v>
      </c>
      <c r="K97" s="56"/>
      <c r="L97" s="7" t="s">
        <v>634</v>
      </c>
      <c r="M97" s="7" t="s">
        <v>643</v>
      </c>
      <c r="N97" s="7" t="s">
        <v>632</v>
      </c>
      <c r="O97" s="65" t="s">
        <v>535</v>
      </c>
      <c r="P97" s="12">
        <v>1</v>
      </c>
      <c r="Q97" s="6" t="s">
        <v>536</v>
      </c>
      <c r="R97" s="9">
        <v>1454730000</v>
      </c>
      <c r="S97" s="20">
        <v>1</v>
      </c>
      <c r="T97" s="20">
        <v>9</v>
      </c>
      <c r="U97" s="4"/>
      <c r="V97" s="4" t="s">
        <v>480</v>
      </c>
      <c r="W97" s="10">
        <v>1</v>
      </c>
      <c r="X97" s="10">
        <v>15</v>
      </c>
      <c r="Y97" s="30">
        <v>0</v>
      </c>
      <c r="Z97" s="30">
        <v>18588000</v>
      </c>
      <c r="AA97" s="30">
        <v>0</v>
      </c>
      <c r="AB97" s="30">
        <v>0</v>
      </c>
      <c r="AC97" s="30">
        <v>0</v>
      </c>
      <c r="AD97" s="30">
        <v>0</v>
      </c>
      <c r="AE97" s="30">
        <v>0</v>
      </c>
      <c r="AF97" s="42">
        <v>748249175</v>
      </c>
      <c r="AG97" s="42">
        <v>962830008</v>
      </c>
      <c r="AH97" s="42">
        <v>810927994.60000002</v>
      </c>
      <c r="AI97" s="42">
        <v>659617516.17000008</v>
      </c>
      <c r="AJ97" s="42">
        <v>653290690.56999993</v>
      </c>
      <c r="AK97" s="43">
        <v>0</v>
      </c>
      <c r="AL97" s="43">
        <v>653290690.57000005</v>
      </c>
      <c r="AM97" s="42">
        <v>1188453200</v>
      </c>
      <c r="AN97" s="42">
        <v>1188724200</v>
      </c>
      <c r="AO97" s="42">
        <v>1138303793.0599999</v>
      </c>
      <c r="AP97" s="42">
        <v>1044179893.88</v>
      </c>
      <c r="AQ97" s="42">
        <v>1037982860.72</v>
      </c>
      <c r="AR97" s="43">
        <v>117299880.36000001</v>
      </c>
      <c r="AS97" s="43">
        <v>1155282741.0799999</v>
      </c>
      <c r="AT97" s="42">
        <v>1486050000</v>
      </c>
      <c r="AU97" s="42">
        <v>1061352220</v>
      </c>
      <c r="AV97" s="42">
        <v>1026550418.0400001</v>
      </c>
      <c r="AW97" s="42">
        <v>963080029.90999997</v>
      </c>
      <c r="AX97" s="42">
        <v>960267500.35999978</v>
      </c>
      <c r="AY97" s="43">
        <v>75553073.690000013</v>
      </c>
      <c r="AZ97" s="43">
        <v>1035820574.05</v>
      </c>
      <c r="BA97" s="21">
        <f t="shared" si="23"/>
        <v>3422752375</v>
      </c>
      <c r="BB97" s="21">
        <f t="shared" si="24"/>
        <v>3231494428</v>
      </c>
      <c r="BC97" s="21">
        <f t="shared" si="25"/>
        <v>2975782205.6999998</v>
      </c>
      <c r="BD97" s="21">
        <f t="shared" si="26"/>
        <v>2666877439.96</v>
      </c>
      <c r="BE97" s="21">
        <f t="shared" si="27"/>
        <v>2651541051.6499996</v>
      </c>
      <c r="BF97" s="21">
        <f t="shared" si="28"/>
        <v>192852954.05000001</v>
      </c>
      <c r="BG97" s="21">
        <f t="shared" si="29"/>
        <v>2844394005.6999998</v>
      </c>
      <c r="BH97" s="49">
        <f t="shared" si="30"/>
        <v>95.58475080103878</v>
      </c>
      <c r="BI97" s="49">
        <f t="shared" si="31"/>
        <v>88.021009136024418</v>
      </c>
    </row>
    <row r="98" spans="1:61" ht="49.95" customHeight="1" x14ac:dyDescent="0.3">
      <c r="A98" s="19" t="s">
        <v>364</v>
      </c>
      <c r="B98" s="19">
        <v>721</v>
      </c>
      <c r="C98" s="2" t="s">
        <v>168</v>
      </c>
      <c r="D98" s="6" t="s">
        <v>260</v>
      </c>
      <c r="E98" s="24">
        <v>380000</v>
      </c>
      <c r="F98" s="1" t="s">
        <v>169</v>
      </c>
      <c r="G98" s="24">
        <v>319939</v>
      </c>
      <c r="H98" s="74">
        <f>G98*100/E98</f>
        <v>84.194473684210521</v>
      </c>
      <c r="I98" s="74">
        <v>84.194473684210521</v>
      </c>
      <c r="J98" s="36">
        <v>4</v>
      </c>
      <c r="K98" s="56"/>
      <c r="L98" s="7" t="s">
        <v>631</v>
      </c>
      <c r="M98" s="7" t="s">
        <v>641</v>
      </c>
      <c r="N98" s="7" t="s">
        <v>632</v>
      </c>
      <c r="O98" s="65" t="s">
        <v>537</v>
      </c>
      <c r="P98" s="9">
        <v>136000</v>
      </c>
      <c r="Q98" s="6" t="s">
        <v>538</v>
      </c>
      <c r="R98" s="9">
        <v>1454730000</v>
      </c>
      <c r="S98" s="20">
        <v>1</v>
      </c>
      <c r="T98" s="20">
        <v>9</v>
      </c>
      <c r="U98" s="4"/>
      <c r="V98" s="4" t="s">
        <v>480</v>
      </c>
      <c r="W98" s="10">
        <v>1</v>
      </c>
      <c r="X98" s="10">
        <v>15</v>
      </c>
      <c r="Y98" s="30">
        <v>0</v>
      </c>
      <c r="Z98" s="30">
        <v>18588000</v>
      </c>
      <c r="AA98" s="30">
        <v>0</v>
      </c>
      <c r="AB98" s="30">
        <v>0</v>
      </c>
      <c r="AC98" s="30">
        <v>0</v>
      </c>
      <c r="AD98" s="30">
        <v>0</v>
      </c>
      <c r="AE98" s="30">
        <v>0</v>
      </c>
      <c r="AF98" s="42">
        <v>748249175</v>
      </c>
      <c r="AG98" s="42">
        <v>962830008</v>
      </c>
      <c r="AH98" s="42">
        <v>810927994.60000002</v>
      </c>
      <c r="AI98" s="42">
        <v>659617516.17000008</v>
      </c>
      <c r="AJ98" s="42">
        <v>653290690.56999993</v>
      </c>
      <c r="AK98" s="43">
        <v>0</v>
      </c>
      <c r="AL98" s="43">
        <v>653290690.57000005</v>
      </c>
      <c r="AM98" s="42">
        <v>1188453200</v>
      </c>
      <c r="AN98" s="42">
        <v>1188724200</v>
      </c>
      <c r="AO98" s="42">
        <v>1138303793.0599999</v>
      </c>
      <c r="AP98" s="42">
        <v>1044179893.88</v>
      </c>
      <c r="AQ98" s="42">
        <v>1037982860.72</v>
      </c>
      <c r="AR98" s="43">
        <v>117299880.36000001</v>
      </c>
      <c r="AS98" s="43">
        <v>1155282741.0799999</v>
      </c>
      <c r="AT98" s="42">
        <v>1486050000</v>
      </c>
      <c r="AU98" s="42">
        <v>1061352220</v>
      </c>
      <c r="AV98" s="42">
        <v>1026550418.0400001</v>
      </c>
      <c r="AW98" s="42">
        <v>963080029.90999997</v>
      </c>
      <c r="AX98" s="42">
        <v>960267500.35999978</v>
      </c>
      <c r="AY98" s="43">
        <v>75553073.690000013</v>
      </c>
      <c r="AZ98" s="43">
        <v>1035820574.05</v>
      </c>
      <c r="BA98" s="21">
        <f t="shared" si="23"/>
        <v>3422752375</v>
      </c>
      <c r="BB98" s="21">
        <f t="shared" si="24"/>
        <v>3231494428</v>
      </c>
      <c r="BC98" s="21">
        <f t="shared" si="25"/>
        <v>2975782205.6999998</v>
      </c>
      <c r="BD98" s="21">
        <f t="shared" si="26"/>
        <v>2666877439.96</v>
      </c>
      <c r="BE98" s="21">
        <f t="shared" si="27"/>
        <v>2651541051.6499996</v>
      </c>
      <c r="BF98" s="21">
        <f t="shared" si="28"/>
        <v>192852954.05000001</v>
      </c>
      <c r="BG98" s="21">
        <f t="shared" si="29"/>
        <v>2844394005.6999998</v>
      </c>
      <c r="BH98" s="49">
        <f t="shared" si="30"/>
        <v>95.58475080103878</v>
      </c>
      <c r="BI98" s="49">
        <f t="shared" si="31"/>
        <v>88.021009136024418</v>
      </c>
    </row>
    <row r="99" spans="1:61" ht="49.95" customHeight="1" x14ac:dyDescent="0.3">
      <c r="A99" s="19" t="s">
        <v>365</v>
      </c>
      <c r="B99" s="19">
        <v>721</v>
      </c>
      <c r="C99" s="2" t="s">
        <v>175</v>
      </c>
      <c r="D99" s="1" t="s">
        <v>264</v>
      </c>
      <c r="E99" s="24">
        <v>10</v>
      </c>
      <c r="F99" s="1" t="s">
        <v>176</v>
      </c>
      <c r="G99" s="24">
        <v>7</v>
      </c>
      <c r="H99" s="74">
        <v>50</v>
      </c>
      <c r="I99" s="74">
        <v>50</v>
      </c>
      <c r="J99" s="36">
        <v>3</v>
      </c>
      <c r="K99" s="59" t="s">
        <v>245</v>
      </c>
      <c r="L99" s="7" t="s">
        <v>631</v>
      </c>
      <c r="M99" s="7" t="s">
        <v>644</v>
      </c>
      <c r="N99" s="7" t="s">
        <v>636</v>
      </c>
      <c r="O99" s="65"/>
      <c r="P99" s="9"/>
      <c r="Q99" s="6"/>
      <c r="R99" s="9"/>
      <c r="S99" s="20"/>
      <c r="T99" s="20"/>
      <c r="U99" s="4" t="s">
        <v>480</v>
      </c>
      <c r="V99" s="4" t="s">
        <v>480</v>
      </c>
      <c r="W99" s="10">
        <v>1</v>
      </c>
      <c r="X99" s="10">
        <v>15</v>
      </c>
      <c r="Y99" s="30">
        <v>0</v>
      </c>
      <c r="Z99" s="30">
        <v>18588000</v>
      </c>
      <c r="AA99" s="30">
        <v>0</v>
      </c>
      <c r="AB99" s="30">
        <v>0</v>
      </c>
      <c r="AC99" s="30">
        <v>0</v>
      </c>
      <c r="AD99" s="30">
        <v>0</v>
      </c>
      <c r="AE99" s="30">
        <v>0</v>
      </c>
      <c r="AF99" s="42">
        <v>748249175</v>
      </c>
      <c r="AG99" s="42">
        <v>962830008</v>
      </c>
      <c r="AH99" s="42">
        <v>810927994.60000002</v>
      </c>
      <c r="AI99" s="42">
        <v>659617516.17000008</v>
      </c>
      <c r="AJ99" s="42">
        <v>653290690.56999993</v>
      </c>
      <c r="AK99" s="43">
        <v>0</v>
      </c>
      <c r="AL99" s="43">
        <v>653290690.57000005</v>
      </c>
      <c r="AM99" s="42">
        <v>1188453200</v>
      </c>
      <c r="AN99" s="42">
        <v>1188724200</v>
      </c>
      <c r="AO99" s="42">
        <v>1138303793.0599999</v>
      </c>
      <c r="AP99" s="42">
        <v>1044179893.88</v>
      </c>
      <c r="AQ99" s="42">
        <v>1037982860.72</v>
      </c>
      <c r="AR99" s="43">
        <v>117299880.36000001</v>
      </c>
      <c r="AS99" s="43">
        <v>1155282741.0799999</v>
      </c>
      <c r="AT99" s="42">
        <v>1486050000</v>
      </c>
      <c r="AU99" s="42">
        <v>1061352220</v>
      </c>
      <c r="AV99" s="42">
        <v>1026550418.0400001</v>
      </c>
      <c r="AW99" s="42">
        <v>963080029.90999997</v>
      </c>
      <c r="AX99" s="42">
        <v>960267500.35999978</v>
      </c>
      <c r="AY99" s="43">
        <v>75553073.690000013</v>
      </c>
      <c r="AZ99" s="43">
        <v>1035820574.05</v>
      </c>
      <c r="BA99" s="21">
        <f t="shared" si="23"/>
        <v>3422752375</v>
      </c>
      <c r="BB99" s="21">
        <f t="shared" si="24"/>
        <v>3231494428</v>
      </c>
      <c r="BC99" s="21">
        <f t="shared" si="25"/>
        <v>2975782205.6999998</v>
      </c>
      <c r="BD99" s="21">
        <f t="shared" si="26"/>
        <v>2666877439.96</v>
      </c>
      <c r="BE99" s="21">
        <f t="shared" si="27"/>
        <v>2651541051.6499996</v>
      </c>
      <c r="BF99" s="21">
        <f t="shared" si="28"/>
        <v>192852954.05000001</v>
      </c>
      <c r="BG99" s="21">
        <f t="shared" si="29"/>
        <v>2844394005.6999998</v>
      </c>
      <c r="BH99" s="49">
        <f t="shared" si="30"/>
        <v>95.58475080103878</v>
      </c>
      <c r="BI99" s="49">
        <f t="shared" si="31"/>
        <v>88.021009136024418</v>
      </c>
    </row>
    <row r="100" spans="1:61" ht="49.95" customHeight="1" x14ac:dyDescent="0.3">
      <c r="A100" s="19" t="s">
        <v>366</v>
      </c>
      <c r="B100" s="19">
        <v>721</v>
      </c>
      <c r="C100" s="2" t="s">
        <v>170</v>
      </c>
      <c r="D100" s="6" t="s">
        <v>260</v>
      </c>
      <c r="E100" s="24">
        <v>12000</v>
      </c>
      <c r="F100" s="1" t="s">
        <v>171</v>
      </c>
      <c r="G100" s="24">
        <v>5409</v>
      </c>
      <c r="H100" s="68">
        <f>G100*100/E100</f>
        <v>45.075000000000003</v>
      </c>
      <c r="I100" s="68">
        <v>45.075000000000003</v>
      </c>
      <c r="J100" s="33">
        <v>2</v>
      </c>
      <c r="K100" s="57" t="s">
        <v>172</v>
      </c>
      <c r="L100" s="7" t="s">
        <v>631</v>
      </c>
      <c r="M100" s="7" t="s">
        <v>641</v>
      </c>
      <c r="N100" s="7" t="s">
        <v>632</v>
      </c>
      <c r="O100" s="65" t="s">
        <v>539</v>
      </c>
      <c r="P100" s="6" t="s">
        <v>581</v>
      </c>
      <c r="Q100" s="6" t="s">
        <v>532</v>
      </c>
      <c r="R100" s="9">
        <v>1454730000</v>
      </c>
      <c r="S100" s="10">
        <v>1</v>
      </c>
      <c r="T100" s="10">
        <v>9</v>
      </c>
      <c r="U100" s="4"/>
      <c r="V100" s="4" t="s">
        <v>480</v>
      </c>
      <c r="W100" s="10">
        <v>1</v>
      </c>
      <c r="X100" s="10">
        <v>15</v>
      </c>
      <c r="Y100" s="30">
        <v>0</v>
      </c>
      <c r="Z100" s="30">
        <v>18588000</v>
      </c>
      <c r="AA100" s="30">
        <v>0</v>
      </c>
      <c r="AB100" s="30">
        <v>0</v>
      </c>
      <c r="AC100" s="30">
        <v>0</v>
      </c>
      <c r="AD100" s="30">
        <v>0</v>
      </c>
      <c r="AE100" s="30">
        <v>0</v>
      </c>
      <c r="AF100" s="42">
        <v>748249175</v>
      </c>
      <c r="AG100" s="42">
        <v>962830008</v>
      </c>
      <c r="AH100" s="42">
        <v>810927994.60000002</v>
      </c>
      <c r="AI100" s="42">
        <v>659617516.17000008</v>
      </c>
      <c r="AJ100" s="42">
        <v>653290690.56999993</v>
      </c>
      <c r="AK100" s="43">
        <v>0</v>
      </c>
      <c r="AL100" s="43">
        <v>653290690.57000005</v>
      </c>
      <c r="AM100" s="42">
        <v>1188453200</v>
      </c>
      <c r="AN100" s="42">
        <v>1188724200</v>
      </c>
      <c r="AO100" s="42">
        <v>1138303793.0599999</v>
      </c>
      <c r="AP100" s="42">
        <v>1044179893.88</v>
      </c>
      <c r="AQ100" s="42">
        <v>1037982860.72</v>
      </c>
      <c r="AR100" s="43">
        <v>117299880.36000001</v>
      </c>
      <c r="AS100" s="43">
        <v>1155282741.0799999</v>
      </c>
      <c r="AT100" s="42">
        <v>1486050000</v>
      </c>
      <c r="AU100" s="42">
        <v>1061352220</v>
      </c>
      <c r="AV100" s="42">
        <v>1026550418.0400001</v>
      </c>
      <c r="AW100" s="42">
        <v>963080029.90999997</v>
      </c>
      <c r="AX100" s="42">
        <v>960267500.35999978</v>
      </c>
      <c r="AY100" s="43">
        <v>75553073.690000013</v>
      </c>
      <c r="AZ100" s="43">
        <v>1035820574.05</v>
      </c>
      <c r="BA100" s="21">
        <f t="shared" si="23"/>
        <v>3422752375</v>
      </c>
      <c r="BB100" s="21">
        <f t="shared" si="24"/>
        <v>3231494428</v>
      </c>
      <c r="BC100" s="21">
        <f t="shared" si="25"/>
        <v>2975782205.6999998</v>
      </c>
      <c r="BD100" s="21">
        <f t="shared" si="26"/>
        <v>2666877439.96</v>
      </c>
      <c r="BE100" s="21">
        <f t="shared" si="27"/>
        <v>2651541051.6499996</v>
      </c>
      <c r="BF100" s="21">
        <f t="shared" si="28"/>
        <v>192852954.05000001</v>
      </c>
      <c r="BG100" s="21">
        <f t="shared" si="29"/>
        <v>2844394005.6999998</v>
      </c>
      <c r="BH100" s="49">
        <f t="shared" si="30"/>
        <v>95.58475080103878</v>
      </c>
      <c r="BI100" s="49">
        <f t="shared" si="31"/>
        <v>88.021009136024418</v>
      </c>
    </row>
    <row r="101" spans="1:61" ht="49.95" customHeight="1" x14ac:dyDescent="0.3">
      <c r="A101" s="19" t="s">
        <v>367</v>
      </c>
      <c r="B101" s="19">
        <v>721</v>
      </c>
      <c r="C101" s="2" t="s">
        <v>165</v>
      </c>
      <c r="D101" s="50" t="s">
        <v>264</v>
      </c>
      <c r="E101" s="24">
        <v>414</v>
      </c>
      <c r="F101" s="1" t="s">
        <v>166</v>
      </c>
      <c r="G101" s="24">
        <v>266</v>
      </c>
      <c r="H101" s="69">
        <v>15</v>
      </c>
      <c r="I101" s="69">
        <v>15</v>
      </c>
      <c r="J101" s="33">
        <v>1</v>
      </c>
      <c r="K101" s="57" t="s">
        <v>243</v>
      </c>
      <c r="L101" s="7" t="s">
        <v>631</v>
      </c>
      <c r="M101" s="7" t="s">
        <v>644</v>
      </c>
      <c r="N101" s="7" t="s">
        <v>636</v>
      </c>
      <c r="O101" s="65"/>
      <c r="P101" s="6"/>
      <c r="Q101" s="6"/>
      <c r="R101" s="9"/>
      <c r="S101" s="10"/>
      <c r="T101" s="10"/>
      <c r="U101" s="4" t="s">
        <v>481</v>
      </c>
      <c r="V101" s="4" t="s">
        <v>481</v>
      </c>
      <c r="W101" s="10">
        <v>1</v>
      </c>
      <c r="X101" s="10">
        <v>1</v>
      </c>
      <c r="Y101" s="43">
        <v>12700000</v>
      </c>
      <c r="Z101" s="43">
        <v>13144500</v>
      </c>
      <c r="AA101" s="43">
        <v>12665271.210000001</v>
      </c>
      <c r="AB101" s="43">
        <v>8795045.2100000009</v>
      </c>
      <c r="AC101" s="43">
        <v>8795045.2100000009</v>
      </c>
      <c r="AD101" s="43">
        <v>0</v>
      </c>
      <c r="AE101" s="43">
        <v>8795045.2100000009</v>
      </c>
      <c r="AF101" s="43">
        <v>14700000</v>
      </c>
      <c r="AG101" s="43">
        <v>14700000</v>
      </c>
      <c r="AH101" s="43">
        <v>14461894.01</v>
      </c>
      <c r="AI101" s="43">
        <v>11987236.57</v>
      </c>
      <c r="AJ101" s="43">
        <v>11987236.57</v>
      </c>
      <c r="AK101" s="43">
        <v>3843154.18</v>
      </c>
      <c r="AL101" s="43">
        <v>15830390.75</v>
      </c>
      <c r="AM101" s="43">
        <v>14700000</v>
      </c>
      <c r="AN101" s="43">
        <v>14299950</v>
      </c>
      <c r="AO101" s="43">
        <v>11076973.669999998</v>
      </c>
      <c r="AP101" s="43">
        <v>10406482.659999998</v>
      </c>
      <c r="AQ101" s="43">
        <v>10406482.659999998</v>
      </c>
      <c r="AR101" s="43">
        <v>2375960.59</v>
      </c>
      <c r="AS101" s="43">
        <v>12782443.25</v>
      </c>
      <c r="AT101" s="43">
        <v>14860000</v>
      </c>
      <c r="AU101" s="43">
        <v>14560000</v>
      </c>
      <c r="AV101" s="43">
        <v>14518693.25</v>
      </c>
      <c r="AW101" s="43">
        <v>13651263.029999999</v>
      </c>
      <c r="AX101" s="43">
        <v>13184902.16</v>
      </c>
      <c r="AY101" s="43">
        <v>723606.89</v>
      </c>
      <c r="AZ101" s="43">
        <v>13908509.050000001</v>
      </c>
      <c r="BA101" s="21">
        <f t="shared" si="23"/>
        <v>56960000</v>
      </c>
      <c r="BB101" s="21">
        <f t="shared" si="24"/>
        <v>56704450</v>
      </c>
      <c r="BC101" s="21">
        <f t="shared" si="25"/>
        <v>52722832.140000001</v>
      </c>
      <c r="BD101" s="21">
        <f t="shared" si="26"/>
        <v>44840027.469999999</v>
      </c>
      <c r="BE101" s="21">
        <f t="shared" si="27"/>
        <v>44373666.599999994</v>
      </c>
      <c r="BF101" s="21">
        <f t="shared" si="28"/>
        <v>6942721.6599999992</v>
      </c>
      <c r="BG101" s="21">
        <f t="shared" si="29"/>
        <v>51316388.260000005</v>
      </c>
      <c r="BH101" s="49">
        <f t="shared" si="30"/>
        <v>97.332381772918936</v>
      </c>
      <c r="BI101" s="49">
        <f t="shared" si="31"/>
        <v>90.49799135693938</v>
      </c>
    </row>
    <row r="102" spans="1:61" ht="49.95" customHeight="1" x14ac:dyDescent="0.3">
      <c r="A102" s="19" t="s">
        <v>368</v>
      </c>
      <c r="B102" s="19">
        <v>724</v>
      </c>
      <c r="C102" s="2" t="s">
        <v>185</v>
      </c>
      <c r="D102" s="8" t="s">
        <v>260</v>
      </c>
      <c r="E102" s="24">
        <v>50000</v>
      </c>
      <c r="F102" s="1" t="s">
        <v>186</v>
      </c>
      <c r="G102" s="24">
        <v>57334</v>
      </c>
      <c r="H102" s="68">
        <f t="shared" ref="H102:H113" si="34">G102*100/E102</f>
        <v>114.66800000000001</v>
      </c>
      <c r="I102" s="68">
        <v>100</v>
      </c>
      <c r="J102" s="33">
        <v>5</v>
      </c>
      <c r="K102" s="56"/>
      <c r="L102" s="7" t="s">
        <v>631</v>
      </c>
      <c r="M102" s="7" t="s">
        <v>641</v>
      </c>
      <c r="N102" s="7" t="s">
        <v>632</v>
      </c>
      <c r="O102" s="65" t="s">
        <v>540</v>
      </c>
      <c r="P102" s="9">
        <v>20000</v>
      </c>
      <c r="Q102" s="6" t="s">
        <v>465</v>
      </c>
      <c r="R102" s="9">
        <v>45400000</v>
      </c>
      <c r="S102" s="10">
        <v>1</v>
      </c>
      <c r="T102" s="10">
        <v>5</v>
      </c>
      <c r="U102" s="4"/>
      <c r="V102" s="4" t="s">
        <v>482</v>
      </c>
      <c r="W102" s="10">
        <v>1</v>
      </c>
      <c r="X102" s="10">
        <v>8</v>
      </c>
      <c r="Y102" s="30">
        <v>0</v>
      </c>
      <c r="Z102" s="30">
        <v>400000</v>
      </c>
      <c r="AA102" s="30">
        <v>0</v>
      </c>
      <c r="AB102" s="30">
        <v>0</v>
      </c>
      <c r="AC102" s="30">
        <v>0</v>
      </c>
      <c r="AD102" s="30">
        <v>0</v>
      </c>
      <c r="AE102" s="30">
        <v>0</v>
      </c>
      <c r="AF102" s="30">
        <v>52930000</v>
      </c>
      <c r="AG102" s="30">
        <v>43880000</v>
      </c>
      <c r="AH102" s="30">
        <v>37706979.75</v>
      </c>
      <c r="AI102" s="30">
        <v>29450292.920000002</v>
      </c>
      <c r="AJ102" s="30">
        <v>29450292.920000002</v>
      </c>
      <c r="AK102" s="30">
        <v>0</v>
      </c>
      <c r="AL102" s="30">
        <v>29450292.920000002</v>
      </c>
      <c r="AM102" s="30">
        <v>53200000</v>
      </c>
      <c r="AN102" s="30">
        <v>39400000</v>
      </c>
      <c r="AO102" s="30">
        <v>32197881.890000001</v>
      </c>
      <c r="AP102" s="30">
        <v>20656427.259999998</v>
      </c>
      <c r="AQ102" s="30">
        <v>20656427.259999998</v>
      </c>
      <c r="AR102" s="30">
        <v>6068714</v>
      </c>
      <c r="AS102" s="30">
        <v>26725141.259999998</v>
      </c>
      <c r="AT102" s="21">
        <v>45000000</v>
      </c>
      <c r="AU102" s="21">
        <v>44700000</v>
      </c>
      <c r="AV102" s="21">
        <v>15706516.449999999</v>
      </c>
      <c r="AW102" s="21">
        <v>7309939.7400000002</v>
      </c>
      <c r="AX102" s="23">
        <v>6809416.7400000002</v>
      </c>
      <c r="AY102" s="23">
        <v>8641711.9900000002</v>
      </c>
      <c r="AZ102" s="23">
        <v>15451128.73</v>
      </c>
      <c r="BA102" s="21">
        <f t="shared" si="23"/>
        <v>151130000</v>
      </c>
      <c r="BB102" s="21">
        <f t="shared" si="24"/>
        <v>128380000</v>
      </c>
      <c r="BC102" s="21">
        <f t="shared" si="25"/>
        <v>85611378.090000004</v>
      </c>
      <c r="BD102" s="21">
        <f t="shared" si="26"/>
        <v>57416659.920000002</v>
      </c>
      <c r="BE102" s="21">
        <f t="shared" si="27"/>
        <v>56916136.920000002</v>
      </c>
      <c r="BF102" s="21">
        <f t="shared" si="28"/>
        <v>14710425.99</v>
      </c>
      <c r="BG102" s="21">
        <f t="shared" si="29"/>
        <v>71626562.909999996</v>
      </c>
      <c r="BH102" s="49">
        <f t="shared" si="30"/>
        <v>83.66477039383912</v>
      </c>
      <c r="BI102" s="49">
        <f t="shared" si="31"/>
        <v>55.792617938931301</v>
      </c>
    </row>
    <row r="103" spans="1:61" ht="49.95" customHeight="1" x14ac:dyDescent="0.3">
      <c r="A103" s="19" t="s">
        <v>369</v>
      </c>
      <c r="B103" s="19">
        <v>724</v>
      </c>
      <c r="C103" s="2" t="s">
        <v>187</v>
      </c>
      <c r="D103" s="51" t="s">
        <v>262</v>
      </c>
      <c r="E103" s="24">
        <v>80</v>
      </c>
      <c r="F103" s="1" t="s">
        <v>33</v>
      </c>
      <c r="G103" s="24">
        <v>5.9</v>
      </c>
      <c r="H103" s="69">
        <f t="shared" si="34"/>
        <v>7.375</v>
      </c>
      <c r="I103" s="69">
        <v>7.375</v>
      </c>
      <c r="J103" s="33">
        <v>1</v>
      </c>
      <c r="K103" s="57" t="s">
        <v>188</v>
      </c>
      <c r="L103" s="7" t="s">
        <v>631</v>
      </c>
      <c r="M103" s="7" t="s">
        <v>644</v>
      </c>
      <c r="N103" s="7" t="s">
        <v>632</v>
      </c>
      <c r="O103" s="65" t="s">
        <v>541</v>
      </c>
      <c r="P103" s="12">
        <v>50</v>
      </c>
      <c r="Q103" s="6" t="s">
        <v>460</v>
      </c>
      <c r="R103" s="9">
        <v>50000000</v>
      </c>
      <c r="S103" s="20">
        <v>1</v>
      </c>
      <c r="T103" s="20">
        <v>1</v>
      </c>
      <c r="U103" s="4"/>
      <c r="V103" s="4">
        <v>8287</v>
      </c>
      <c r="W103" s="20">
        <v>1</v>
      </c>
      <c r="X103" s="20">
        <v>1</v>
      </c>
      <c r="Y103" s="31">
        <v>33400000</v>
      </c>
      <c r="Z103" s="31">
        <v>33866667</v>
      </c>
      <c r="AA103" s="31">
        <v>9696624.4900000002</v>
      </c>
      <c r="AB103" s="31">
        <v>2757643.6399999997</v>
      </c>
      <c r="AC103" s="31">
        <v>2757643.6399999997</v>
      </c>
      <c r="AD103" s="31">
        <v>0</v>
      </c>
      <c r="AE103" s="31">
        <v>2757643.64</v>
      </c>
      <c r="AF103" s="31">
        <v>44610000</v>
      </c>
      <c r="AG103" s="31">
        <v>40610000</v>
      </c>
      <c r="AH103" s="31">
        <v>34767872.049999997</v>
      </c>
      <c r="AI103" s="31">
        <v>29458565.379999999</v>
      </c>
      <c r="AJ103" s="31">
        <v>29458565.379999999</v>
      </c>
      <c r="AK103" s="31">
        <v>3717327.85</v>
      </c>
      <c r="AL103" s="31">
        <v>33175893.23</v>
      </c>
      <c r="AM103" s="31">
        <v>50000000</v>
      </c>
      <c r="AN103" s="31">
        <v>35000000</v>
      </c>
      <c r="AO103" s="31">
        <v>32245400</v>
      </c>
      <c r="AP103" s="31">
        <v>24633134.240000002</v>
      </c>
      <c r="AQ103" s="31">
        <v>24633134.240000002</v>
      </c>
      <c r="AR103" s="31">
        <v>4955509.96</v>
      </c>
      <c r="AS103" s="31">
        <v>29588644.199999999</v>
      </c>
      <c r="AT103" s="23">
        <v>50000000</v>
      </c>
      <c r="AU103" s="23">
        <v>50000000</v>
      </c>
      <c r="AV103" s="23">
        <v>22909183.690000001</v>
      </c>
      <c r="AW103" s="23">
        <v>8375688.2000000002</v>
      </c>
      <c r="AX103" s="23">
        <v>8375688.2000000002</v>
      </c>
      <c r="AY103" s="23">
        <v>3447055.07</v>
      </c>
      <c r="AZ103" s="23">
        <v>11822743.27</v>
      </c>
      <c r="BA103" s="21">
        <f t="shared" si="23"/>
        <v>178010000</v>
      </c>
      <c r="BB103" s="21">
        <f t="shared" si="24"/>
        <v>159476667</v>
      </c>
      <c r="BC103" s="21">
        <f t="shared" si="25"/>
        <v>99619080.229999989</v>
      </c>
      <c r="BD103" s="21">
        <f t="shared" si="26"/>
        <v>65225031.460000008</v>
      </c>
      <c r="BE103" s="21">
        <f t="shared" si="27"/>
        <v>65225031.460000008</v>
      </c>
      <c r="BF103" s="21">
        <f t="shared" si="28"/>
        <v>12119892.880000001</v>
      </c>
      <c r="BG103" s="21">
        <f t="shared" si="29"/>
        <v>77344924.339999989</v>
      </c>
      <c r="BH103" s="49">
        <f t="shared" si="30"/>
        <v>77.640673013067826</v>
      </c>
      <c r="BI103" s="49">
        <f t="shared" si="31"/>
        <v>48.49921044562587</v>
      </c>
    </row>
    <row r="104" spans="1:61" ht="49.95" customHeight="1" x14ac:dyDescent="0.3">
      <c r="A104" s="19" t="s">
        <v>370</v>
      </c>
      <c r="B104" s="19">
        <v>724</v>
      </c>
      <c r="C104" s="2" t="s">
        <v>189</v>
      </c>
      <c r="D104" s="51" t="s">
        <v>262</v>
      </c>
      <c r="E104" s="24">
        <v>27</v>
      </c>
      <c r="F104" s="1" t="s">
        <v>190</v>
      </c>
      <c r="G104" s="24">
        <v>34</v>
      </c>
      <c r="H104" s="68">
        <f t="shared" si="34"/>
        <v>125.92592592592592</v>
      </c>
      <c r="I104" s="68">
        <v>100</v>
      </c>
      <c r="J104" s="33">
        <v>5</v>
      </c>
      <c r="K104" s="56"/>
      <c r="L104" s="7" t="s">
        <v>631</v>
      </c>
      <c r="M104" s="7" t="s">
        <v>644</v>
      </c>
      <c r="N104" s="7" t="s">
        <v>632</v>
      </c>
      <c r="O104" s="65" t="s">
        <v>542</v>
      </c>
      <c r="P104" s="12">
        <v>6</v>
      </c>
      <c r="Q104" s="6" t="s">
        <v>464</v>
      </c>
      <c r="R104" s="9">
        <v>45400000</v>
      </c>
      <c r="S104" s="20">
        <v>1</v>
      </c>
      <c r="T104" s="20">
        <v>5</v>
      </c>
      <c r="U104" s="4"/>
      <c r="V104" s="4" t="s">
        <v>482</v>
      </c>
      <c r="W104" s="20">
        <v>1</v>
      </c>
      <c r="X104" s="20">
        <v>8</v>
      </c>
      <c r="Y104" s="30">
        <v>0</v>
      </c>
      <c r="Z104" s="30">
        <v>400000</v>
      </c>
      <c r="AA104" s="30">
        <v>0</v>
      </c>
      <c r="AB104" s="30">
        <v>0</v>
      </c>
      <c r="AC104" s="30">
        <v>0</v>
      </c>
      <c r="AD104" s="30">
        <v>0</v>
      </c>
      <c r="AE104" s="30">
        <v>0</v>
      </c>
      <c r="AF104" s="30">
        <v>52930000</v>
      </c>
      <c r="AG104" s="30">
        <v>43880000</v>
      </c>
      <c r="AH104" s="30">
        <v>37706979.75</v>
      </c>
      <c r="AI104" s="30">
        <v>29450292.920000002</v>
      </c>
      <c r="AJ104" s="30">
        <v>29450292.920000002</v>
      </c>
      <c r="AK104" s="30">
        <v>0</v>
      </c>
      <c r="AL104" s="30">
        <v>29450292.920000002</v>
      </c>
      <c r="AM104" s="30">
        <v>53200000</v>
      </c>
      <c r="AN104" s="30">
        <v>39400000</v>
      </c>
      <c r="AO104" s="30">
        <v>32197881.890000001</v>
      </c>
      <c r="AP104" s="30">
        <v>20656427.259999998</v>
      </c>
      <c r="AQ104" s="30">
        <v>20656427.259999998</v>
      </c>
      <c r="AR104" s="30">
        <v>6068714</v>
      </c>
      <c r="AS104" s="30">
        <v>26725141.259999998</v>
      </c>
      <c r="AT104" s="21">
        <v>45000000</v>
      </c>
      <c r="AU104" s="21">
        <v>44700000</v>
      </c>
      <c r="AV104" s="21">
        <v>15706516.449999999</v>
      </c>
      <c r="AW104" s="21">
        <v>7309939.7400000002</v>
      </c>
      <c r="AX104" s="23">
        <v>6809416.7400000002</v>
      </c>
      <c r="AY104" s="23">
        <v>8641711.9900000002</v>
      </c>
      <c r="AZ104" s="23">
        <v>15451128.73</v>
      </c>
      <c r="BA104" s="21">
        <f t="shared" si="23"/>
        <v>151130000</v>
      </c>
      <c r="BB104" s="21">
        <f t="shared" si="24"/>
        <v>128380000</v>
      </c>
      <c r="BC104" s="21">
        <f t="shared" si="25"/>
        <v>85611378.090000004</v>
      </c>
      <c r="BD104" s="21">
        <f t="shared" si="26"/>
        <v>57416659.920000002</v>
      </c>
      <c r="BE104" s="21">
        <f t="shared" si="27"/>
        <v>56916136.920000002</v>
      </c>
      <c r="BF104" s="21">
        <f t="shared" si="28"/>
        <v>14710425.99</v>
      </c>
      <c r="BG104" s="21">
        <f t="shared" si="29"/>
        <v>71626562.909999996</v>
      </c>
      <c r="BH104" s="49">
        <f t="shared" si="30"/>
        <v>83.66477039383912</v>
      </c>
      <c r="BI104" s="49">
        <f t="shared" si="31"/>
        <v>55.792617938931301</v>
      </c>
    </row>
    <row r="105" spans="1:61" ht="49.95" customHeight="1" x14ac:dyDescent="0.3">
      <c r="A105" s="19" t="s">
        <v>371</v>
      </c>
      <c r="B105" s="19">
        <v>724</v>
      </c>
      <c r="C105" s="2" t="s">
        <v>191</v>
      </c>
      <c r="D105" s="1" t="s">
        <v>264</v>
      </c>
      <c r="E105" s="24">
        <v>80000</v>
      </c>
      <c r="F105" s="1" t="s">
        <v>186</v>
      </c>
      <c r="G105" s="24">
        <v>111819</v>
      </c>
      <c r="H105" s="68">
        <f t="shared" si="34"/>
        <v>139.77375000000001</v>
      </c>
      <c r="I105" s="68">
        <v>100</v>
      </c>
      <c r="J105" s="33">
        <v>5</v>
      </c>
      <c r="K105" s="56"/>
      <c r="L105" s="7" t="s">
        <v>631</v>
      </c>
      <c r="M105" s="7" t="s">
        <v>644</v>
      </c>
      <c r="N105" s="7" t="s">
        <v>632</v>
      </c>
      <c r="O105" s="65"/>
      <c r="P105" s="12"/>
      <c r="Q105" s="27"/>
      <c r="R105" s="9"/>
      <c r="S105" s="20"/>
      <c r="T105" s="20"/>
      <c r="U105" s="4" t="s">
        <v>482</v>
      </c>
      <c r="V105" s="4" t="s">
        <v>482</v>
      </c>
      <c r="W105" s="20">
        <v>1</v>
      </c>
      <c r="X105" s="20">
        <v>8</v>
      </c>
      <c r="Y105" s="30">
        <v>0</v>
      </c>
      <c r="Z105" s="30">
        <v>400000</v>
      </c>
      <c r="AA105" s="30">
        <v>0</v>
      </c>
      <c r="AB105" s="30">
        <v>0</v>
      </c>
      <c r="AC105" s="30">
        <v>0</v>
      </c>
      <c r="AD105" s="30">
        <v>0</v>
      </c>
      <c r="AE105" s="30">
        <v>0</v>
      </c>
      <c r="AF105" s="30">
        <v>52930000</v>
      </c>
      <c r="AG105" s="30">
        <v>43880000</v>
      </c>
      <c r="AH105" s="30">
        <v>37706979.75</v>
      </c>
      <c r="AI105" s="30">
        <v>29450292.920000002</v>
      </c>
      <c r="AJ105" s="30">
        <v>29450292.920000002</v>
      </c>
      <c r="AK105" s="30">
        <v>0</v>
      </c>
      <c r="AL105" s="30">
        <v>29450292.920000002</v>
      </c>
      <c r="AM105" s="30">
        <v>53200000</v>
      </c>
      <c r="AN105" s="30">
        <v>39400000</v>
      </c>
      <c r="AO105" s="30">
        <v>32197881.890000001</v>
      </c>
      <c r="AP105" s="30">
        <v>20656427.259999998</v>
      </c>
      <c r="AQ105" s="30">
        <v>20656427.259999998</v>
      </c>
      <c r="AR105" s="30">
        <v>6068714</v>
      </c>
      <c r="AS105" s="30">
        <v>26725141.259999998</v>
      </c>
      <c r="AT105" s="21">
        <v>45000000</v>
      </c>
      <c r="AU105" s="21">
        <v>44700000</v>
      </c>
      <c r="AV105" s="21">
        <v>15706516.449999999</v>
      </c>
      <c r="AW105" s="21">
        <v>7309939.7400000002</v>
      </c>
      <c r="AX105" s="23">
        <v>6809416.7400000002</v>
      </c>
      <c r="AY105" s="23">
        <v>8641711.9900000002</v>
      </c>
      <c r="AZ105" s="23">
        <v>15451128.73</v>
      </c>
      <c r="BA105" s="21">
        <f t="shared" si="23"/>
        <v>151130000</v>
      </c>
      <c r="BB105" s="21">
        <f t="shared" si="24"/>
        <v>128380000</v>
      </c>
      <c r="BC105" s="21">
        <f t="shared" si="25"/>
        <v>85611378.090000004</v>
      </c>
      <c r="BD105" s="21">
        <f t="shared" si="26"/>
        <v>57416659.920000002</v>
      </c>
      <c r="BE105" s="21">
        <f t="shared" si="27"/>
        <v>56916136.920000002</v>
      </c>
      <c r="BF105" s="21">
        <f t="shared" si="28"/>
        <v>14710425.99</v>
      </c>
      <c r="BG105" s="21">
        <f t="shared" si="29"/>
        <v>71626562.909999996</v>
      </c>
      <c r="BH105" s="49">
        <f t="shared" si="30"/>
        <v>83.66477039383912</v>
      </c>
      <c r="BI105" s="49">
        <f t="shared" si="31"/>
        <v>55.792617938931301</v>
      </c>
    </row>
    <row r="106" spans="1:61" ht="49.95" customHeight="1" x14ac:dyDescent="0.3">
      <c r="A106" s="19" t="s">
        <v>372</v>
      </c>
      <c r="B106" s="19">
        <v>724</v>
      </c>
      <c r="C106" s="2" t="s">
        <v>192</v>
      </c>
      <c r="D106" s="50" t="s">
        <v>264</v>
      </c>
      <c r="E106" s="24">
        <v>6</v>
      </c>
      <c r="F106" s="1" t="s">
        <v>193</v>
      </c>
      <c r="G106" s="24">
        <v>9</v>
      </c>
      <c r="H106" s="68">
        <f t="shared" si="34"/>
        <v>150</v>
      </c>
      <c r="I106" s="68">
        <v>100</v>
      </c>
      <c r="J106" s="33">
        <v>5</v>
      </c>
      <c r="K106" s="56"/>
      <c r="L106" s="7" t="s">
        <v>631</v>
      </c>
      <c r="M106" s="7" t="s">
        <v>644</v>
      </c>
      <c r="N106" s="7" t="s">
        <v>632</v>
      </c>
      <c r="O106" s="65"/>
      <c r="P106" s="12"/>
      <c r="Q106" s="27"/>
      <c r="R106" s="9"/>
      <c r="S106" s="20"/>
      <c r="T106" s="20"/>
      <c r="U106" s="4" t="s">
        <v>482</v>
      </c>
      <c r="V106" s="4" t="s">
        <v>482</v>
      </c>
      <c r="W106" s="20">
        <v>1</v>
      </c>
      <c r="X106" s="20">
        <v>8</v>
      </c>
      <c r="Y106" s="30">
        <v>0</v>
      </c>
      <c r="Z106" s="30">
        <v>400000</v>
      </c>
      <c r="AA106" s="30">
        <v>0</v>
      </c>
      <c r="AB106" s="30">
        <v>0</v>
      </c>
      <c r="AC106" s="30">
        <v>0</v>
      </c>
      <c r="AD106" s="30">
        <v>0</v>
      </c>
      <c r="AE106" s="30">
        <v>0</v>
      </c>
      <c r="AF106" s="30">
        <v>52930000</v>
      </c>
      <c r="AG106" s="30">
        <v>43880000</v>
      </c>
      <c r="AH106" s="30">
        <v>37706979.75</v>
      </c>
      <c r="AI106" s="30">
        <v>29450292.920000002</v>
      </c>
      <c r="AJ106" s="30">
        <v>29450292.920000002</v>
      </c>
      <c r="AK106" s="30">
        <v>0</v>
      </c>
      <c r="AL106" s="30">
        <v>29450292.920000002</v>
      </c>
      <c r="AM106" s="30">
        <v>53200000</v>
      </c>
      <c r="AN106" s="30">
        <v>39400000</v>
      </c>
      <c r="AO106" s="30">
        <v>32197881.890000001</v>
      </c>
      <c r="AP106" s="30">
        <v>20656427.259999998</v>
      </c>
      <c r="AQ106" s="30">
        <v>20656427.259999998</v>
      </c>
      <c r="AR106" s="30">
        <v>6068714</v>
      </c>
      <c r="AS106" s="30">
        <v>26725141.259999998</v>
      </c>
      <c r="AT106" s="53">
        <v>45000000</v>
      </c>
      <c r="AU106" s="53">
        <v>44700000</v>
      </c>
      <c r="AV106" s="53">
        <v>15706516.449999999</v>
      </c>
      <c r="AW106" s="53">
        <v>7309939.7400000002</v>
      </c>
      <c r="AX106" s="55">
        <v>6809416.7400000002</v>
      </c>
      <c r="AY106" s="23">
        <v>8641711.9900000002</v>
      </c>
      <c r="AZ106" s="23">
        <v>15451128.73</v>
      </c>
      <c r="BA106" s="21">
        <f t="shared" si="23"/>
        <v>151130000</v>
      </c>
      <c r="BB106" s="21">
        <f t="shared" si="24"/>
        <v>128380000</v>
      </c>
      <c r="BC106" s="21">
        <f t="shared" si="25"/>
        <v>85611378.090000004</v>
      </c>
      <c r="BD106" s="21">
        <f t="shared" si="26"/>
        <v>57416659.920000002</v>
      </c>
      <c r="BE106" s="21">
        <f t="shared" si="27"/>
        <v>56916136.920000002</v>
      </c>
      <c r="BF106" s="21">
        <f t="shared" si="28"/>
        <v>14710425.99</v>
      </c>
      <c r="BG106" s="21">
        <f t="shared" si="29"/>
        <v>71626562.909999996</v>
      </c>
      <c r="BH106" s="49">
        <f t="shared" si="30"/>
        <v>83.66477039383912</v>
      </c>
      <c r="BI106" s="49">
        <f t="shared" si="31"/>
        <v>55.792617938931301</v>
      </c>
    </row>
    <row r="107" spans="1:61" ht="49.95" customHeight="1" x14ac:dyDescent="0.3">
      <c r="A107" s="19" t="s">
        <v>373</v>
      </c>
      <c r="B107" s="19">
        <v>724</v>
      </c>
      <c r="C107" s="2" t="s">
        <v>194</v>
      </c>
      <c r="D107" s="50" t="s">
        <v>264</v>
      </c>
      <c r="E107" s="24">
        <v>6</v>
      </c>
      <c r="F107" s="1" t="s">
        <v>195</v>
      </c>
      <c r="G107" s="24">
        <v>7</v>
      </c>
      <c r="H107" s="68">
        <f t="shared" si="34"/>
        <v>116.66666666666667</v>
      </c>
      <c r="I107" s="68">
        <v>100</v>
      </c>
      <c r="J107" s="33">
        <v>5</v>
      </c>
      <c r="K107" s="56"/>
      <c r="L107" s="7" t="s">
        <v>631</v>
      </c>
      <c r="M107" s="7" t="s">
        <v>644</v>
      </c>
      <c r="N107" s="7" t="s">
        <v>636</v>
      </c>
      <c r="O107" s="65"/>
      <c r="P107" s="12"/>
      <c r="Q107" s="27"/>
      <c r="R107" s="9"/>
      <c r="S107" s="20"/>
      <c r="T107" s="20"/>
      <c r="U107" s="4" t="s">
        <v>482</v>
      </c>
      <c r="V107" s="4" t="s">
        <v>482</v>
      </c>
      <c r="W107" s="20">
        <v>1</v>
      </c>
      <c r="X107" s="20">
        <v>8</v>
      </c>
      <c r="Y107" s="30">
        <v>0</v>
      </c>
      <c r="Z107" s="30">
        <v>400000</v>
      </c>
      <c r="AA107" s="30">
        <v>0</v>
      </c>
      <c r="AB107" s="30">
        <v>0</v>
      </c>
      <c r="AC107" s="30">
        <v>0</v>
      </c>
      <c r="AD107" s="30">
        <v>0</v>
      </c>
      <c r="AE107" s="30">
        <v>0</v>
      </c>
      <c r="AF107" s="30">
        <v>52930000</v>
      </c>
      <c r="AG107" s="30">
        <v>43880000</v>
      </c>
      <c r="AH107" s="30">
        <v>37706979.75</v>
      </c>
      <c r="AI107" s="30">
        <v>29450292.920000002</v>
      </c>
      <c r="AJ107" s="30">
        <v>29450292.920000002</v>
      </c>
      <c r="AK107" s="30">
        <v>0</v>
      </c>
      <c r="AL107" s="30">
        <v>29450292.920000002</v>
      </c>
      <c r="AM107" s="30">
        <v>53200000</v>
      </c>
      <c r="AN107" s="30">
        <v>39400000</v>
      </c>
      <c r="AO107" s="30">
        <v>32197881.890000001</v>
      </c>
      <c r="AP107" s="30">
        <v>20656427.259999998</v>
      </c>
      <c r="AQ107" s="30">
        <v>20656427.259999998</v>
      </c>
      <c r="AR107" s="30">
        <v>6068714</v>
      </c>
      <c r="AS107" s="30">
        <v>26725141.259999998</v>
      </c>
      <c r="AT107" s="53">
        <v>45000000</v>
      </c>
      <c r="AU107" s="53">
        <v>44700000</v>
      </c>
      <c r="AV107" s="53">
        <v>15706516.449999999</v>
      </c>
      <c r="AW107" s="53">
        <v>7309939.7400000002</v>
      </c>
      <c r="AX107" s="55">
        <v>6809416.7400000002</v>
      </c>
      <c r="AY107" s="23">
        <v>8641711.9900000002</v>
      </c>
      <c r="AZ107" s="23">
        <v>15451128.73</v>
      </c>
      <c r="BA107" s="21">
        <f t="shared" si="23"/>
        <v>151130000</v>
      </c>
      <c r="BB107" s="21">
        <f t="shared" si="24"/>
        <v>128380000</v>
      </c>
      <c r="BC107" s="21">
        <f t="shared" si="25"/>
        <v>85611378.090000004</v>
      </c>
      <c r="BD107" s="21">
        <f t="shared" si="26"/>
        <v>57416659.920000002</v>
      </c>
      <c r="BE107" s="21">
        <f t="shared" si="27"/>
        <v>56916136.920000002</v>
      </c>
      <c r="BF107" s="21">
        <f t="shared" si="28"/>
        <v>14710425.99</v>
      </c>
      <c r="BG107" s="21">
        <f t="shared" si="29"/>
        <v>71626562.909999996</v>
      </c>
      <c r="BH107" s="49">
        <f t="shared" si="30"/>
        <v>83.66477039383912</v>
      </c>
      <c r="BI107" s="49">
        <f t="shared" si="31"/>
        <v>55.792617938931301</v>
      </c>
    </row>
    <row r="108" spans="1:61" ht="49.95" customHeight="1" x14ac:dyDescent="0.3">
      <c r="A108" s="19" t="s">
        <v>374</v>
      </c>
      <c r="B108" s="19">
        <v>725</v>
      </c>
      <c r="C108" s="2" t="s">
        <v>196</v>
      </c>
      <c r="D108" s="51" t="s">
        <v>260</v>
      </c>
      <c r="E108" s="24">
        <v>400000</v>
      </c>
      <c r="F108" s="1" t="s">
        <v>197</v>
      </c>
      <c r="G108" s="24">
        <v>304057</v>
      </c>
      <c r="H108" s="68">
        <f t="shared" si="34"/>
        <v>76.014250000000004</v>
      </c>
      <c r="I108" s="68">
        <v>76.014250000000004</v>
      </c>
      <c r="J108" s="33">
        <v>3</v>
      </c>
      <c r="K108" s="56"/>
      <c r="L108" s="7" t="s">
        <v>631</v>
      </c>
      <c r="M108" s="7" t="s">
        <v>644</v>
      </c>
      <c r="N108" s="7" t="s">
        <v>636</v>
      </c>
      <c r="O108" s="65" t="s">
        <v>543</v>
      </c>
      <c r="P108" s="9">
        <v>100000</v>
      </c>
      <c r="Q108" s="6" t="s">
        <v>544</v>
      </c>
      <c r="R108" s="9">
        <v>79000000</v>
      </c>
      <c r="S108" s="20">
        <v>1</v>
      </c>
      <c r="T108" s="20">
        <v>3</v>
      </c>
      <c r="U108" s="4"/>
      <c r="V108" s="4">
        <v>6182</v>
      </c>
      <c r="W108" s="20">
        <v>1</v>
      </c>
      <c r="X108" s="20">
        <v>3</v>
      </c>
      <c r="Y108" s="31">
        <v>39000000</v>
      </c>
      <c r="Z108" s="31">
        <v>43900000</v>
      </c>
      <c r="AA108" s="31">
        <v>24056179.510000002</v>
      </c>
      <c r="AB108" s="31">
        <v>15792642.060000001</v>
      </c>
      <c r="AC108" s="31">
        <v>15778962.060000001</v>
      </c>
      <c r="AD108" s="31">
        <v>0</v>
      </c>
      <c r="AE108" s="31">
        <v>15778962.060000001</v>
      </c>
      <c r="AF108" s="54">
        <v>46800000</v>
      </c>
      <c r="AG108" s="54">
        <v>60700000</v>
      </c>
      <c r="AH108" s="54">
        <v>57925167.890000001</v>
      </c>
      <c r="AI108" s="54">
        <v>48061021.390000001</v>
      </c>
      <c r="AJ108" s="54">
        <v>48061021.390000001</v>
      </c>
      <c r="AK108" s="31">
        <v>4454573.9000000004</v>
      </c>
      <c r="AL108" s="31">
        <v>52515595.289999999</v>
      </c>
      <c r="AM108" s="54">
        <v>81200000</v>
      </c>
      <c r="AN108" s="54">
        <v>62500000</v>
      </c>
      <c r="AO108" s="54">
        <v>58821371.270000003</v>
      </c>
      <c r="AP108" s="54">
        <v>41393606.200000003</v>
      </c>
      <c r="AQ108" s="54">
        <v>41392856.200000003</v>
      </c>
      <c r="AR108" s="31">
        <v>9572631.2799999993</v>
      </c>
      <c r="AS108" s="31">
        <v>50965487.480000004</v>
      </c>
      <c r="AT108" s="43">
        <v>79000000</v>
      </c>
      <c r="AU108" s="43">
        <v>79000000</v>
      </c>
      <c r="AV108" s="43">
        <v>63090171.799999997</v>
      </c>
      <c r="AW108" s="43">
        <v>55103441.759999998</v>
      </c>
      <c r="AX108" s="43">
        <v>55103441.759999998</v>
      </c>
      <c r="AY108" s="23">
        <v>16984772.489999998</v>
      </c>
      <c r="AZ108" s="23">
        <v>72088214.25</v>
      </c>
      <c r="BA108" s="21">
        <f t="shared" si="23"/>
        <v>246000000</v>
      </c>
      <c r="BB108" s="21">
        <f t="shared" si="24"/>
        <v>246100000</v>
      </c>
      <c r="BC108" s="21">
        <f t="shared" si="25"/>
        <v>203892890.47000003</v>
      </c>
      <c r="BD108" s="21">
        <f t="shared" si="26"/>
        <v>160350711.41</v>
      </c>
      <c r="BE108" s="21">
        <f t="shared" si="27"/>
        <v>160336281.41</v>
      </c>
      <c r="BF108" s="21">
        <f t="shared" si="28"/>
        <v>31011977.669999998</v>
      </c>
      <c r="BG108" s="21">
        <f t="shared" si="29"/>
        <v>191348259.07999998</v>
      </c>
      <c r="BH108" s="49">
        <f t="shared" si="30"/>
        <v>93.847440506099545</v>
      </c>
      <c r="BI108" s="49">
        <f t="shared" si="31"/>
        <v>77.752238553433557</v>
      </c>
    </row>
    <row r="109" spans="1:61" ht="49.95" customHeight="1" x14ac:dyDescent="0.3">
      <c r="A109" s="19" t="s">
        <v>375</v>
      </c>
      <c r="B109" s="19">
        <v>725</v>
      </c>
      <c r="C109" s="2" t="s">
        <v>198</v>
      </c>
      <c r="D109" s="51" t="s">
        <v>260</v>
      </c>
      <c r="E109" s="24">
        <v>125</v>
      </c>
      <c r="F109" s="1" t="s">
        <v>199</v>
      </c>
      <c r="G109" s="24">
        <v>122</v>
      </c>
      <c r="H109" s="68">
        <f t="shared" si="34"/>
        <v>97.6</v>
      </c>
      <c r="I109" s="68">
        <v>97.6</v>
      </c>
      <c r="J109" s="33">
        <v>3</v>
      </c>
      <c r="K109" s="56"/>
      <c r="L109" s="7" t="s">
        <v>634</v>
      </c>
      <c r="M109" s="7" t="s">
        <v>643</v>
      </c>
      <c r="N109" s="7" t="s">
        <v>632</v>
      </c>
      <c r="O109" s="65" t="s">
        <v>545</v>
      </c>
      <c r="P109" s="12">
        <v>125</v>
      </c>
      <c r="Q109" s="6" t="s">
        <v>544</v>
      </c>
      <c r="R109" s="9">
        <v>79000000</v>
      </c>
      <c r="S109" s="20">
        <v>1</v>
      </c>
      <c r="T109" s="20">
        <v>3</v>
      </c>
      <c r="U109" s="4"/>
      <c r="V109" s="4">
        <v>6182</v>
      </c>
      <c r="W109" s="20">
        <v>1</v>
      </c>
      <c r="X109" s="20">
        <v>3</v>
      </c>
      <c r="Y109" s="31">
        <v>39000000</v>
      </c>
      <c r="Z109" s="31">
        <v>43900000</v>
      </c>
      <c r="AA109" s="31">
        <v>24056179.510000002</v>
      </c>
      <c r="AB109" s="31">
        <v>15792642.060000001</v>
      </c>
      <c r="AC109" s="31">
        <v>15778962.060000001</v>
      </c>
      <c r="AD109" s="31">
        <v>0</v>
      </c>
      <c r="AE109" s="31">
        <v>15778962.060000001</v>
      </c>
      <c r="AF109" s="54">
        <v>46800000</v>
      </c>
      <c r="AG109" s="54">
        <v>60700000</v>
      </c>
      <c r="AH109" s="54">
        <v>57925167.890000001</v>
      </c>
      <c r="AI109" s="54">
        <v>48061021.390000001</v>
      </c>
      <c r="AJ109" s="54">
        <v>48061021.390000001</v>
      </c>
      <c r="AK109" s="31">
        <v>4454573.9000000004</v>
      </c>
      <c r="AL109" s="31">
        <v>52515595.289999999</v>
      </c>
      <c r="AM109" s="54">
        <v>81200000</v>
      </c>
      <c r="AN109" s="54">
        <v>62500000</v>
      </c>
      <c r="AO109" s="54">
        <v>58821371.270000003</v>
      </c>
      <c r="AP109" s="54">
        <v>41393606.200000003</v>
      </c>
      <c r="AQ109" s="54">
        <v>41392856.200000003</v>
      </c>
      <c r="AR109" s="31">
        <v>9572631.2799999993</v>
      </c>
      <c r="AS109" s="31">
        <v>50965487.480000004</v>
      </c>
      <c r="AT109" s="43">
        <v>79000000</v>
      </c>
      <c r="AU109" s="43">
        <v>79000000</v>
      </c>
      <c r="AV109" s="43">
        <v>63090171.799999997</v>
      </c>
      <c r="AW109" s="43">
        <v>55103441.759999998</v>
      </c>
      <c r="AX109" s="43">
        <v>55103441.759999998</v>
      </c>
      <c r="AY109" s="23">
        <v>16984772.489999998</v>
      </c>
      <c r="AZ109" s="23">
        <v>72088214.25</v>
      </c>
      <c r="BA109" s="21">
        <f t="shared" si="23"/>
        <v>246000000</v>
      </c>
      <c r="BB109" s="21">
        <f t="shared" si="24"/>
        <v>246100000</v>
      </c>
      <c r="BC109" s="21">
        <f t="shared" si="25"/>
        <v>203892890.47000003</v>
      </c>
      <c r="BD109" s="21">
        <f t="shared" si="26"/>
        <v>160350711.41</v>
      </c>
      <c r="BE109" s="21">
        <f t="shared" si="27"/>
        <v>160336281.41</v>
      </c>
      <c r="BF109" s="21">
        <f t="shared" si="28"/>
        <v>31011977.669999998</v>
      </c>
      <c r="BG109" s="21">
        <f t="shared" si="29"/>
        <v>191348259.07999998</v>
      </c>
      <c r="BH109" s="49">
        <f t="shared" si="30"/>
        <v>93.847440506099545</v>
      </c>
      <c r="BI109" s="49">
        <f t="shared" si="31"/>
        <v>77.752238553433557</v>
      </c>
    </row>
    <row r="110" spans="1:61" ht="49.95" customHeight="1" x14ac:dyDescent="0.3">
      <c r="A110" s="19" t="s">
        <v>376</v>
      </c>
      <c r="B110" s="19">
        <v>725</v>
      </c>
      <c r="C110" s="2" t="s">
        <v>200</v>
      </c>
      <c r="D110" s="50" t="s">
        <v>265</v>
      </c>
      <c r="E110" s="24">
        <v>100</v>
      </c>
      <c r="F110" s="1" t="s">
        <v>33</v>
      </c>
      <c r="G110" s="24">
        <v>100</v>
      </c>
      <c r="H110" s="68">
        <f t="shared" si="34"/>
        <v>100</v>
      </c>
      <c r="I110" s="68">
        <v>100</v>
      </c>
      <c r="J110" s="33">
        <v>5</v>
      </c>
      <c r="K110" s="56"/>
      <c r="L110" s="7" t="s">
        <v>631</v>
      </c>
      <c r="M110" s="7" t="s">
        <v>644</v>
      </c>
      <c r="N110" s="7" t="s">
        <v>632</v>
      </c>
      <c r="O110" s="65" t="s">
        <v>546</v>
      </c>
      <c r="P110" s="9">
        <v>5598</v>
      </c>
      <c r="Q110" s="27" t="s">
        <v>547</v>
      </c>
      <c r="R110" s="9">
        <v>20000000</v>
      </c>
      <c r="S110" s="10">
        <v>1</v>
      </c>
      <c r="T110" s="10">
        <v>2</v>
      </c>
      <c r="U110" s="4"/>
      <c r="V110" s="4" t="s">
        <v>494</v>
      </c>
      <c r="W110" s="10">
        <v>1</v>
      </c>
      <c r="X110" s="10">
        <v>2</v>
      </c>
      <c r="Y110" s="30">
        <v>11000000</v>
      </c>
      <c r="Z110" s="30">
        <v>11153333</v>
      </c>
      <c r="AA110" s="30">
        <v>8538976.3599999994</v>
      </c>
      <c r="AB110" s="30">
        <v>1970731.28</v>
      </c>
      <c r="AC110" s="30">
        <v>1968503.26</v>
      </c>
      <c r="AD110" s="30">
        <v>0</v>
      </c>
      <c r="AE110" s="30">
        <v>1968503.26</v>
      </c>
      <c r="AF110" s="42">
        <v>12801200</v>
      </c>
      <c r="AG110" s="42">
        <v>10301200</v>
      </c>
      <c r="AH110" s="42">
        <v>9216777</v>
      </c>
      <c r="AI110" s="42">
        <v>8384486.9000000004</v>
      </c>
      <c r="AJ110" s="42">
        <v>8384471.5700000003</v>
      </c>
      <c r="AK110" s="30">
        <v>6339193.1799999997</v>
      </c>
      <c r="AL110" s="30">
        <v>14723664.75</v>
      </c>
      <c r="AM110" s="42">
        <v>15000000</v>
      </c>
      <c r="AN110" s="42">
        <v>17400000</v>
      </c>
      <c r="AO110" s="42">
        <v>14958442.960000001</v>
      </c>
      <c r="AP110" s="42">
        <v>10041499.41</v>
      </c>
      <c r="AQ110" s="42">
        <v>10041499.41</v>
      </c>
      <c r="AR110" s="30">
        <v>371827.76</v>
      </c>
      <c r="AS110" s="30">
        <v>10413327.17</v>
      </c>
      <c r="AT110" s="23">
        <v>19840000</v>
      </c>
      <c r="AU110" s="23">
        <v>19840000</v>
      </c>
      <c r="AV110" s="23">
        <v>9276933.4000000004</v>
      </c>
      <c r="AW110" s="23">
        <v>4832118.45</v>
      </c>
      <c r="AX110" s="23">
        <v>4832118.45</v>
      </c>
      <c r="AY110" s="23">
        <v>3674566.21</v>
      </c>
      <c r="AZ110" s="23">
        <v>8506684.6600000001</v>
      </c>
      <c r="BA110" s="21">
        <f t="shared" si="23"/>
        <v>58641200</v>
      </c>
      <c r="BB110" s="21">
        <f t="shared" si="24"/>
        <v>58694533</v>
      </c>
      <c r="BC110" s="21">
        <f t="shared" si="25"/>
        <v>41991129.719999999</v>
      </c>
      <c r="BD110" s="21">
        <f t="shared" si="26"/>
        <v>25228836.039999999</v>
      </c>
      <c r="BE110" s="21">
        <f t="shared" si="27"/>
        <v>25226592.690000001</v>
      </c>
      <c r="BF110" s="21">
        <f t="shared" si="28"/>
        <v>10385587.149999999</v>
      </c>
      <c r="BG110" s="21">
        <f t="shared" si="29"/>
        <v>35612179.840000004</v>
      </c>
      <c r="BH110" s="49">
        <f t="shared" si="30"/>
        <v>84.808815760530123</v>
      </c>
      <c r="BI110" s="49">
        <f t="shared" si="31"/>
        <v>60.673759581663262</v>
      </c>
    </row>
    <row r="111" spans="1:61" ht="49.95" customHeight="1" x14ac:dyDescent="0.3">
      <c r="A111" s="19" t="s">
        <v>377</v>
      </c>
      <c r="B111" s="19">
        <v>725</v>
      </c>
      <c r="C111" s="2" t="s">
        <v>217</v>
      </c>
      <c r="D111" s="50" t="s">
        <v>265</v>
      </c>
      <c r="E111" s="24">
        <v>100</v>
      </c>
      <c r="F111" s="1" t="s">
        <v>33</v>
      </c>
      <c r="G111" s="24">
        <v>100</v>
      </c>
      <c r="H111" s="68">
        <f t="shared" si="34"/>
        <v>100</v>
      </c>
      <c r="I111" s="68">
        <v>100</v>
      </c>
      <c r="J111" s="33">
        <v>5</v>
      </c>
      <c r="K111" s="56"/>
      <c r="L111" s="7" t="s">
        <v>631</v>
      </c>
      <c r="M111" s="7" t="s">
        <v>644</v>
      </c>
      <c r="N111" s="7" t="s">
        <v>632</v>
      </c>
      <c r="O111" s="65"/>
      <c r="P111" s="9"/>
      <c r="Q111" s="27" t="s">
        <v>547</v>
      </c>
      <c r="R111" s="9"/>
      <c r="S111" s="10">
        <v>1</v>
      </c>
      <c r="T111" s="10">
        <v>2</v>
      </c>
      <c r="U111" s="4" t="s">
        <v>485</v>
      </c>
      <c r="V111" s="4" t="s">
        <v>494</v>
      </c>
      <c r="W111" s="10">
        <v>1</v>
      </c>
      <c r="X111" s="10">
        <v>2</v>
      </c>
      <c r="Y111" s="30">
        <v>11000000</v>
      </c>
      <c r="Z111" s="30">
        <v>11153333</v>
      </c>
      <c r="AA111" s="30">
        <v>8538976.3599999994</v>
      </c>
      <c r="AB111" s="30">
        <v>1970731.28</v>
      </c>
      <c r="AC111" s="30">
        <v>1968503.26</v>
      </c>
      <c r="AD111" s="30">
        <v>0</v>
      </c>
      <c r="AE111" s="30">
        <v>1968503.26</v>
      </c>
      <c r="AF111" s="42">
        <v>12801200</v>
      </c>
      <c r="AG111" s="42">
        <v>10301200</v>
      </c>
      <c r="AH111" s="42">
        <v>9216777</v>
      </c>
      <c r="AI111" s="42">
        <v>8384486.9000000004</v>
      </c>
      <c r="AJ111" s="42">
        <v>8384471.5700000003</v>
      </c>
      <c r="AK111" s="30">
        <v>6339193.1799999997</v>
      </c>
      <c r="AL111" s="30">
        <v>14723664.75</v>
      </c>
      <c r="AM111" s="42">
        <v>15000000</v>
      </c>
      <c r="AN111" s="42">
        <v>17400000</v>
      </c>
      <c r="AO111" s="42">
        <v>14958442.960000001</v>
      </c>
      <c r="AP111" s="42">
        <v>10041499.41</v>
      </c>
      <c r="AQ111" s="42">
        <v>10041499.41</v>
      </c>
      <c r="AR111" s="30">
        <v>371827.76</v>
      </c>
      <c r="AS111" s="30">
        <v>10413327.17</v>
      </c>
      <c r="AT111" s="55">
        <v>19840000</v>
      </c>
      <c r="AU111" s="55">
        <v>19840000</v>
      </c>
      <c r="AV111" s="55">
        <v>9276933.4000000004</v>
      </c>
      <c r="AW111" s="55">
        <v>4832118.45</v>
      </c>
      <c r="AX111" s="55">
        <v>4832118.45</v>
      </c>
      <c r="AY111" s="23">
        <v>3674566.21</v>
      </c>
      <c r="AZ111" s="23">
        <v>8506684.6600000001</v>
      </c>
      <c r="BA111" s="21">
        <f t="shared" si="23"/>
        <v>58641200</v>
      </c>
      <c r="BB111" s="21">
        <f t="shared" si="24"/>
        <v>58694533</v>
      </c>
      <c r="BC111" s="21">
        <f t="shared" si="25"/>
        <v>41991129.719999999</v>
      </c>
      <c r="BD111" s="21">
        <f t="shared" si="26"/>
        <v>25228836.039999999</v>
      </c>
      <c r="BE111" s="21">
        <f t="shared" si="27"/>
        <v>25226592.690000001</v>
      </c>
      <c r="BF111" s="21">
        <f t="shared" si="28"/>
        <v>10385587.149999999</v>
      </c>
      <c r="BG111" s="21">
        <f t="shared" si="29"/>
        <v>35612179.840000004</v>
      </c>
      <c r="BH111" s="49">
        <f t="shared" si="30"/>
        <v>84.808815760530123</v>
      </c>
      <c r="BI111" s="49">
        <f t="shared" si="31"/>
        <v>60.673759581663262</v>
      </c>
    </row>
    <row r="112" spans="1:61" ht="49.95" customHeight="1" x14ac:dyDescent="0.3">
      <c r="A112" s="19" t="s">
        <v>378</v>
      </c>
      <c r="B112" s="4">
        <v>725</v>
      </c>
      <c r="C112" s="2" t="s">
        <v>201</v>
      </c>
      <c r="D112" s="51" t="s">
        <v>260</v>
      </c>
      <c r="E112" s="24">
        <v>4000</v>
      </c>
      <c r="F112" s="1" t="s">
        <v>202</v>
      </c>
      <c r="G112" s="24">
        <v>5874</v>
      </c>
      <c r="H112" s="68">
        <f t="shared" si="34"/>
        <v>146.85</v>
      </c>
      <c r="I112" s="68">
        <v>100</v>
      </c>
      <c r="J112" s="33">
        <v>5</v>
      </c>
      <c r="K112" s="56"/>
      <c r="L112" s="7" t="s">
        <v>631</v>
      </c>
      <c r="M112" s="7" t="s">
        <v>644</v>
      </c>
      <c r="N112" s="7" t="s">
        <v>632</v>
      </c>
      <c r="O112" s="67" t="s">
        <v>548</v>
      </c>
      <c r="P112" s="9">
        <v>1000</v>
      </c>
      <c r="Q112" s="6" t="s">
        <v>549</v>
      </c>
      <c r="R112" s="9">
        <v>14000000</v>
      </c>
      <c r="S112" s="20">
        <v>1</v>
      </c>
      <c r="T112" s="20">
        <v>1</v>
      </c>
      <c r="U112" s="4"/>
      <c r="V112" s="4">
        <v>8708</v>
      </c>
      <c r="W112" s="20">
        <v>1</v>
      </c>
      <c r="X112" s="20">
        <v>1</v>
      </c>
      <c r="Y112" s="31">
        <v>8500000</v>
      </c>
      <c r="Z112" s="31">
        <v>9959500</v>
      </c>
      <c r="AA112" s="31">
        <v>4268107.3600000003</v>
      </c>
      <c r="AB112" s="31">
        <v>3483151.85</v>
      </c>
      <c r="AC112" s="31">
        <v>3483151.85</v>
      </c>
      <c r="AD112" s="31">
        <v>0</v>
      </c>
      <c r="AE112" s="31">
        <v>3483151.8499999996</v>
      </c>
      <c r="AF112" s="31">
        <v>10800000</v>
      </c>
      <c r="AG112" s="31">
        <v>9950000</v>
      </c>
      <c r="AH112" s="31">
        <v>8581292.4399999995</v>
      </c>
      <c r="AI112" s="31">
        <v>6207325.1899999995</v>
      </c>
      <c r="AJ112" s="31">
        <v>4620718.3599999994</v>
      </c>
      <c r="AK112" s="31">
        <v>660261.48</v>
      </c>
      <c r="AL112" s="31">
        <v>5280979.84</v>
      </c>
      <c r="AM112" s="31">
        <v>14000000</v>
      </c>
      <c r="AN112" s="31">
        <v>9800000</v>
      </c>
      <c r="AO112" s="31">
        <v>5794504.1699999999</v>
      </c>
      <c r="AP112" s="31">
        <v>4967881.38</v>
      </c>
      <c r="AQ112" s="31">
        <v>4967881.38</v>
      </c>
      <c r="AR112" s="31">
        <v>3875844.56</v>
      </c>
      <c r="AS112" s="31">
        <v>8843725.9399999995</v>
      </c>
      <c r="AT112" s="23">
        <v>13318800</v>
      </c>
      <c r="AU112" s="23">
        <v>13318800</v>
      </c>
      <c r="AV112" s="23">
        <v>5135370</v>
      </c>
      <c r="AW112" s="23">
        <v>4351481</v>
      </c>
      <c r="AX112" s="23">
        <v>4351481</v>
      </c>
      <c r="AY112" s="23">
        <v>738138.65999999992</v>
      </c>
      <c r="AZ112" s="23">
        <v>5089619.58</v>
      </c>
      <c r="BA112" s="21">
        <f t="shared" si="23"/>
        <v>46618800</v>
      </c>
      <c r="BB112" s="21">
        <f t="shared" si="24"/>
        <v>43028300</v>
      </c>
      <c r="BC112" s="21">
        <f t="shared" si="25"/>
        <v>23779273.969999999</v>
      </c>
      <c r="BD112" s="21">
        <f t="shared" si="26"/>
        <v>19009839.419999998</v>
      </c>
      <c r="BE112" s="21">
        <f t="shared" si="27"/>
        <v>17423232.59</v>
      </c>
      <c r="BF112" s="21">
        <f t="shared" si="28"/>
        <v>5274244.7</v>
      </c>
      <c r="BG112" s="21">
        <f t="shared" si="29"/>
        <v>22697477.210000001</v>
      </c>
      <c r="BH112" s="49">
        <f t="shared" si="30"/>
        <v>95.450673719623239</v>
      </c>
      <c r="BI112" s="49">
        <f t="shared" si="31"/>
        <v>52.750113785578328</v>
      </c>
    </row>
    <row r="113" spans="1:61" ht="49.95" customHeight="1" x14ac:dyDescent="0.3">
      <c r="A113" s="19" t="s">
        <v>379</v>
      </c>
      <c r="B113" s="4">
        <v>725</v>
      </c>
      <c r="C113" s="2" t="s">
        <v>203</v>
      </c>
      <c r="D113" s="6" t="s">
        <v>260</v>
      </c>
      <c r="E113" s="24">
        <v>10000000</v>
      </c>
      <c r="F113" s="1" t="s">
        <v>204</v>
      </c>
      <c r="G113" s="24">
        <v>12339487</v>
      </c>
      <c r="H113" s="68">
        <f t="shared" si="34"/>
        <v>123.39487</v>
      </c>
      <c r="I113" s="68">
        <v>100</v>
      </c>
      <c r="J113" s="33">
        <v>5</v>
      </c>
      <c r="K113" s="56"/>
      <c r="L113" s="7" t="s">
        <v>631</v>
      </c>
      <c r="M113" s="7" t="s">
        <v>644</v>
      </c>
      <c r="N113" s="7" t="s">
        <v>636</v>
      </c>
      <c r="O113" s="65" t="s">
        <v>550</v>
      </c>
      <c r="P113" s="9">
        <v>10000000</v>
      </c>
      <c r="Q113" s="6" t="s">
        <v>544</v>
      </c>
      <c r="R113" s="9">
        <v>79000000</v>
      </c>
      <c r="S113" s="20">
        <v>1</v>
      </c>
      <c r="T113" s="20">
        <v>3</v>
      </c>
      <c r="U113" s="4"/>
      <c r="V113" s="4">
        <v>6182</v>
      </c>
      <c r="W113" s="20">
        <v>1</v>
      </c>
      <c r="X113" s="20">
        <v>3</v>
      </c>
      <c r="Y113" s="31">
        <v>39000000</v>
      </c>
      <c r="Z113" s="31">
        <v>43900000</v>
      </c>
      <c r="AA113" s="31">
        <v>24056179.510000002</v>
      </c>
      <c r="AB113" s="31">
        <v>15792642.060000001</v>
      </c>
      <c r="AC113" s="31">
        <v>15778962.060000001</v>
      </c>
      <c r="AD113" s="31">
        <v>0</v>
      </c>
      <c r="AE113" s="31">
        <v>15778962.060000001</v>
      </c>
      <c r="AF113" s="31">
        <v>46800000</v>
      </c>
      <c r="AG113" s="31">
        <v>60700000</v>
      </c>
      <c r="AH113" s="31">
        <v>57925167.890000001</v>
      </c>
      <c r="AI113" s="31">
        <v>48061021.390000001</v>
      </c>
      <c r="AJ113" s="31">
        <v>48061021.390000001</v>
      </c>
      <c r="AK113" s="31">
        <v>4454573.9000000004</v>
      </c>
      <c r="AL113" s="31">
        <v>52515595.289999999</v>
      </c>
      <c r="AM113" s="31">
        <v>81200000</v>
      </c>
      <c r="AN113" s="31">
        <v>62500000</v>
      </c>
      <c r="AO113" s="31">
        <v>58821371.270000003</v>
      </c>
      <c r="AP113" s="31">
        <v>41393606.200000003</v>
      </c>
      <c r="AQ113" s="31">
        <v>41392856.200000003</v>
      </c>
      <c r="AR113" s="31">
        <v>9572631.2799999993</v>
      </c>
      <c r="AS113" s="31">
        <v>50965487.480000004</v>
      </c>
      <c r="AT113" s="43">
        <v>79000000</v>
      </c>
      <c r="AU113" s="43">
        <v>79000000</v>
      </c>
      <c r="AV113" s="43">
        <v>63090171.799999997</v>
      </c>
      <c r="AW113" s="43">
        <v>55103441.759999998</v>
      </c>
      <c r="AX113" s="43">
        <v>55103441.759999998</v>
      </c>
      <c r="AY113" s="23">
        <v>16984772.489999998</v>
      </c>
      <c r="AZ113" s="23">
        <v>72088214.25</v>
      </c>
      <c r="BA113" s="21">
        <f t="shared" si="23"/>
        <v>246000000</v>
      </c>
      <c r="BB113" s="21">
        <f t="shared" si="24"/>
        <v>246100000</v>
      </c>
      <c r="BC113" s="21">
        <f t="shared" si="25"/>
        <v>203892890.47000003</v>
      </c>
      <c r="BD113" s="21">
        <f t="shared" si="26"/>
        <v>160350711.41</v>
      </c>
      <c r="BE113" s="21">
        <f t="shared" si="27"/>
        <v>160336281.41</v>
      </c>
      <c r="BF113" s="21">
        <f t="shared" si="28"/>
        <v>31011977.669999998</v>
      </c>
      <c r="BG113" s="21">
        <f t="shared" si="29"/>
        <v>191348259.07999998</v>
      </c>
      <c r="BH113" s="49">
        <f t="shared" si="30"/>
        <v>93.847440506099545</v>
      </c>
      <c r="BI113" s="49">
        <f t="shared" si="31"/>
        <v>77.752238553433557</v>
      </c>
    </row>
    <row r="114" spans="1:61" ht="49.95" customHeight="1" x14ac:dyDescent="0.3">
      <c r="A114" s="19" t="s">
        <v>380</v>
      </c>
      <c r="B114" s="4">
        <v>726</v>
      </c>
      <c r="C114" s="2" t="s">
        <v>205</v>
      </c>
      <c r="D114" s="1" t="s">
        <v>262</v>
      </c>
      <c r="E114" s="24">
        <v>2365</v>
      </c>
      <c r="F114" s="1" t="s">
        <v>60</v>
      </c>
      <c r="G114" s="24">
        <v>1644</v>
      </c>
      <c r="H114" s="68">
        <v>51</v>
      </c>
      <c r="I114" s="68">
        <v>51</v>
      </c>
      <c r="J114" s="33">
        <v>4</v>
      </c>
      <c r="K114" s="57" t="s">
        <v>247</v>
      </c>
      <c r="L114" s="7" t="s">
        <v>635</v>
      </c>
      <c r="M114" s="7" t="s">
        <v>639</v>
      </c>
      <c r="N114" s="7" t="s">
        <v>632</v>
      </c>
      <c r="O114" s="67" t="s">
        <v>582</v>
      </c>
      <c r="P114" s="12">
        <v>75</v>
      </c>
      <c r="Q114" s="6" t="s">
        <v>551</v>
      </c>
      <c r="R114" s="9">
        <v>50000000</v>
      </c>
      <c r="S114" s="10">
        <v>2</v>
      </c>
      <c r="T114" s="10" t="s">
        <v>461</v>
      </c>
      <c r="U114" s="4"/>
      <c r="V114" s="4" t="s">
        <v>593</v>
      </c>
      <c r="W114" s="10">
        <v>2</v>
      </c>
      <c r="X114" s="10" t="s">
        <v>461</v>
      </c>
      <c r="Y114" s="30">
        <f>0+0</f>
        <v>0</v>
      </c>
      <c r="Z114" s="30">
        <f>66667+0</f>
        <v>66667</v>
      </c>
      <c r="AA114" s="30">
        <f>0+0</f>
        <v>0</v>
      </c>
      <c r="AB114" s="30">
        <f>0+0</f>
        <v>0</v>
      </c>
      <c r="AC114" s="30">
        <f>0+0</f>
        <v>0</v>
      </c>
      <c r="AD114" s="30">
        <f>0+0</f>
        <v>0</v>
      </c>
      <c r="AE114" s="30">
        <f>0+0</f>
        <v>0</v>
      </c>
      <c r="AF114" s="30">
        <f>1556880418+448719582</f>
        <v>2005600000</v>
      </c>
      <c r="AG114" s="30">
        <f>1944747458+512719582</f>
        <v>2457467040</v>
      </c>
      <c r="AH114" s="30">
        <f>1468870912.35+490262568.52</f>
        <v>1959133480.8699999</v>
      </c>
      <c r="AI114" s="30">
        <f>1441940152.31+460664913.81</f>
        <v>1902605066.1199999</v>
      </c>
      <c r="AJ114" s="30">
        <f>1441926264.31+460638913.81</f>
        <v>1902565178.1199999</v>
      </c>
      <c r="AK114" s="30">
        <f>0+0</f>
        <v>0</v>
      </c>
      <c r="AL114" s="30">
        <f>1441926264.31+460638913.81</f>
        <v>1902565178.1199999</v>
      </c>
      <c r="AM114" s="30">
        <f>1729750000+939887044</f>
        <v>2669637044</v>
      </c>
      <c r="AN114" s="30">
        <f>1874191470+690297044</f>
        <v>2564488514</v>
      </c>
      <c r="AO114" s="30">
        <f>1658786585.54+621485875.41</f>
        <v>2280272460.9499998</v>
      </c>
      <c r="AP114" s="30">
        <f>1654917586.8+549980505.36</f>
        <v>2204898092.1599998</v>
      </c>
      <c r="AQ114" s="30">
        <f>1654917586.8+541737481.79</f>
        <v>2196655068.5900002</v>
      </c>
      <c r="AR114" s="30">
        <f>26259824.05+28836495.47</f>
        <v>55096319.519999996</v>
      </c>
      <c r="AS114" s="30">
        <f>1681177410.85+570573976.26</f>
        <v>2251751387.1099997</v>
      </c>
      <c r="AT114" s="21">
        <f>2250000000+628000000</f>
        <v>2878000000</v>
      </c>
      <c r="AU114" s="21">
        <f>2439928000+921400000</f>
        <v>3361328000</v>
      </c>
      <c r="AV114" s="21">
        <f>2408536048.56+731156134.84</f>
        <v>3139692183.4000001</v>
      </c>
      <c r="AW114" s="21">
        <f>2220840828.14+662078782.9</f>
        <v>2882919611.04</v>
      </c>
      <c r="AX114" s="21">
        <f>2220827941.87+662001137.89</f>
        <v>2882829079.7599998</v>
      </c>
      <c r="AY114" s="21">
        <f>2818402.81+79480434.69</f>
        <v>82298837.5</v>
      </c>
      <c r="AZ114" s="21">
        <f>2223646344.68+741481572.58</f>
        <v>2965127917.2599998</v>
      </c>
      <c r="BA114" s="21">
        <f t="shared" si="23"/>
        <v>7553237044</v>
      </c>
      <c r="BB114" s="21">
        <f t="shared" si="24"/>
        <v>8383350221</v>
      </c>
      <c r="BC114" s="21">
        <f t="shared" si="25"/>
        <v>7379098125.2199993</v>
      </c>
      <c r="BD114" s="21">
        <f t="shared" si="26"/>
        <v>6990422769.3199997</v>
      </c>
      <c r="BE114" s="21">
        <f t="shared" si="27"/>
        <v>6982049326.4699993</v>
      </c>
      <c r="BF114" s="21">
        <f t="shared" si="28"/>
        <v>137395157.01999998</v>
      </c>
      <c r="BG114" s="21">
        <f t="shared" si="29"/>
        <v>7119444482.4899998</v>
      </c>
      <c r="BH114" s="49">
        <f t="shared" si="30"/>
        <v>96.481227945152739</v>
      </c>
      <c r="BI114" s="49">
        <f t="shared" si="31"/>
        <v>84.923619970641809</v>
      </c>
    </row>
    <row r="115" spans="1:61" ht="49.95" customHeight="1" x14ac:dyDescent="0.3">
      <c r="A115" s="19" t="s">
        <v>381</v>
      </c>
      <c r="B115" s="4">
        <v>726</v>
      </c>
      <c r="C115" s="2" t="s">
        <v>206</v>
      </c>
      <c r="D115" s="51" t="s">
        <v>260</v>
      </c>
      <c r="E115" s="24">
        <v>16</v>
      </c>
      <c r="F115" s="1" t="s">
        <v>207</v>
      </c>
      <c r="G115" s="24">
        <v>12</v>
      </c>
      <c r="H115" s="68">
        <v>50</v>
      </c>
      <c r="I115" s="68">
        <v>50</v>
      </c>
      <c r="J115" s="33">
        <v>4</v>
      </c>
      <c r="K115" s="59" t="s">
        <v>248</v>
      </c>
      <c r="L115" s="7" t="s">
        <v>631</v>
      </c>
      <c r="M115" s="7" t="s">
        <v>644</v>
      </c>
      <c r="N115" s="7" t="s">
        <v>636</v>
      </c>
      <c r="O115" s="65" t="s">
        <v>552</v>
      </c>
      <c r="P115" s="27" t="s">
        <v>583</v>
      </c>
      <c r="Q115" s="6" t="s">
        <v>432</v>
      </c>
      <c r="R115" s="9">
        <v>1520000000</v>
      </c>
      <c r="S115" s="10">
        <v>1</v>
      </c>
      <c r="T115" s="10">
        <v>4</v>
      </c>
      <c r="U115" s="4"/>
      <c r="V115" s="4" t="s">
        <v>585</v>
      </c>
      <c r="W115" s="10">
        <v>1</v>
      </c>
      <c r="X115" s="10">
        <v>4</v>
      </c>
      <c r="Y115" s="30">
        <v>1162290000</v>
      </c>
      <c r="Z115" s="30">
        <v>1089738725</v>
      </c>
      <c r="AA115" s="30">
        <v>1077448724.96</v>
      </c>
      <c r="AB115" s="30">
        <v>974442182.63000011</v>
      </c>
      <c r="AC115" s="30">
        <v>974442182.63000011</v>
      </c>
      <c r="AD115" s="30">
        <v>0</v>
      </c>
      <c r="AE115" s="30">
        <v>974442182.63000011</v>
      </c>
      <c r="AF115" s="30">
        <v>1236150000</v>
      </c>
      <c r="AG115" s="30">
        <v>1218150000</v>
      </c>
      <c r="AH115" s="30">
        <v>1213499988.4699998</v>
      </c>
      <c r="AI115" s="30">
        <v>1071068308.12</v>
      </c>
      <c r="AJ115" s="30">
        <v>1070722186.8200001</v>
      </c>
      <c r="AK115" s="30">
        <v>84708951.599999994</v>
      </c>
      <c r="AL115" s="30">
        <v>1155431138.4200001</v>
      </c>
      <c r="AM115" s="30">
        <v>1374491100</v>
      </c>
      <c r="AN115" s="30">
        <v>1312869206</v>
      </c>
      <c r="AO115" s="30">
        <v>1292642013.6499999</v>
      </c>
      <c r="AP115" s="30">
        <v>1117723158.0599999</v>
      </c>
      <c r="AQ115" s="30">
        <v>1116686365.5799999</v>
      </c>
      <c r="AR115" s="30">
        <v>143323250.90000004</v>
      </c>
      <c r="AS115" s="30">
        <v>1260009616.48</v>
      </c>
      <c r="AT115" s="21">
        <v>1528024600</v>
      </c>
      <c r="AU115" s="21">
        <v>1238024600</v>
      </c>
      <c r="AV115" s="21">
        <v>1229474377.75</v>
      </c>
      <c r="AW115" s="21">
        <v>998483163.14999974</v>
      </c>
      <c r="AX115" s="21">
        <v>998483163.14999974</v>
      </c>
      <c r="AY115" s="21">
        <v>166016457.96000001</v>
      </c>
      <c r="AZ115" s="21">
        <v>1164499621.1099999</v>
      </c>
      <c r="BA115" s="21">
        <f t="shared" si="23"/>
        <v>5300955700</v>
      </c>
      <c r="BB115" s="21">
        <f t="shared" si="24"/>
        <v>4858782531</v>
      </c>
      <c r="BC115" s="21">
        <f t="shared" si="25"/>
        <v>4813065104.8299999</v>
      </c>
      <c r="BD115" s="21">
        <f t="shared" si="26"/>
        <v>4161716811.9599996</v>
      </c>
      <c r="BE115" s="21">
        <f t="shared" si="27"/>
        <v>4160333898.1799998</v>
      </c>
      <c r="BF115" s="21">
        <f t="shared" si="28"/>
        <v>394048660.46000004</v>
      </c>
      <c r="BG115" s="21">
        <f t="shared" si="29"/>
        <v>4554382558.6400003</v>
      </c>
      <c r="BH115" s="49">
        <f t="shared" si="30"/>
        <v>94.62540936896103</v>
      </c>
      <c r="BI115" s="49">
        <f t="shared" si="31"/>
        <v>93.735056664547812</v>
      </c>
    </row>
    <row r="116" spans="1:61" ht="49.95" customHeight="1" x14ac:dyDescent="0.3">
      <c r="A116" s="19" t="s">
        <v>382</v>
      </c>
      <c r="B116" s="4">
        <v>726</v>
      </c>
      <c r="C116" s="2" t="s">
        <v>208</v>
      </c>
      <c r="D116" s="1" t="s">
        <v>264</v>
      </c>
      <c r="E116" s="24">
        <v>20</v>
      </c>
      <c r="F116" s="1" t="s">
        <v>257</v>
      </c>
      <c r="G116" s="24">
        <v>66</v>
      </c>
      <c r="H116" s="68">
        <f>G116*100/E116</f>
        <v>330</v>
      </c>
      <c r="I116" s="68">
        <v>100</v>
      </c>
      <c r="J116" s="38">
        <v>5</v>
      </c>
      <c r="K116" s="56"/>
      <c r="L116" s="7" t="s">
        <v>634</v>
      </c>
      <c r="M116" s="7" t="s">
        <v>643</v>
      </c>
      <c r="N116" s="7" t="s">
        <v>632</v>
      </c>
      <c r="O116" s="65"/>
      <c r="P116" s="27"/>
      <c r="Q116" s="6"/>
      <c r="R116" s="9"/>
      <c r="S116" s="10"/>
      <c r="T116" s="10"/>
      <c r="U116" s="4" t="s">
        <v>483</v>
      </c>
      <c r="V116" s="4" t="s">
        <v>483</v>
      </c>
      <c r="W116" s="10">
        <v>1</v>
      </c>
      <c r="X116" s="10">
        <v>1</v>
      </c>
      <c r="Y116" s="30">
        <v>11600000</v>
      </c>
      <c r="Z116" s="30">
        <v>12641052</v>
      </c>
      <c r="AA116" s="30">
        <v>11112060.09</v>
      </c>
      <c r="AB116" s="30">
        <v>10129228.09</v>
      </c>
      <c r="AC116" s="30">
        <v>10129228.09</v>
      </c>
      <c r="AD116" s="30">
        <v>0</v>
      </c>
      <c r="AE116" s="30">
        <v>10129228.09</v>
      </c>
      <c r="AF116" s="30">
        <v>12528000</v>
      </c>
      <c r="AG116" s="30">
        <v>10028002</v>
      </c>
      <c r="AH116" s="30">
        <v>9728690.9000000004</v>
      </c>
      <c r="AI116" s="30">
        <v>9009565.9000000004</v>
      </c>
      <c r="AJ116" s="30">
        <v>9009565.9000000004</v>
      </c>
      <c r="AK116" s="30">
        <v>790428.87</v>
      </c>
      <c r="AL116" s="30">
        <v>9799994.7699999996</v>
      </c>
      <c r="AM116" s="30">
        <v>11611750</v>
      </c>
      <c r="AN116" s="30">
        <v>10011750</v>
      </c>
      <c r="AO116" s="30">
        <v>4056311</v>
      </c>
      <c r="AP116" s="30">
        <v>3901211</v>
      </c>
      <c r="AQ116" s="30">
        <v>3901211</v>
      </c>
      <c r="AR116" s="30">
        <v>642300</v>
      </c>
      <c r="AS116" s="30">
        <v>4543511</v>
      </c>
      <c r="AT116" s="21">
        <v>10325000</v>
      </c>
      <c r="AU116" s="21">
        <v>10325000</v>
      </c>
      <c r="AV116" s="21">
        <v>5803290.6900000004</v>
      </c>
      <c r="AW116" s="21">
        <v>5803290.6900000004</v>
      </c>
      <c r="AX116" s="21">
        <v>5803290.6900000004</v>
      </c>
      <c r="AY116" s="21">
        <v>53600</v>
      </c>
      <c r="AZ116" s="21">
        <v>5856890.6899999995</v>
      </c>
      <c r="BA116" s="21">
        <f t="shared" si="23"/>
        <v>46064750</v>
      </c>
      <c r="BB116" s="21">
        <f t="shared" si="24"/>
        <v>43005804</v>
      </c>
      <c r="BC116" s="21">
        <f t="shared" si="25"/>
        <v>30700352.680000003</v>
      </c>
      <c r="BD116" s="21">
        <f t="shared" si="26"/>
        <v>28843295.680000003</v>
      </c>
      <c r="BE116" s="21">
        <f t="shared" si="27"/>
        <v>28843295.680000003</v>
      </c>
      <c r="BF116" s="21">
        <f t="shared" si="28"/>
        <v>1486328.87</v>
      </c>
      <c r="BG116" s="21">
        <f t="shared" si="29"/>
        <v>30329624.549999997</v>
      </c>
      <c r="BH116" s="49">
        <f t="shared" si="30"/>
        <v>98.792430387154738</v>
      </c>
      <c r="BI116" s="49">
        <f t="shared" si="31"/>
        <v>70.524491415158749</v>
      </c>
    </row>
    <row r="117" spans="1:61" ht="49.95" customHeight="1" x14ac:dyDescent="0.3">
      <c r="A117" s="19" t="s">
        <v>383</v>
      </c>
      <c r="B117" s="4">
        <v>727</v>
      </c>
      <c r="C117" s="2" t="s">
        <v>209</v>
      </c>
      <c r="D117" s="50" t="s">
        <v>264</v>
      </c>
      <c r="E117" s="24">
        <v>100</v>
      </c>
      <c r="F117" s="1" t="s">
        <v>33</v>
      </c>
      <c r="G117" s="24">
        <v>100</v>
      </c>
      <c r="H117" s="68">
        <v>100</v>
      </c>
      <c r="I117" s="68">
        <v>100</v>
      </c>
      <c r="J117" s="39">
        <v>5</v>
      </c>
      <c r="K117" s="59" t="s">
        <v>249</v>
      </c>
      <c r="L117" s="7" t="s">
        <v>631</v>
      </c>
      <c r="M117" s="7" t="s">
        <v>644</v>
      </c>
      <c r="N117" s="7" t="s">
        <v>636</v>
      </c>
      <c r="O117" s="65"/>
      <c r="P117" s="27"/>
      <c r="Q117" s="6"/>
      <c r="R117" s="9"/>
      <c r="S117" s="10"/>
      <c r="T117" s="10"/>
      <c r="U117" s="4" t="s">
        <v>484</v>
      </c>
      <c r="V117" s="4" t="s">
        <v>484</v>
      </c>
      <c r="W117" s="10">
        <v>1</v>
      </c>
      <c r="X117" s="10">
        <v>1</v>
      </c>
      <c r="Y117" s="30">
        <v>10500000</v>
      </c>
      <c r="Z117" s="30">
        <v>11400000</v>
      </c>
      <c r="AA117" s="30">
        <v>10500000</v>
      </c>
      <c r="AB117" s="30">
        <v>6000000</v>
      </c>
      <c r="AC117" s="30">
        <v>6000000</v>
      </c>
      <c r="AD117" s="30">
        <v>0</v>
      </c>
      <c r="AE117" s="30">
        <v>6000000</v>
      </c>
      <c r="AF117" s="30">
        <v>11340000</v>
      </c>
      <c r="AG117" s="30">
        <v>10340000</v>
      </c>
      <c r="AH117" s="30">
        <v>10339367.120000001</v>
      </c>
      <c r="AI117" s="30">
        <v>3677493.21</v>
      </c>
      <c r="AJ117" s="30">
        <v>3677493.21</v>
      </c>
      <c r="AK117" s="30">
        <v>4055577.76</v>
      </c>
      <c r="AL117" s="30">
        <v>7733070.9699999997</v>
      </c>
      <c r="AM117" s="30">
        <v>11340000</v>
      </c>
      <c r="AN117" s="30">
        <v>11340000</v>
      </c>
      <c r="AO117" s="30">
        <v>9340000</v>
      </c>
      <c r="AP117" s="30">
        <v>1982087.11</v>
      </c>
      <c r="AQ117" s="30">
        <v>1982087.11</v>
      </c>
      <c r="AR117" s="30">
        <v>6661873.9100000001</v>
      </c>
      <c r="AS117" s="30">
        <v>8643961.0199999996</v>
      </c>
      <c r="AT117" s="21">
        <v>11800000</v>
      </c>
      <c r="AU117" s="21">
        <v>11800000</v>
      </c>
      <c r="AV117" s="21">
        <v>4318585</v>
      </c>
      <c r="AW117" s="21">
        <v>4318585</v>
      </c>
      <c r="AX117" s="21">
        <v>4318585</v>
      </c>
      <c r="AY117" s="21">
        <v>5532375.1299999999</v>
      </c>
      <c r="AZ117" s="21">
        <v>9850960.129999999</v>
      </c>
      <c r="BA117" s="21">
        <f t="shared" si="23"/>
        <v>44980000</v>
      </c>
      <c r="BB117" s="21">
        <f t="shared" si="24"/>
        <v>44880000</v>
      </c>
      <c r="BC117" s="21">
        <f t="shared" si="25"/>
        <v>34497952.120000005</v>
      </c>
      <c r="BD117" s="21">
        <f t="shared" si="26"/>
        <v>15978165.32</v>
      </c>
      <c r="BE117" s="21">
        <f t="shared" si="27"/>
        <v>15978165.32</v>
      </c>
      <c r="BF117" s="21">
        <f t="shared" si="28"/>
        <v>16249826.800000001</v>
      </c>
      <c r="BG117" s="21">
        <f t="shared" si="29"/>
        <v>32227992.119999997</v>
      </c>
      <c r="BH117" s="49">
        <f t="shared" si="30"/>
        <v>93.420015216833661</v>
      </c>
      <c r="BI117" s="49">
        <f t="shared" si="31"/>
        <v>71.80925160427806</v>
      </c>
    </row>
    <row r="118" spans="1:61" ht="49.95" customHeight="1" x14ac:dyDescent="0.3">
      <c r="A118" s="19" t="s">
        <v>384</v>
      </c>
      <c r="B118" s="19">
        <v>727</v>
      </c>
      <c r="C118" s="2" t="s">
        <v>210</v>
      </c>
      <c r="D118" s="1" t="s">
        <v>264</v>
      </c>
      <c r="E118" s="24">
        <v>3</v>
      </c>
      <c r="F118" s="1" t="s">
        <v>211</v>
      </c>
      <c r="G118" s="24">
        <v>9</v>
      </c>
      <c r="H118" s="68">
        <f>G118*100/E118</f>
        <v>300</v>
      </c>
      <c r="I118" s="68">
        <v>100</v>
      </c>
      <c r="J118" s="39">
        <v>5</v>
      </c>
      <c r="K118" s="56"/>
      <c r="L118" s="7" t="s">
        <v>631</v>
      </c>
      <c r="M118" s="7" t="s">
        <v>644</v>
      </c>
      <c r="N118" s="7" t="s">
        <v>636</v>
      </c>
      <c r="O118" s="63"/>
      <c r="P118" s="22"/>
      <c r="Q118" s="8"/>
      <c r="R118" s="16"/>
      <c r="S118" s="10"/>
      <c r="T118" s="10"/>
      <c r="U118" s="4" t="s">
        <v>475</v>
      </c>
      <c r="V118" s="4" t="s">
        <v>475</v>
      </c>
      <c r="W118" s="10"/>
      <c r="X118" s="1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21"/>
      <c r="AU118" s="21"/>
      <c r="AV118" s="21"/>
      <c r="AW118" s="21"/>
      <c r="AX118" s="21"/>
      <c r="AY118" s="21"/>
      <c r="AZ118" s="21"/>
      <c r="BA118" s="21"/>
      <c r="BB118" s="21"/>
      <c r="BC118" s="21"/>
      <c r="BD118" s="21"/>
      <c r="BE118" s="21"/>
      <c r="BF118" s="21"/>
      <c r="BG118" s="21"/>
      <c r="BH118" s="49"/>
      <c r="BI118" s="49"/>
    </row>
    <row r="119" spans="1:61" ht="49.95" customHeight="1" x14ac:dyDescent="0.3">
      <c r="A119" s="19" t="s">
        <v>385</v>
      </c>
      <c r="B119" s="19">
        <v>727</v>
      </c>
      <c r="C119" s="2" t="s">
        <v>212</v>
      </c>
      <c r="D119" s="1" t="s">
        <v>264</v>
      </c>
      <c r="E119" s="24">
        <v>15</v>
      </c>
      <c r="F119" s="1" t="s">
        <v>213</v>
      </c>
      <c r="G119" s="24">
        <v>25</v>
      </c>
      <c r="H119" s="68">
        <f>G119*100/E119</f>
        <v>166.66666666666666</v>
      </c>
      <c r="I119" s="68">
        <v>100</v>
      </c>
      <c r="J119" s="33">
        <v>5</v>
      </c>
      <c r="K119" s="56"/>
      <c r="L119" s="7" t="s">
        <v>631</v>
      </c>
      <c r="M119" s="7" t="s">
        <v>642</v>
      </c>
      <c r="N119" s="7" t="s">
        <v>632</v>
      </c>
      <c r="O119" s="63"/>
      <c r="P119" s="22"/>
      <c r="Q119" s="8"/>
      <c r="R119" s="9"/>
      <c r="S119" s="10"/>
      <c r="T119" s="10"/>
      <c r="U119" s="4" t="s">
        <v>475</v>
      </c>
      <c r="V119" s="4" t="s">
        <v>475</v>
      </c>
      <c r="W119" s="10"/>
      <c r="X119" s="10"/>
      <c r="Y119" s="30"/>
      <c r="Z119" s="30"/>
      <c r="AA119" s="30"/>
      <c r="AB119" s="30"/>
      <c r="AC119" s="30"/>
      <c r="AD119" s="30"/>
      <c r="AE119" s="30"/>
      <c r="AF119" s="30"/>
      <c r="AG119" s="30"/>
      <c r="AH119" s="30"/>
      <c r="AI119" s="30"/>
      <c r="AJ119" s="30"/>
      <c r="AK119" s="30"/>
      <c r="AL119" s="30"/>
      <c r="AM119" s="30"/>
      <c r="AN119" s="30"/>
      <c r="AO119" s="30"/>
      <c r="AP119" s="30"/>
      <c r="AQ119" s="30"/>
      <c r="AR119" s="30"/>
      <c r="AS119" s="30"/>
      <c r="AT119" s="21"/>
      <c r="AU119" s="21"/>
      <c r="AV119" s="21"/>
      <c r="AW119" s="21"/>
      <c r="AX119" s="21"/>
      <c r="AY119" s="21"/>
      <c r="AZ119" s="21"/>
      <c r="BA119" s="21"/>
      <c r="BB119" s="21"/>
      <c r="BC119" s="21"/>
      <c r="BD119" s="21"/>
      <c r="BE119" s="21"/>
      <c r="BF119" s="21"/>
      <c r="BG119" s="21"/>
      <c r="BH119" s="49"/>
      <c r="BI119" s="49"/>
    </row>
    <row r="120" spans="1:61" ht="49.95" customHeight="1" x14ac:dyDescent="0.3">
      <c r="A120" s="19" t="s">
        <v>386</v>
      </c>
      <c r="B120" s="4">
        <v>727</v>
      </c>
      <c r="C120" s="2" t="s">
        <v>221</v>
      </c>
      <c r="D120" s="1" t="s">
        <v>264</v>
      </c>
      <c r="E120" s="24">
        <v>200</v>
      </c>
      <c r="F120" s="1" t="s">
        <v>214</v>
      </c>
      <c r="G120" s="24">
        <v>746</v>
      </c>
      <c r="H120" s="68">
        <f>G120*100/E120</f>
        <v>373</v>
      </c>
      <c r="I120" s="68">
        <v>100</v>
      </c>
      <c r="J120" s="39">
        <v>5</v>
      </c>
      <c r="K120" s="56"/>
      <c r="L120" s="7" t="s">
        <v>631</v>
      </c>
      <c r="M120" s="7" t="s">
        <v>642</v>
      </c>
      <c r="N120" s="7" t="s">
        <v>632</v>
      </c>
      <c r="O120" s="65"/>
      <c r="P120" s="27"/>
      <c r="Q120" s="6"/>
      <c r="R120" s="9"/>
      <c r="S120" s="10"/>
      <c r="T120" s="10"/>
      <c r="U120" s="4">
        <v>8315</v>
      </c>
      <c r="V120" s="4">
        <v>8315</v>
      </c>
      <c r="W120" s="10">
        <v>1</v>
      </c>
      <c r="X120" s="10">
        <v>1</v>
      </c>
      <c r="Y120" s="30">
        <v>82000000</v>
      </c>
      <c r="Z120" s="30">
        <v>97966791</v>
      </c>
      <c r="AA120" s="30">
        <v>90596210.200000003</v>
      </c>
      <c r="AB120" s="30">
        <v>66669301.82</v>
      </c>
      <c r="AC120" s="30">
        <v>66217968.289999999</v>
      </c>
      <c r="AD120" s="30">
        <v>0</v>
      </c>
      <c r="AE120" s="30">
        <v>66217968.289999999</v>
      </c>
      <c r="AF120" s="30">
        <v>87000000</v>
      </c>
      <c r="AG120" s="30">
        <v>94555000</v>
      </c>
      <c r="AH120" s="30">
        <v>89236384.850000009</v>
      </c>
      <c r="AI120" s="30">
        <v>72425585.11999999</v>
      </c>
      <c r="AJ120" s="30">
        <v>72134305.439999998</v>
      </c>
      <c r="AK120" s="30">
        <v>21854286.07</v>
      </c>
      <c r="AL120" s="30">
        <v>93988591.50999999</v>
      </c>
      <c r="AM120" s="30">
        <v>93000000</v>
      </c>
      <c r="AN120" s="30">
        <v>117758278</v>
      </c>
      <c r="AO120" s="30">
        <v>113696422.54000001</v>
      </c>
      <c r="AP120" s="30">
        <v>106853677.20999999</v>
      </c>
      <c r="AQ120" s="30">
        <v>106496794.42</v>
      </c>
      <c r="AR120" s="30">
        <v>15926949.9</v>
      </c>
      <c r="AS120" s="30">
        <v>122423744.32000001</v>
      </c>
      <c r="AT120" s="21">
        <v>103450000</v>
      </c>
      <c r="AU120" s="21">
        <v>121350000</v>
      </c>
      <c r="AV120" s="21">
        <v>120367502.14000002</v>
      </c>
      <c r="AW120" s="21">
        <v>114289918.97999999</v>
      </c>
      <c r="AX120" s="21">
        <v>113338397.46999998</v>
      </c>
      <c r="AY120" s="21">
        <v>6997219.6200000001</v>
      </c>
      <c r="AZ120" s="21">
        <v>120335617.09</v>
      </c>
      <c r="BA120" s="21">
        <f t="shared" ref="BA120:BG121" si="35">SUM(Y120+AF120+AM120+AT120)</f>
        <v>365450000</v>
      </c>
      <c r="BB120" s="21">
        <f t="shared" si="35"/>
        <v>431630069</v>
      </c>
      <c r="BC120" s="21">
        <f t="shared" si="35"/>
        <v>413896519.73000002</v>
      </c>
      <c r="BD120" s="21">
        <f t="shared" si="35"/>
        <v>360238483.13</v>
      </c>
      <c r="BE120" s="21">
        <f t="shared" si="35"/>
        <v>358187465.61999995</v>
      </c>
      <c r="BF120" s="21">
        <f t="shared" si="35"/>
        <v>44778455.589999996</v>
      </c>
      <c r="BG120" s="21">
        <f t="shared" si="35"/>
        <v>402965921.21000004</v>
      </c>
      <c r="BH120" s="49">
        <f>BG120*100/BC120</f>
        <v>97.359098712129679</v>
      </c>
      <c r="BI120" s="49">
        <f>BG120*100/BB120</f>
        <v>93.359093851730705</v>
      </c>
    </row>
    <row r="121" spans="1:61" ht="49.95" customHeight="1" x14ac:dyDescent="0.3">
      <c r="A121" s="19" t="s">
        <v>387</v>
      </c>
      <c r="B121" s="4">
        <v>727</v>
      </c>
      <c r="C121" s="2" t="s">
        <v>215</v>
      </c>
      <c r="D121" s="51" t="s">
        <v>260</v>
      </c>
      <c r="E121" s="24">
        <v>100</v>
      </c>
      <c r="F121" s="1" t="s">
        <v>216</v>
      </c>
      <c r="G121" s="24">
        <v>402</v>
      </c>
      <c r="H121" s="68">
        <f>G121*100/E121</f>
        <v>402</v>
      </c>
      <c r="I121" s="68">
        <v>100</v>
      </c>
      <c r="J121" s="39">
        <v>5</v>
      </c>
      <c r="K121" s="56"/>
      <c r="L121" s="7" t="s">
        <v>631</v>
      </c>
      <c r="M121" s="7" t="s">
        <v>642</v>
      </c>
      <c r="N121" s="7" t="s">
        <v>632</v>
      </c>
      <c r="O121" s="66" t="s">
        <v>462</v>
      </c>
      <c r="P121" s="11">
        <v>100</v>
      </c>
      <c r="Q121" s="11" t="s">
        <v>463</v>
      </c>
      <c r="R121" s="11">
        <v>88000000</v>
      </c>
      <c r="S121" s="10">
        <v>1</v>
      </c>
      <c r="T121" s="10">
        <v>2</v>
      </c>
      <c r="U121" s="4"/>
      <c r="V121" s="4">
        <v>6146</v>
      </c>
      <c r="W121" s="10">
        <v>1</v>
      </c>
      <c r="X121" s="10">
        <v>2</v>
      </c>
      <c r="Y121" s="30">
        <v>79500000</v>
      </c>
      <c r="Z121" s="30">
        <v>90790333</v>
      </c>
      <c r="AA121" s="30">
        <v>78970068.710000008</v>
      </c>
      <c r="AB121" s="30">
        <v>20750498.459999997</v>
      </c>
      <c r="AC121" s="30">
        <v>15922539.560000001</v>
      </c>
      <c r="AD121" s="30">
        <v>0</v>
      </c>
      <c r="AE121" s="30">
        <v>15922539.560000001</v>
      </c>
      <c r="AF121" s="30">
        <v>94805000</v>
      </c>
      <c r="AG121" s="30">
        <v>93685000</v>
      </c>
      <c r="AH121" s="30">
        <v>82686205.069999993</v>
      </c>
      <c r="AI121" s="30">
        <v>38169850.579999998</v>
      </c>
      <c r="AJ121" s="30">
        <v>30415506.789999999</v>
      </c>
      <c r="AK121" s="30">
        <v>48630469.630000003</v>
      </c>
      <c r="AL121" s="30">
        <v>79045976.420000002</v>
      </c>
      <c r="AM121" s="30">
        <v>88598000</v>
      </c>
      <c r="AN121" s="30">
        <v>91098000</v>
      </c>
      <c r="AO121" s="30">
        <v>76274910.180000007</v>
      </c>
      <c r="AP121" s="30">
        <v>43318624.860000007</v>
      </c>
      <c r="AQ121" s="30">
        <v>42615911.859999999</v>
      </c>
      <c r="AR121" s="30">
        <v>34824640.32</v>
      </c>
      <c r="AS121" s="30">
        <v>77440552.180000007</v>
      </c>
      <c r="AT121" s="24">
        <v>84128000</v>
      </c>
      <c r="AU121" s="24">
        <v>84128000</v>
      </c>
      <c r="AV121" s="24">
        <v>26501624.98</v>
      </c>
      <c r="AW121" s="24">
        <v>15356443.98</v>
      </c>
      <c r="AX121" s="24">
        <v>15356443.98</v>
      </c>
      <c r="AY121" s="21">
        <v>42818764.030000001</v>
      </c>
      <c r="AZ121" s="21">
        <v>58175208.010000005</v>
      </c>
      <c r="BA121" s="21">
        <f t="shared" si="35"/>
        <v>347031000</v>
      </c>
      <c r="BB121" s="21">
        <f t="shared" si="35"/>
        <v>359701333</v>
      </c>
      <c r="BC121" s="21">
        <f t="shared" si="35"/>
        <v>264432808.94</v>
      </c>
      <c r="BD121" s="21">
        <f t="shared" si="35"/>
        <v>117595417.88000001</v>
      </c>
      <c r="BE121" s="21">
        <f t="shared" si="35"/>
        <v>104310402.19000001</v>
      </c>
      <c r="BF121" s="21">
        <f t="shared" si="35"/>
        <v>126273873.98</v>
      </c>
      <c r="BG121" s="21">
        <f t="shared" si="35"/>
        <v>230584276.17000002</v>
      </c>
      <c r="BH121" s="49">
        <f>BG121*100/BC121</f>
        <v>87.199571450424571</v>
      </c>
      <c r="BI121" s="49">
        <f>BG121*100/BB121</f>
        <v>64.10437076973524</v>
      </c>
    </row>
    <row r="122" spans="1:61" ht="24.9" customHeight="1" x14ac:dyDescent="0.3">
      <c r="A122" s="46"/>
      <c r="B122" s="46"/>
      <c r="C122" s="47"/>
      <c r="D122" s="46"/>
      <c r="E122" s="46"/>
      <c r="F122" s="46"/>
      <c r="G122" s="46"/>
      <c r="H122" s="48"/>
      <c r="I122" s="48"/>
      <c r="J122" s="48"/>
      <c r="K122" s="46"/>
      <c r="L122" s="46"/>
      <c r="M122" s="46"/>
      <c r="N122" s="46"/>
      <c r="O122" s="46"/>
      <c r="P122" s="46"/>
      <c r="Q122" s="46"/>
      <c r="R122" s="46"/>
      <c r="S122" s="46"/>
      <c r="T122" s="46"/>
      <c r="U122" s="46"/>
      <c r="V122" s="46"/>
      <c r="W122" s="46"/>
      <c r="X122" s="46"/>
      <c r="AD122" s="46"/>
      <c r="AE122" s="46"/>
      <c r="AJ122" s="46"/>
      <c r="AK122" s="44"/>
      <c r="AL122" s="44"/>
      <c r="AM122" s="44"/>
      <c r="AN122" s="46"/>
      <c r="AP122" s="46"/>
      <c r="AQ122" s="46"/>
      <c r="AR122" s="44"/>
      <c r="AS122" s="44"/>
      <c r="AT122" s="46"/>
      <c r="AU122" s="46"/>
      <c r="AV122" s="46"/>
      <c r="AW122" s="46"/>
      <c r="AX122" s="46"/>
      <c r="AY122" s="46"/>
      <c r="AZ122" s="46"/>
      <c r="BA122" s="46"/>
      <c r="BB122" s="46"/>
      <c r="BC122" s="46"/>
      <c r="BD122" s="46"/>
      <c r="BE122" s="46"/>
      <c r="BF122" s="46"/>
      <c r="BG122" s="46"/>
      <c r="BH122" s="46"/>
      <c r="BI122" s="46"/>
    </row>
    <row r="123" spans="1:61" ht="24.9" customHeight="1" x14ac:dyDescent="0.3">
      <c r="A123" s="46"/>
      <c r="B123" s="46"/>
      <c r="C123" s="47"/>
      <c r="D123" s="46"/>
      <c r="E123" s="46"/>
      <c r="F123" s="46"/>
      <c r="G123" s="46"/>
      <c r="H123" s="48"/>
      <c r="I123" s="48"/>
      <c r="J123" s="48"/>
      <c r="K123" s="46"/>
      <c r="L123" s="46"/>
      <c r="M123" s="46"/>
      <c r="N123" s="46"/>
      <c r="O123" s="46"/>
      <c r="P123" s="46"/>
      <c r="Q123" s="46"/>
      <c r="R123" s="46"/>
      <c r="S123" s="46"/>
      <c r="T123" s="46"/>
      <c r="U123" s="46"/>
      <c r="V123" s="46"/>
      <c r="W123" s="46"/>
      <c r="X123" s="46"/>
      <c r="AD123" s="46"/>
      <c r="AE123" s="46"/>
      <c r="AJ123" s="46"/>
      <c r="AK123" s="44"/>
      <c r="AL123" s="44"/>
      <c r="AM123" s="44"/>
      <c r="AN123" s="46"/>
      <c r="AP123" s="46"/>
      <c r="AQ123" s="46"/>
      <c r="AR123" s="44"/>
      <c r="AS123" s="44"/>
      <c r="AT123" s="46"/>
      <c r="AU123" s="46"/>
      <c r="AV123" s="46"/>
      <c r="AW123" s="46"/>
      <c r="AX123" s="46"/>
      <c r="AY123" s="46"/>
      <c r="AZ123" s="46"/>
      <c r="BA123" s="46"/>
      <c r="BB123" s="46"/>
      <c r="BC123" s="46"/>
      <c r="BD123" s="46"/>
      <c r="BE123" s="46"/>
      <c r="BF123" s="46"/>
      <c r="BG123" s="46"/>
      <c r="BH123" s="46"/>
      <c r="BI123" s="46"/>
    </row>
    <row r="124" spans="1:61" ht="24.9" customHeight="1" x14ac:dyDescent="0.3">
      <c r="A124" s="46"/>
      <c r="B124" s="46"/>
      <c r="C124" s="47"/>
      <c r="D124" s="46"/>
      <c r="E124" s="46"/>
      <c r="F124" s="46"/>
      <c r="G124" s="46"/>
      <c r="H124" s="48"/>
      <c r="I124" s="48"/>
      <c r="J124" s="48"/>
      <c r="K124" s="46"/>
      <c r="L124" s="46"/>
      <c r="M124" s="46"/>
      <c r="N124" s="46"/>
      <c r="O124" s="46"/>
      <c r="P124" s="46"/>
      <c r="Q124" s="46"/>
      <c r="R124" s="46"/>
      <c r="S124" s="46"/>
      <c r="T124" s="46"/>
      <c r="U124" s="46"/>
      <c r="V124" s="46"/>
      <c r="W124" s="46"/>
      <c r="X124" s="46"/>
      <c r="AD124" s="46"/>
      <c r="AE124" s="46"/>
      <c r="AF124" s="46"/>
      <c r="AG124" s="46"/>
      <c r="AH124" s="46"/>
      <c r="AI124" s="46"/>
      <c r="AJ124" s="46"/>
      <c r="AK124" s="44"/>
      <c r="AL124" s="44"/>
      <c r="AM124" s="44"/>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row>
    <row r="125" spans="1:61" ht="24.9" customHeight="1" x14ac:dyDescent="0.25">
      <c r="Y125" s="45"/>
      <c r="Z125" s="45"/>
      <c r="AA125" s="45"/>
      <c r="AB125" s="45"/>
      <c r="AC125" s="45"/>
    </row>
  </sheetData>
  <sortState ref="A2:BG121">
    <sortCondition ref="A2:A121"/>
  </sortState>
  <pageMargins left="0.51181102362204722" right="0.51181102362204722" top="0.78740157480314965" bottom="0.78740157480314965" header="0.31496062992125984" footer="0.31496062992125984"/>
  <pageSetup paperSize="9" scale="6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Final</vt:lpstr>
      <vt:lpstr>Final!Area_de_impressao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Beatriz dos Santos</dc:creator>
  <cp:lastModifiedBy>Fabio de Barros Correia Gomes</cp:lastModifiedBy>
  <cp:lastPrinted>2018-03-27T12:54:11Z</cp:lastPrinted>
  <dcterms:created xsi:type="dcterms:W3CDTF">2016-08-16T18:41:27Z</dcterms:created>
  <dcterms:modified xsi:type="dcterms:W3CDTF">2018-05-30T14:05:28Z</dcterms:modified>
</cp:coreProperties>
</file>