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ludai\Desktop\BAN630\Module2\"/>
    </mc:Choice>
  </mc:AlternateContent>
  <xr:revisionPtr revIDLastSave="0" documentId="10_ncr:100000_{9F7D9583-CE7D-469F-AE3E-29AB50DB2A14}" xr6:coauthVersionLast="31" xr6:coauthVersionMax="31" xr10:uidLastSave="{00000000-0000-0000-0000-000000000000}"/>
  <bookViews>
    <workbookView xWindow="0" yWindow="0" windowWidth="21570" windowHeight="10305" xr2:uid="{600E647A-9D9A-460A-9FD7-DC193349833C}"/>
  </bookViews>
  <sheets>
    <sheet name="Q1-LP model Formulation" sheetId="1" r:id="rId1"/>
    <sheet name="Sensitivity Report 1" sheetId="4" r:id="rId2"/>
    <sheet name="Q2-LP spreadsheet" sheetId="2" r:id="rId3"/>
    <sheet name="Q3. Sensitivity Analysis" sheetId="3" r:id="rId4"/>
    <sheet name="Q4.Revised-Model" sheetId="5" r:id="rId5"/>
    <sheet name="Q4.Revised-Model_STS" sheetId="7" state="veryHidden" r:id="rId6"/>
    <sheet name="Q5. Revised-Model_STS_1" sheetId="8" r:id="rId7"/>
  </sheets>
  <definedNames>
    <definedName name="ChartData" localSheetId="6">'Q5. Revised-Model_STS_1'!$K$5:$K$25</definedName>
    <definedName name="InputValues" localSheetId="6">'Q5. Revised-Model_STS_1'!$A$5:$A$25</definedName>
    <definedName name="OutputAddresses" localSheetId="6">'Q5. Revised-Model_STS_1'!$B$4</definedName>
    <definedName name="OutputValues" localSheetId="6">'Q5. Revised-Model_STS_1'!$B$5:$B$25</definedName>
    <definedName name="solver_adj" localSheetId="2" hidden="1">'Q2-LP spreadsheet'!$C$3:$C$5</definedName>
    <definedName name="solver_adj" localSheetId="3" hidden="1">'Q3. Sensitivity Analysis'!$C$3:$C$5</definedName>
    <definedName name="solver_adj" localSheetId="4" hidden="1">'Q4.Revised-Model'!$C$3:$C$5</definedName>
    <definedName name="solver_cvg" localSheetId="2" hidden="1">0.0001</definedName>
    <definedName name="solver_cvg" localSheetId="3" hidden="1">0.0001</definedName>
    <definedName name="solver_cvg" localSheetId="4" hidden="1">0.0001</definedName>
    <definedName name="solver_drv" localSheetId="2" hidden="1">2</definedName>
    <definedName name="solver_drv" localSheetId="3" hidden="1">1</definedName>
    <definedName name="solver_drv" localSheetId="4" hidden="1">1</definedName>
    <definedName name="solver_eng" localSheetId="2" hidden="1">2</definedName>
    <definedName name="solver_eng" localSheetId="3" hidden="1">1</definedName>
    <definedName name="solver_eng" localSheetId="4" hidden="1">1</definedName>
    <definedName name="solver_est" localSheetId="2" hidden="1">1</definedName>
    <definedName name="solver_est" localSheetId="3" hidden="1">1</definedName>
    <definedName name="solver_est" localSheetId="4" hidden="1">1</definedName>
    <definedName name="solver_itr" localSheetId="2" hidden="1">2147483647</definedName>
    <definedName name="solver_itr" localSheetId="3" hidden="1">2147483647</definedName>
    <definedName name="solver_itr" localSheetId="4" hidden="1">2147483647</definedName>
    <definedName name="solver_lhs1" localSheetId="2" hidden="1">'Q2-LP spreadsheet'!$B$11:$B$14</definedName>
    <definedName name="solver_lhs1" localSheetId="3" hidden="1">'Q3. Sensitivity Analysis'!$B$11:$B$14</definedName>
    <definedName name="solver_lhs1" localSheetId="4" hidden="1">'Q4.Revised-Model'!$B$11:$B$15</definedName>
    <definedName name="solver_lhs2" localSheetId="2" hidden="1">'Q2-LP spreadsheet'!$B$15:$B$17</definedName>
    <definedName name="solver_lhs2" localSheetId="3" hidden="1">'Q3. Sensitivity Analysis'!$B$15:$B$17</definedName>
    <definedName name="solver_lhs2" localSheetId="4" hidden="1">'Q4.Revised-Model'!$B$16:$B$18</definedName>
    <definedName name="solver_mip" localSheetId="2" hidden="1">2147483647</definedName>
    <definedName name="solver_mip" localSheetId="3" hidden="1">2147483647</definedName>
    <definedName name="solver_mip" localSheetId="4" hidden="1">2147483647</definedName>
    <definedName name="solver_mni" localSheetId="2" hidden="1">30</definedName>
    <definedName name="solver_mni" localSheetId="3" hidden="1">30</definedName>
    <definedName name="solver_mni" localSheetId="4" hidden="1">30</definedName>
    <definedName name="solver_mrt" localSheetId="2" hidden="1">0.075</definedName>
    <definedName name="solver_mrt" localSheetId="3" hidden="1">0.075</definedName>
    <definedName name="solver_mrt" localSheetId="4" hidden="1">0.075</definedName>
    <definedName name="solver_msl" localSheetId="2" hidden="1">2</definedName>
    <definedName name="solver_msl" localSheetId="3" hidden="1">2</definedName>
    <definedName name="solver_msl" localSheetId="4" hidden="1">2</definedName>
    <definedName name="solver_neg" localSheetId="2" hidden="1">1</definedName>
    <definedName name="solver_neg" localSheetId="3" hidden="1">1</definedName>
    <definedName name="solver_neg" localSheetId="4" hidden="1">1</definedName>
    <definedName name="solver_nod" localSheetId="2" hidden="1">2147483647</definedName>
    <definedName name="solver_nod" localSheetId="3" hidden="1">2147483647</definedName>
    <definedName name="solver_nod" localSheetId="4" hidden="1">2147483647</definedName>
    <definedName name="solver_num" localSheetId="2" hidden="1">2</definedName>
    <definedName name="solver_num" localSheetId="3" hidden="1">2</definedName>
    <definedName name="solver_num" localSheetId="4" hidden="1">2</definedName>
    <definedName name="solver_nwt" localSheetId="2" hidden="1">1</definedName>
    <definedName name="solver_nwt" localSheetId="3" hidden="1">1</definedName>
    <definedName name="solver_nwt" localSheetId="4" hidden="1">1</definedName>
    <definedName name="solver_opt" localSheetId="2" hidden="1">'Q2-LP spreadsheet'!$B$8</definedName>
    <definedName name="solver_opt" localSheetId="3" hidden="1">'Q3. Sensitivity Analysis'!$B$8</definedName>
    <definedName name="solver_opt" localSheetId="4" hidden="1">'Q4.Revised-Model'!$B$8</definedName>
    <definedName name="solver_pre" localSheetId="2" hidden="1">0.000001</definedName>
    <definedName name="solver_pre" localSheetId="3" hidden="1">0.000001</definedName>
    <definedName name="solver_pre" localSheetId="4" hidden="1">0.000001</definedName>
    <definedName name="solver_rbv" localSheetId="2" hidden="1">2</definedName>
    <definedName name="solver_rbv" localSheetId="3" hidden="1">1</definedName>
    <definedName name="solver_rbv" localSheetId="4" hidden="1">2</definedName>
    <definedName name="solver_rel1" localSheetId="2" hidden="1">3</definedName>
    <definedName name="solver_rel1" localSheetId="3" hidden="1">3</definedName>
    <definedName name="solver_rel1" localSheetId="4" hidden="1">3</definedName>
    <definedName name="solver_rel2" localSheetId="2" hidden="1">1</definedName>
    <definedName name="solver_rel2" localSheetId="3" hidden="1">1</definedName>
    <definedName name="solver_rel2" localSheetId="4" hidden="1">1</definedName>
    <definedName name="solver_rhs1" localSheetId="2" hidden="1">'Q2-LP spreadsheet'!$D$11:$D$14</definedName>
    <definedName name="solver_rhs1" localSheetId="3" hidden="1">'Q3. Sensitivity Analysis'!$D$11:$D$14</definedName>
    <definedName name="solver_rhs1" localSheetId="4" hidden="1">'Q4.Revised-Model'!$D$11:$D$15</definedName>
    <definedName name="solver_rhs2" localSheetId="2" hidden="1">'Q2-LP spreadsheet'!$D$15:$D$17</definedName>
    <definedName name="solver_rhs2" localSheetId="3" hidden="1">'Q3. Sensitivity Analysis'!$D$15:$D$17</definedName>
    <definedName name="solver_rhs2" localSheetId="4" hidden="1">'Q4.Revised-Model'!$D$16:$D$18</definedName>
    <definedName name="solver_rlx" localSheetId="2" hidden="1">2</definedName>
    <definedName name="solver_rlx" localSheetId="3" hidden="1">2</definedName>
    <definedName name="solver_rlx" localSheetId="4" hidden="1">2</definedName>
    <definedName name="solver_rsd" localSheetId="2" hidden="1">0</definedName>
    <definedName name="solver_rsd" localSheetId="3" hidden="1">0</definedName>
    <definedName name="solver_rsd" localSheetId="4" hidden="1">0</definedName>
    <definedName name="solver_scl" localSheetId="2" hidden="1">2</definedName>
    <definedName name="solver_scl" localSheetId="3" hidden="1">1</definedName>
    <definedName name="solver_scl" localSheetId="4" hidden="1">1</definedName>
    <definedName name="solver_sho" localSheetId="2" hidden="1">2</definedName>
    <definedName name="solver_sho" localSheetId="3" hidden="1">2</definedName>
    <definedName name="solver_sho" localSheetId="4" hidden="1">2</definedName>
    <definedName name="solver_ssz" localSheetId="2" hidden="1">100</definedName>
    <definedName name="solver_ssz" localSheetId="3" hidden="1">100</definedName>
    <definedName name="solver_ssz" localSheetId="4" hidden="1">100</definedName>
    <definedName name="solver_tim" localSheetId="2" hidden="1">2147483647</definedName>
    <definedName name="solver_tim" localSheetId="3" hidden="1">2147483647</definedName>
    <definedName name="solver_tim" localSheetId="4" hidden="1">2147483647</definedName>
    <definedName name="solver_tol" localSheetId="2" hidden="1">0.01</definedName>
    <definedName name="solver_tol" localSheetId="3" hidden="1">0.01</definedName>
    <definedName name="solver_tol" localSheetId="4" hidden="1">0.01</definedName>
    <definedName name="solver_typ" localSheetId="2" hidden="1">2</definedName>
    <definedName name="solver_typ" localSheetId="3" hidden="1">2</definedName>
    <definedName name="solver_typ" localSheetId="4" hidden="1">2</definedName>
    <definedName name="solver_val" localSheetId="2" hidden="1">0</definedName>
    <definedName name="solver_val" localSheetId="3" hidden="1">0</definedName>
    <definedName name="solver_val" localSheetId="4" hidden="1">0</definedName>
    <definedName name="solver_ver" localSheetId="2" hidden="1">3</definedName>
    <definedName name="solver_ver" localSheetId="3" hidden="1">3</definedName>
    <definedName name="solver_ver" localSheetId="4" hidden="1">3</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9" i="8" l="1"/>
  <c r="L10" i="8"/>
  <c r="L11" i="8"/>
  <c r="L12" i="8"/>
  <c r="L13" i="8"/>
  <c r="L14" i="8"/>
  <c r="L15" i="8"/>
  <c r="L16" i="8"/>
  <c r="L17" i="8"/>
  <c r="L18" i="8"/>
  <c r="L19" i="8"/>
  <c r="L20" i="8"/>
  <c r="L21" i="8"/>
  <c r="L22" i="8"/>
  <c r="L23" i="8"/>
  <c r="L24" i="8"/>
  <c r="L25" i="8"/>
  <c r="L8" i="8"/>
  <c r="L7" i="8"/>
  <c r="L6" i="8"/>
  <c r="K1" i="8"/>
  <c r="K25" i="8"/>
  <c r="K24" i="8"/>
  <c r="K23" i="8"/>
  <c r="K22" i="8"/>
  <c r="K21" i="8"/>
  <c r="K20" i="8"/>
  <c r="K19" i="8"/>
  <c r="K18" i="8"/>
  <c r="K17" i="8"/>
  <c r="K16" i="8"/>
  <c r="K15" i="8"/>
  <c r="K14" i="8"/>
  <c r="K13" i="8"/>
  <c r="K12" i="8"/>
  <c r="K11" i="8"/>
  <c r="K10" i="8"/>
  <c r="K9" i="8"/>
  <c r="K8" i="8"/>
  <c r="K7" i="8"/>
  <c r="K6" i="8"/>
  <c r="K5" i="8"/>
  <c r="J4" i="8"/>
  <c r="L17" i="5" l="1"/>
  <c r="L16" i="5"/>
  <c r="L15" i="5"/>
  <c r="L14" i="5"/>
  <c r="L13" i="5"/>
  <c r="L12" i="5"/>
  <c r="L11" i="5"/>
  <c r="L8" i="5"/>
  <c r="B15" i="5"/>
  <c r="B18" i="5"/>
  <c r="B17" i="5"/>
  <c r="B16" i="5"/>
  <c r="B14" i="5"/>
  <c r="B13" i="5"/>
  <c r="B12" i="5"/>
  <c r="B11" i="5"/>
  <c r="B8" i="5"/>
  <c r="B17" i="3"/>
  <c r="B16" i="3"/>
  <c r="B15" i="3"/>
  <c r="B14" i="3"/>
  <c r="B13" i="3"/>
  <c r="B12" i="3"/>
  <c r="B11" i="3"/>
  <c r="B8" i="3"/>
  <c r="B14" i="2" l="1"/>
  <c r="B17" i="2"/>
  <c r="B16" i="2"/>
  <c r="B15" i="2"/>
  <c r="B13" i="2"/>
  <c r="B12" i="2"/>
  <c r="B11" i="2"/>
  <c r="B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ludai</author>
  </authors>
  <commentList>
    <comment ref="B5" authorId="0" shapeId="0" xr:uid="{EBB6CC06-D008-418D-9D08-BEE096F0DE51}">
      <text>
        <r>
          <rPr>
            <sz val="9"/>
            <color indexed="81"/>
            <rFont val="Tahoma"/>
            <family val="2"/>
          </rPr>
          <t>Solver found a solution. All constraints and optimality conditions are satisfied.</t>
        </r>
      </text>
    </comment>
    <comment ref="B6" authorId="0" shapeId="0" xr:uid="{FA0FEE7A-ACDB-45CE-98A9-3FFC8553AFD9}">
      <text>
        <r>
          <rPr>
            <sz val="9"/>
            <color indexed="81"/>
            <rFont val="Tahoma"/>
            <family val="2"/>
          </rPr>
          <t>Solver found a solution. All constraints and optimality conditions are satisfied.</t>
        </r>
      </text>
    </comment>
    <comment ref="B7" authorId="0" shapeId="0" xr:uid="{AE92BCF7-3E3E-4131-9B5A-5A02636D6530}">
      <text>
        <r>
          <rPr>
            <sz val="9"/>
            <color indexed="81"/>
            <rFont val="Tahoma"/>
            <family val="2"/>
          </rPr>
          <t>Solver found a solution. All constraints and optimality conditions are satisfied.</t>
        </r>
      </text>
    </comment>
    <comment ref="B8" authorId="0" shapeId="0" xr:uid="{18B5D110-4071-413E-B58A-F1D59B1BF05E}">
      <text>
        <r>
          <rPr>
            <sz val="9"/>
            <color indexed="81"/>
            <rFont val="Tahoma"/>
            <family val="2"/>
          </rPr>
          <t>Solver found a solution. All constraints and optimality conditions are satisfied.</t>
        </r>
      </text>
    </comment>
    <comment ref="B9" authorId="0" shapeId="0" xr:uid="{3CDBCA61-B261-49E4-B5F8-DB257925FCBF}">
      <text>
        <r>
          <rPr>
            <sz val="9"/>
            <color indexed="81"/>
            <rFont val="Tahoma"/>
            <family val="2"/>
          </rPr>
          <t>Solver found a solution. All constraints and optimality conditions are satisfied.</t>
        </r>
      </text>
    </comment>
    <comment ref="B10" authorId="0" shapeId="0" xr:uid="{E4CECD7D-8079-4BFA-9A70-0BFACE61EAA8}">
      <text>
        <r>
          <rPr>
            <sz val="9"/>
            <color indexed="81"/>
            <rFont val="Tahoma"/>
            <family val="2"/>
          </rPr>
          <t>Solver found a solution. All constraints and optimality conditions are satisfied.</t>
        </r>
      </text>
    </comment>
    <comment ref="B11" authorId="0" shapeId="0" xr:uid="{EC8EC745-F136-414D-85DC-B02CBED18D80}">
      <text>
        <r>
          <rPr>
            <sz val="9"/>
            <color indexed="81"/>
            <rFont val="Tahoma"/>
            <family val="2"/>
          </rPr>
          <t>Solver found a solution. All constraints and optimality conditions are satisfied.</t>
        </r>
      </text>
    </comment>
    <comment ref="B12" authorId="0" shapeId="0" xr:uid="{2A75014B-48E6-4864-80F7-7AA2452EFCCE}">
      <text>
        <r>
          <rPr>
            <sz val="9"/>
            <color indexed="81"/>
            <rFont val="Tahoma"/>
            <family val="2"/>
          </rPr>
          <t>Solver found a solution. All constraints and optimality conditions are satisfied.</t>
        </r>
      </text>
    </comment>
    <comment ref="B13" authorId="0" shapeId="0" xr:uid="{51444A13-F680-4335-A5F4-353B8355EE3B}">
      <text>
        <r>
          <rPr>
            <sz val="9"/>
            <color indexed="81"/>
            <rFont val="Tahoma"/>
            <family val="2"/>
          </rPr>
          <t>Solver found a solution. All constraints and optimality conditions are satisfied.</t>
        </r>
      </text>
    </comment>
    <comment ref="B14" authorId="0" shapeId="0" xr:uid="{7B12B1F3-C804-459A-A127-1116F4E50940}">
      <text>
        <r>
          <rPr>
            <sz val="9"/>
            <color indexed="81"/>
            <rFont val="Tahoma"/>
            <family val="2"/>
          </rPr>
          <t>Solver found a solution. All constraints and optimality conditions are satisfied.</t>
        </r>
      </text>
    </comment>
    <comment ref="B15" authorId="0" shapeId="0" xr:uid="{CD026C7A-77C2-4FA5-9BEB-585F4A9CAD31}">
      <text>
        <r>
          <rPr>
            <sz val="9"/>
            <color indexed="81"/>
            <rFont val="Tahoma"/>
            <family val="2"/>
          </rPr>
          <t>Solver found a solution. All constraints and optimality conditions are satisfied.</t>
        </r>
      </text>
    </comment>
    <comment ref="B16" authorId="0" shapeId="0" xr:uid="{A577525C-D7DB-4181-854F-1276BD271634}">
      <text>
        <r>
          <rPr>
            <sz val="9"/>
            <color indexed="81"/>
            <rFont val="Tahoma"/>
            <family val="2"/>
          </rPr>
          <t>Solver found a solution. All constraints and optimality conditions are satisfied.</t>
        </r>
      </text>
    </comment>
    <comment ref="B17" authorId="0" shapeId="0" xr:uid="{F9775163-CCBC-49ED-AAD7-AAF7402DAF75}">
      <text>
        <r>
          <rPr>
            <sz val="9"/>
            <color indexed="81"/>
            <rFont val="Tahoma"/>
            <family val="2"/>
          </rPr>
          <t>Solver found a solution. All constraints and optimality conditions are satisfied.</t>
        </r>
      </text>
    </comment>
    <comment ref="B18" authorId="0" shapeId="0" xr:uid="{244105E8-5192-43CE-B0E1-61438421B376}">
      <text>
        <r>
          <rPr>
            <sz val="9"/>
            <color indexed="81"/>
            <rFont val="Tahoma"/>
            <family val="2"/>
          </rPr>
          <t>Solver found a solution. All constraints and optimality conditions are satisfied.</t>
        </r>
      </text>
    </comment>
    <comment ref="B19" authorId="0" shapeId="0" xr:uid="{881A0860-E4FD-4D17-BC4A-899D871AEEDF}">
      <text>
        <r>
          <rPr>
            <sz val="9"/>
            <color indexed="81"/>
            <rFont val="Tahoma"/>
            <family val="2"/>
          </rPr>
          <t>Solver found a solution. All constraints and optimality conditions are satisfied.</t>
        </r>
      </text>
    </comment>
    <comment ref="B20" authorId="0" shapeId="0" xr:uid="{026BD224-CFE7-4E32-B64F-3BDF41BF06A1}">
      <text>
        <r>
          <rPr>
            <sz val="9"/>
            <color indexed="81"/>
            <rFont val="Tahoma"/>
            <family val="2"/>
          </rPr>
          <t>Solver found a solution. All constraints and optimality conditions are satisfied.</t>
        </r>
      </text>
    </comment>
    <comment ref="B21" authorId="0" shapeId="0" xr:uid="{FB1A8981-A7AC-4372-AF67-0CB3A12E0796}">
      <text>
        <r>
          <rPr>
            <sz val="9"/>
            <color indexed="81"/>
            <rFont val="Tahoma"/>
            <family val="2"/>
          </rPr>
          <t>Solver found a solution. All constraints and optimality conditions are satisfied.</t>
        </r>
      </text>
    </comment>
    <comment ref="B22" authorId="0" shapeId="0" xr:uid="{135D51E6-6229-4FFA-8F86-09A4BDC30DD5}">
      <text>
        <r>
          <rPr>
            <sz val="9"/>
            <color indexed="81"/>
            <rFont val="Tahoma"/>
            <family val="2"/>
          </rPr>
          <t>Solver found a solution. All constraints and optimality conditions are satisfied.</t>
        </r>
      </text>
    </comment>
    <comment ref="B23" authorId="0" shapeId="0" xr:uid="{F82F4D44-E1A5-4DE3-B0FE-0E404DE611B1}">
      <text>
        <r>
          <rPr>
            <sz val="9"/>
            <color indexed="81"/>
            <rFont val="Tahoma"/>
            <family val="2"/>
          </rPr>
          <t>Solver found a solution. All constraints and optimality conditions are satisfied.</t>
        </r>
      </text>
    </comment>
    <comment ref="B24" authorId="0" shapeId="0" xr:uid="{DFFB8641-3FDF-4DC4-B23F-A2AC69B6B4B5}">
      <text>
        <r>
          <rPr>
            <sz val="9"/>
            <color indexed="81"/>
            <rFont val="Tahoma"/>
            <family val="2"/>
          </rPr>
          <t>Solver found a solution. All constraints and optimality conditions are satisfied.</t>
        </r>
      </text>
    </comment>
    <comment ref="B25" authorId="0" shapeId="0" xr:uid="{6747C28F-4A7E-4A3B-9B96-D2FBB63A0AE5}">
      <text>
        <r>
          <rPr>
            <sz val="9"/>
            <color indexed="81"/>
            <rFont val="Tahoma"/>
            <family val="2"/>
          </rPr>
          <t>Solver found a solution. All constraints and optimality conditions are satisfied.</t>
        </r>
      </text>
    </comment>
  </commentList>
</comments>
</file>

<file path=xl/sharedStrings.xml><?xml version="1.0" encoding="utf-8"?>
<sst xmlns="http://schemas.openxmlformats.org/spreadsheetml/2006/main" count="266" uniqueCount="106">
  <si>
    <t>Decision Variables</t>
  </si>
  <si>
    <t>Suppliers</t>
  </si>
  <si>
    <t>Cost per valve</t>
  </si>
  <si>
    <t xml:space="preserve">Proportion of Small Valves </t>
  </si>
  <si>
    <t>Proportion of Medium Valves</t>
  </si>
  <si>
    <t>Proportion of Large Valves</t>
  </si>
  <si>
    <t>Supplier 1</t>
  </si>
  <si>
    <t>Supplier 2</t>
  </si>
  <si>
    <t>Supplier 3</t>
  </si>
  <si>
    <t>Decision variables:</t>
  </si>
  <si>
    <t>Constraints:</t>
  </si>
  <si>
    <t>Number of purchased medium valves at least 300</t>
  </si>
  <si>
    <t>Non-negativity</t>
  </si>
  <si>
    <t xml:space="preserve"> 260S1 + 180S2 + 150S3</t>
  </si>
  <si>
    <t>0.3S1 + 0.35S2 + 0.25S3 &gt;= 400</t>
  </si>
  <si>
    <t>Number of purchased small valves at least 400</t>
  </si>
  <si>
    <t>Number of purchased large valves at least 500</t>
  </si>
  <si>
    <t>0.40S1 + 0.35S2 + 0.25S3 &gt;= 300</t>
  </si>
  <si>
    <t>0.30S1 + 0.30S2 + 0.50S3 &gt;= 500</t>
  </si>
  <si>
    <t>Quantity from Supplier 2 at most 600 valves</t>
  </si>
  <si>
    <t>Quantity from Supplier 3 at most 600 valves</t>
  </si>
  <si>
    <t xml:space="preserve">Quantity from Supplier 1  at least 300 &amp; at most 600 </t>
  </si>
  <si>
    <t>300&lt;= S1 &lt;= 600</t>
  </si>
  <si>
    <t>S2 &lt;= 600</t>
  </si>
  <si>
    <t>S3 &lt;= 600</t>
  </si>
  <si>
    <t>Inputs</t>
  </si>
  <si>
    <t>Value</t>
  </si>
  <si>
    <t>Cost per Valve</t>
  </si>
  <si>
    <t>% Small</t>
  </si>
  <si>
    <t>% Medium</t>
  </si>
  <si>
    <t>% Large</t>
  </si>
  <si>
    <t>Quantity purchased from Supplier 1</t>
  </si>
  <si>
    <t>S1 =</t>
  </si>
  <si>
    <t>Quantity purchased from Supplier 2</t>
  </si>
  <si>
    <t xml:space="preserve">S2 = </t>
  </si>
  <si>
    <t>Quantity purchased from Supplier 3</t>
  </si>
  <si>
    <t>S3 =</t>
  </si>
  <si>
    <t>Objective Function</t>
  </si>
  <si>
    <t>Minimize total costs, $</t>
  </si>
  <si>
    <t>Constraints</t>
  </si>
  <si>
    <t>LHS</t>
  </si>
  <si>
    <t>RHS</t>
  </si>
  <si>
    <t>&gt;=</t>
  </si>
  <si>
    <t>Purchased medium valves &gt;= 300</t>
  </si>
  <si>
    <t>&lt;=</t>
  </si>
  <si>
    <t>Quantity</t>
  </si>
  <si>
    <t>Purchased small valves &gt;= 400</t>
  </si>
  <si>
    <t>Purchased large valves &gt;= 500</t>
  </si>
  <si>
    <t>Quantity from Supplier 2 &lt;= 600</t>
  </si>
  <si>
    <t>Quantity from Supplier 3 &lt;= 600</t>
  </si>
  <si>
    <t>Quantity from Supplier 1 &lt;= 600</t>
  </si>
  <si>
    <t>Quantity from Supplier 1 &gt;= 300</t>
  </si>
  <si>
    <t>Microsoft Excel 16.0 Sensitivity Report</t>
  </si>
  <si>
    <t>Worksheet: [Case1_Lu Dai.xlsx]Q2-LP spreadsheet</t>
  </si>
  <si>
    <t>Report Created: 8/29/2018 1:38:24 PM</t>
  </si>
  <si>
    <t>Variable Cells</t>
  </si>
  <si>
    <t>Cell</t>
  </si>
  <si>
    <t>Name</t>
  </si>
  <si>
    <t>Final</t>
  </si>
  <si>
    <t>Reduced</t>
  </si>
  <si>
    <t>Cost</t>
  </si>
  <si>
    <t>Objective</t>
  </si>
  <si>
    <t>Coefficient</t>
  </si>
  <si>
    <t>Allowable</t>
  </si>
  <si>
    <t>Increase</t>
  </si>
  <si>
    <t>Decrease</t>
  </si>
  <si>
    <t>Shadow</t>
  </si>
  <si>
    <t>Price</t>
  </si>
  <si>
    <t>Constraint</t>
  </si>
  <si>
    <t>R.H. Side</t>
  </si>
  <si>
    <t>$C$3</t>
  </si>
  <si>
    <t>S1 = Quantity</t>
  </si>
  <si>
    <t>$C$4</t>
  </si>
  <si>
    <t>S2 =  Quantity</t>
  </si>
  <si>
    <t>$C$5</t>
  </si>
  <si>
    <t>S3 = Quantity</t>
  </si>
  <si>
    <t>$B$11</t>
  </si>
  <si>
    <t>Purchased small valves &gt;= 400 LHS</t>
  </si>
  <si>
    <t>$B$12</t>
  </si>
  <si>
    <t>Purchased medium valves &gt;= 300 LHS</t>
  </si>
  <si>
    <t>$B$13</t>
  </si>
  <si>
    <t>Purchased large valves &gt;= 500 LHS</t>
  </si>
  <si>
    <t>$B$14</t>
  </si>
  <si>
    <t>Quantity from Supplier 1 &gt;= 300 LHS</t>
  </si>
  <si>
    <t>$B$15</t>
  </si>
  <si>
    <t>Quantity from Supplier 1 &lt;= 600 LHS</t>
  </si>
  <si>
    <t>$B$16</t>
  </si>
  <si>
    <t>Quantity from Supplier 2 &lt;= 600 LHS</t>
  </si>
  <si>
    <t>$B$17</t>
  </si>
  <si>
    <t>Quantity from Supplier 3 &lt;= 600 LHS</t>
  </si>
  <si>
    <t>S2= Quantity purchased from Supplier 2</t>
  </si>
  <si>
    <t>S3= Quantity purchased from Supplier 3</t>
  </si>
  <si>
    <t xml:space="preserve">S1= Quantity purchased from Supplier 1 </t>
  </si>
  <si>
    <t xml:space="preserve">Objective: </t>
  </si>
  <si>
    <t>Minimize total cost:</t>
  </si>
  <si>
    <t>S1,S2, S3 &gt;= 0</t>
  </si>
  <si>
    <t>Quantity from Supplier 2 &gt;= 530</t>
  </si>
  <si>
    <t>Revised-Model</t>
  </si>
  <si>
    <t>Original-Model</t>
  </si>
  <si>
    <t>$D$14</t>
  </si>
  <si>
    <t>$B$8</t>
  </si>
  <si>
    <t xml:space="preserve">Valves from Supplier1 </t>
  </si>
  <si>
    <t>Oneway analysis for Solver model in Q4.Revised-Model worksheet</t>
  </si>
  <si>
    <t>Valves from Supplier1  (cell $D$14) values along side, output cell(s) along top</t>
  </si>
  <si>
    <t>Data for chart</t>
  </si>
  <si>
    <t>Q1: LP Model Formulation: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</si>
</sst>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4" formatCode="_(&quot;$&quot;* #,##0.00_);_(&quot;$&quot;* \(#,##0.00\);_(&quot;$&quot;* &quot;-&quot;??_);_(@_)"/>
    <numFmt numFmtId="164" formatCode="&quot;$&quot;#,##0.00"/>
  </numFmts>
  <fonts count="13"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b/>
      <sz val="11"/>
      <color indexed="18"/>
      <name val="Calibri"/>
      <family val="2"/>
      <scheme val="minor"/>
    </font>
    <font>
      <b/>
      <sz val="14"/>
      <color theme="4"/>
      <name val="Calibri"/>
      <family val="2"/>
      <scheme val="minor"/>
    </font>
    <font>
      <sz val="11"/>
      <color rgb="FF9C5700"/>
      <name val="Calibri"/>
      <family val="2"/>
      <scheme val="minor"/>
    </font>
    <font>
      <sz val="11"/>
      <color rgb="FFFFFFFF"/>
      <name val="Calibri"/>
      <family val="2"/>
      <scheme val="minor"/>
    </font>
    <font>
      <sz val="9"/>
      <color indexed="81"/>
      <name val="Tahoma"/>
      <family val="2"/>
    </font>
    <font>
      <sz val="11"/>
      <color rgb="FF9C0006"/>
      <name val="Calibri"/>
      <family val="2"/>
      <scheme val="minor"/>
    </font>
    <font>
      <sz val="11"/>
      <color rgb="FF006100"/>
      <name val="Calibri"/>
      <family val="2"/>
      <scheme val="minor"/>
    </font>
    <font>
      <b/>
      <sz val="14"/>
      <color rgb="FF006100"/>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rgb="FFFFEB9C"/>
      </patternFill>
    </fill>
    <fill>
      <patternFill patternType="solid">
        <fgColor rgb="FFFFFF00"/>
        <bgColor indexed="64"/>
      </patternFill>
    </fill>
    <fill>
      <patternFill patternType="solid">
        <fgColor rgb="FFFFC7CE"/>
      </patternFill>
    </fill>
    <fill>
      <patternFill patternType="solid">
        <fgColor rgb="FFC6EFCE"/>
      </patternFill>
    </fill>
  </fills>
  <borders count="12">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indexed="23"/>
      </top>
      <bottom/>
      <diagonal/>
    </border>
    <border>
      <left/>
      <right/>
      <top/>
      <bottom style="medium">
        <color indexed="23"/>
      </bottom>
      <diagonal/>
    </border>
    <border>
      <left/>
      <right/>
      <top style="thin">
        <color indexed="23"/>
      </top>
      <bottom/>
      <diagonal/>
    </border>
    <border>
      <left/>
      <right/>
      <top style="thin">
        <color indexed="23"/>
      </top>
      <bottom style="medium">
        <color indexed="23"/>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6">
    <xf numFmtId="0" fontId="0" fillId="0" borderId="0"/>
    <xf numFmtId="44" fontId="1" fillId="0" borderId="0" applyFont="0" applyFill="0" applyBorder="0" applyAlignment="0" applyProtection="0"/>
    <xf numFmtId="0" fontId="1" fillId="0" borderId="0"/>
    <xf numFmtId="0" fontId="7" fillId="6" borderId="0" applyNumberFormat="0" applyBorder="0" applyAlignment="0" applyProtection="0"/>
    <xf numFmtId="0" fontId="10" fillId="8" borderId="0" applyNumberFormat="0" applyBorder="0" applyAlignment="0" applyProtection="0"/>
    <xf numFmtId="0" fontId="11" fillId="9" borderId="0" applyNumberFormat="0" applyBorder="0" applyAlignment="0" applyProtection="0"/>
  </cellStyleXfs>
  <cellXfs count="44">
    <xf numFmtId="0" fontId="0" fillId="0" borderId="0" xfId="0"/>
    <xf numFmtId="0" fontId="0" fillId="0" borderId="3" xfId="0" applyBorder="1" applyAlignment="1">
      <alignment vertical="center" wrapText="1"/>
    </xf>
    <xf numFmtId="6" fontId="0" fillId="0" borderId="4" xfId="0" applyNumberFormat="1" applyBorder="1" applyAlignment="1">
      <alignment horizontal="center" vertical="center" wrapText="1"/>
    </xf>
    <xf numFmtId="0" fontId="0" fillId="0" borderId="4" xfId="0" applyBorder="1" applyAlignment="1">
      <alignment horizontal="center" vertical="center" wrapText="1"/>
    </xf>
    <xf numFmtId="0" fontId="0" fillId="0" borderId="0" xfId="0" applyBorder="1"/>
    <xf numFmtId="0" fontId="3" fillId="0" borderId="0" xfId="2" applyFont="1" applyBorder="1" applyAlignment="1">
      <alignment wrapText="1"/>
    </xf>
    <xf numFmtId="0" fontId="3" fillId="0" borderId="0" xfId="2" applyFont="1" applyFill="1" applyBorder="1" applyAlignment="1">
      <alignment wrapText="1"/>
    </xf>
    <xf numFmtId="0" fontId="2" fillId="0" borderId="0" xfId="2" applyFont="1" applyBorder="1"/>
    <xf numFmtId="0" fontId="2" fillId="0" borderId="0" xfId="2" applyFont="1" applyFill="1" applyBorder="1"/>
    <xf numFmtId="0" fontId="2" fillId="0" borderId="0" xfId="0" applyFont="1"/>
    <xf numFmtId="0" fontId="1" fillId="0" borderId="0" xfId="2"/>
    <xf numFmtId="0" fontId="4" fillId="0" borderId="1" xfId="0" applyFont="1" applyBorder="1" applyAlignment="1">
      <alignment vertical="center" wrapText="1"/>
    </xf>
    <xf numFmtId="0" fontId="4" fillId="0" borderId="2" xfId="0" applyFont="1" applyBorder="1" applyAlignment="1">
      <alignment vertical="center" wrapText="1"/>
    </xf>
    <xf numFmtId="0" fontId="0" fillId="0" borderId="0" xfId="0" applyAlignment="1">
      <alignment horizontal="center"/>
    </xf>
    <xf numFmtId="164" fontId="0" fillId="3" borderId="0" xfId="1" applyNumberFormat="1" applyFont="1" applyFill="1" applyAlignment="1">
      <alignment horizontal="center"/>
    </xf>
    <xf numFmtId="0" fontId="0" fillId="3" borderId="0" xfId="0" applyFill="1" applyAlignment="1">
      <alignment horizontal="center"/>
    </xf>
    <xf numFmtId="0" fontId="0" fillId="2" borderId="0" xfId="0" applyFill="1"/>
    <xf numFmtId="0" fontId="0" fillId="4" borderId="0" xfId="0" applyFill="1" applyAlignment="1">
      <alignment horizontal="center"/>
    </xf>
    <xf numFmtId="164" fontId="0" fillId="5" borderId="0" xfId="0" applyNumberFormat="1" applyFill="1" applyAlignment="1">
      <alignment horizontal="center"/>
    </xf>
    <xf numFmtId="0" fontId="0" fillId="0" borderId="7" xfId="0" applyFill="1" applyBorder="1" applyAlignment="1"/>
    <xf numFmtId="0" fontId="0" fillId="0" borderId="8" xfId="0" applyFill="1" applyBorder="1" applyAlignment="1"/>
    <xf numFmtId="0" fontId="5" fillId="0" borderId="5" xfId="0" applyFont="1" applyFill="1" applyBorder="1" applyAlignment="1">
      <alignment horizontal="center"/>
    </xf>
    <xf numFmtId="0" fontId="5" fillId="0" borderId="6" xfId="0" applyFont="1" applyFill="1" applyBorder="1" applyAlignment="1">
      <alignment horizontal="center"/>
    </xf>
    <xf numFmtId="0" fontId="6" fillId="0" borderId="0" xfId="0" applyFont="1"/>
    <xf numFmtId="0" fontId="2" fillId="0" borderId="0" xfId="2" applyFont="1" applyBorder="1" applyAlignment="1">
      <alignment horizontal="left"/>
    </xf>
    <xf numFmtId="0" fontId="6" fillId="0" borderId="0" xfId="2" applyFont="1"/>
    <xf numFmtId="0" fontId="7" fillId="6" borderId="8" xfId="3" applyBorder="1" applyAlignment="1"/>
    <xf numFmtId="1" fontId="0" fillId="4" borderId="0" xfId="0" applyNumberFormat="1" applyFill="1" applyAlignment="1">
      <alignment horizontal="center"/>
    </xf>
    <xf numFmtId="0" fontId="7" fillId="6" borderId="7" xfId="3" applyBorder="1" applyAlignment="1"/>
    <xf numFmtId="0" fontId="7" fillId="6" borderId="0" xfId="3"/>
    <xf numFmtId="49" fontId="0" fillId="0" borderId="0" xfId="0" applyNumberFormat="1"/>
    <xf numFmtId="0" fontId="0" fillId="0" borderId="0" xfId="0" applyNumberFormat="1"/>
    <xf numFmtId="0" fontId="0" fillId="0" borderId="0" xfId="0" applyAlignment="1">
      <alignment horizontal="right" textRotation="90"/>
    </xf>
    <xf numFmtId="0" fontId="0" fillId="4" borderId="0" xfId="0" applyFill="1" applyAlignment="1">
      <alignment horizontal="right" textRotation="90"/>
    </xf>
    <xf numFmtId="0" fontId="8" fillId="0" borderId="0" xfId="0" applyFont="1"/>
    <xf numFmtId="164" fontId="0" fillId="0" borderId="9" xfId="0" applyNumberFormat="1" applyBorder="1"/>
    <xf numFmtId="164" fontId="0" fillId="0" borderId="10" xfId="0" applyNumberFormat="1" applyBorder="1"/>
    <xf numFmtId="164" fontId="0" fillId="0" borderId="11" xfId="0" applyNumberFormat="1" applyBorder="1"/>
    <xf numFmtId="164" fontId="0" fillId="7" borderId="10" xfId="0" applyNumberFormat="1" applyFill="1" applyBorder="1"/>
    <xf numFmtId="0" fontId="0" fillId="7" borderId="0" xfId="0" applyNumberFormat="1" applyFill="1"/>
    <xf numFmtId="0" fontId="0" fillId="7" borderId="0" xfId="0" applyFill="1"/>
    <xf numFmtId="0" fontId="10" fillId="8" borderId="0" xfId="4" applyAlignment="1">
      <alignment horizontal="center"/>
    </xf>
    <xf numFmtId="1" fontId="10" fillId="8" borderId="0" xfId="4" applyNumberFormat="1" applyAlignment="1">
      <alignment horizontal="center"/>
    </xf>
    <xf numFmtId="0" fontId="12" fillId="9" borderId="0" xfId="5" applyFont="1"/>
  </cellXfs>
  <cellStyles count="6">
    <cellStyle name="Bad" xfId="4" builtinId="27"/>
    <cellStyle name="Currency" xfId="1" builtinId="4"/>
    <cellStyle name="Good" xfId="5" builtinId="26"/>
    <cellStyle name="Neutral" xfId="3" builtinId="28"/>
    <cellStyle name="Normal" xfId="0" builtinId="0"/>
    <cellStyle name="Normal 2" xfId="2" xr:uid="{5689FF97-337C-4066-A6B9-0185EDB3B578}"/>
  </cellStyles>
  <dxfs count="0"/>
  <tableStyles count="0" defaultTableStyle="TableStyleMedium2" defaultPivotStyle="PivotStyleLight16"/>
  <colors>
    <mruColors>
      <color rgb="FFCC3300"/>
      <color rgb="FFFF330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'Q5. Revised-Model_STS_1'!$K$1</c:f>
          <c:strCache>
            <c:ptCount val="1"/>
            <c:pt idx="0">
              <c:v>Sensitivity of $B$8 to Valves from Supplier1 </c:v>
            </c:pt>
          </c:strCache>
        </c:strRef>
      </c:tx>
      <c:overlay val="0"/>
      <c:txPr>
        <a:bodyPr/>
        <a:lstStyle/>
        <a:p>
          <a:pPr>
            <a:defRPr sz="1200"/>
          </a:pPr>
          <a:endParaRPr lang="en-US"/>
        </a:p>
      </c:txPr>
    </c:title>
    <c:autoTitleDeleted val="0"/>
    <c:plotArea>
      <c:layout/>
      <c:lineChart>
        <c:grouping val="standard"/>
        <c:varyColors val="0"/>
        <c:ser>
          <c:idx val="0"/>
          <c:order val="0"/>
          <c:cat>
            <c:numRef>
              <c:f>'Q5. Revised-Model_STS_1'!$A$5:$A$25</c:f>
              <c:numCache>
                <c:formatCode>General</c:formatCode>
                <c:ptCount val="21"/>
                <c:pt idx="0">
                  <c:v>200</c:v>
                </c:pt>
                <c:pt idx="1">
                  <c:v>210</c:v>
                </c:pt>
                <c:pt idx="2">
                  <c:v>220</c:v>
                </c:pt>
                <c:pt idx="3">
                  <c:v>230</c:v>
                </c:pt>
                <c:pt idx="4">
                  <c:v>240</c:v>
                </c:pt>
                <c:pt idx="5">
                  <c:v>250</c:v>
                </c:pt>
                <c:pt idx="6">
                  <c:v>260</c:v>
                </c:pt>
                <c:pt idx="7">
                  <c:v>270</c:v>
                </c:pt>
                <c:pt idx="8">
                  <c:v>280</c:v>
                </c:pt>
                <c:pt idx="9">
                  <c:v>290</c:v>
                </c:pt>
                <c:pt idx="10">
                  <c:v>300</c:v>
                </c:pt>
                <c:pt idx="11">
                  <c:v>310</c:v>
                </c:pt>
                <c:pt idx="12">
                  <c:v>320</c:v>
                </c:pt>
                <c:pt idx="13">
                  <c:v>330</c:v>
                </c:pt>
                <c:pt idx="14">
                  <c:v>340</c:v>
                </c:pt>
                <c:pt idx="15">
                  <c:v>350</c:v>
                </c:pt>
                <c:pt idx="16">
                  <c:v>360</c:v>
                </c:pt>
                <c:pt idx="17">
                  <c:v>370</c:v>
                </c:pt>
                <c:pt idx="18">
                  <c:v>380</c:v>
                </c:pt>
                <c:pt idx="19">
                  <c:v>390</c:v>
                </c:pt>
                <c:pt idx="20">
                  <c:v>400</c:v>
                </c:pt>
              </c:numCache>
            </c:numRef>
          </c:cat>
          <c:val>
            <c:numRef>
              <c:f>'Q5. Revised-Model_STS_1'!$K$5:$K$25</c:f>
              <c:numCache>
                <c:formatCode>General</c:formatCode>
                <c:ptCount val="21"/>
                <c:pt idx="0">
                  <c:v>238000</c:v>
                </c:pt>
                <c:pt idx="1">
                  <c:v>239025</c:v>
                </c:pt>
                <c:pt idx="2">
                  <c:v>240050</c:v>
                </c:pt>
                <c:pt idx="3">
                  <c:v>241075</c:v>
                </c:pt>
                <c:pt idx="4">
                  <c:v>242100</c:v>
                </c:pt>
                <c:pt idx="5">
                  <c:v>243125</c:v>
                </c:pt>
                <c:pt idx="6">
                  <c:v>244150</c:v>
                </c:pt>
                <c:pt idx="7">
                  <c:v>245175</c:v>
                </c:pt>
                <c:pt idx="8">
                  <c:v>246200</c:v>
                </c:pt>
                <c:pt idx="9">
                  <c:v>247225</c:v>
                </c:pt>
                <c:pt idx="10">
                  <c:v>248700</c:v>
                </c:pt>
                <c:pt idx="11">
                  <c:v>250400</c:v>
                </c:pt>
                <c:pt idx="12">
                  <c:v>252100</c:v>
                </c:pt>
                <c:pt idx="13">
                  <c:v>253800</c:v>
                </c:pt>
                <c:pt idx="14">
                  <c:v>255500</c:v>
                </c:pt>
                <c:pt idx="15">
                  <c:v>257200</c:v>
                </c:pt>
                <c:pt idx="16">
                  <c:v>258900</c:v>
                </c:pt>
                <c:pt idx="17">
                  <c:v>260600</c:v>
                </c:pt>
                <c:pt idx="18">
                  <c:v>262300</c:v>
                </c:pt>
                <c:pt idx="19">
                  <c:v>264000</c:v>
                </c:pt>
                <c:pt idx="20">
                  <c:v>265700</c:v>
                </c:pt>
              </c:numCache>
            </c:numRef>
          </c:val>
          <c:smooth val="0"/>
          <c:extLst>
            <c:ext xmlns:c16="http://schemas.microsoft.com/office/drawing/2014/chart" uri="{C3380CC4-5D6E-409C-BE32-E72D297353CC}">
              <c16:uniqueId val="{00000001-3DD1-4D13-A790-6285FFF62A1C}"/>
            </c:ext>
          </c:extLst>
        </c:ser>
        <c:dLbls>
          <c:showLegendKey val="0"/>
          <c:showVal val="0"/>
          <c:showCatName val="0"/>
          <c:showSerName val="0"/>
          <c:showPercent val="0"/>
          <c:showBubbleSize val="0"/>
        </c:dLbls>
        <c:marker val="1"/>
        <c:smooth val="0"/>
        <c:axId val="640350136"/>
        <c:axId val="640350792"/>
      </c:lineChart>
      <c:catAx>
        <c:axId val="640350136"/>
        <c:scaling>
          <c:orientation val="minMax"/>
        </c:scaling>
        <c:delete val="0"/>
        <c:axPos val="b"/>
        <c:title>
          <c:tx>
            <c:rich>
              <a:bodyPr/>
              <a:lstStyle/>
              <a:p>
                <a:pPr>
                  <a:defRPr/>
                </a:pPr>
                <a:r>
                  <a:rPr lang="en-US"/>
                  <a:t>Valves from Supplier1  ($D$14)</a:t>
                </a:r>
              </a:p>
            </c:rich>
          </c:tx>
          <c:overlay val="0"/>
        </c:title>
        <c:numFmt formatCode="General" sourceLinked="1"/>
        <c:majorTickMark val="out"/>
        <c:minorTickMark val="none"/>
        <c:tickLblPos val="nextTo"/>
        <c:crossAx val="640350792"/>
        <c:crosses val="autoZero"/>
        <c:auto val="1"/>
        <c:lblAlgn val="ctr"/>
        <c:lblOffset val="100"/>
        <c:noMultiLvlLbl val="0"/>
      </c:catAx>
      <c:valAx>
        <c:axId val="640350792"/>
        <c:scaling>
          <c:orientation val="minMax"/>
        </c:scaling>
        <c:delete val="0"/>
        <c:axPos val="l"/>
        <c:majorGridlines/>
        <c:numFmt formatCode="General" sourceLinked="1"/>
        <c:majorTickMark val="out"/>
        <c:minorTickMark val="none"/>
        <c:tickLblPos val="nextTo"/>
        <c:crossAx val="640350136"/>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815340</xdr:colOff>
      <xdr:row>6</xdr:row>
      <xdr:rowOff>53340</xdr:rowOff>
    </xdr:from>
    <xdr:to>
      <xdr:col>9</xdr:col>
      <xdr:colOff>481211</xdr:colOff>
      <xdr:row>8</xdr:row>
      <xdr:rowOff>64680</xdr:rowOff>
    </xdr:to>
    <xdr:pic>
      <xdr:nvPicPr>
        <xdr:cNvPr id="2" name="Picture 1">
          <a:extLst>
            <a:ext uri="{FF2B5EF4-FFF2-40B4-BE49-F238E27FC236}">
              <a16:creationId xmlns:a16="http://schemas.microsoft.com/office/drawing/2014/main" id="{34CE70B5-702E-4E09-AD33-BFF5BA4D5D6B}"/>
            </a:ext>
          </a:extLst>
        </xdr:cNvPr>
        <xdr:cNvPicPr>
          <a:picLocks noChangeAspect="1"/>
        </xdr:cNvPicPr>
      </xdr:nvPicPr>
      <xdr:blipFill>
        <a:blip xmlns:r="http://schemas.openxmlformats.org/officeDocument/2006/relationships" r:embed="rId1"/>
        <a:stretch>
          <a:fillRect/>
        </a:stretch>
      </xdr:blipFill>
      <xdr:spPr>
        <a:xfrm>
          <a:off x="5913120" y="2156460"/>
          <a:ext cx="6028571" cy="723810"/>
        </a:xfrm>
        <a:prstGeom prst="rect">
          <a:avLst/>
        </a:prstGeom>
      </xdr:spPr>
    </xdr:pic>
    <xdr:clientData/>
  </xdr:twoCellAnchor>
  <xdr:twoCellAnchor>
    <xdr:from>
      <xdr:col>3</xdr:col>
      <xdr:colOff>9525</xdr:colOff>
      <xdr:row>9</xdr:row>
      <xdr:rowOff>38099</xdr:rowOff>
    </xdr:from>
    <xdr:to>
      <xdr:col>10</xdr:col>
      <xdr:colOff>57150</xdr:colOff>
      <xdr:row>16</xdr:row>
      <xdr:rowOff>142875</xdr:rowOff>
    </xdr:to>
    <xdr:sp macro="" textlink="">
      <xdr:nvSpPr>
        <xdr:cNvPr id="3" name="TextBox 2">
          <a:extLst>
            <a:ext uri="{FF2B5EF4-FFF2-40B4-BE49-F238E27FC236}">
              <a16:creationId xmlns:a16="http://schemas.microsoft.com/office/drawing/2014/main" id="{8F571336-7BED-4E15-BE51-F92D7F27574B}"/>
            </a:ext>
          </a:extLst>
        </xdr:cNvPr>
        <xdr:cNvSpPr txBox="1"/>
      </xdr:nvSpPr>
      <xdr:spPr>
        <a:xfrm>
          <a:off x="6772275" y="3124199"/>
          <a:ext cx="5981700" cy="20002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The model’s decision variables: S1, S2, S3</a:t>
          </a:r>
        </a:p>
        <a:p>
          <a:r>
            <a:rPr lang="en-US" sz="1100" b="1" baseline="0"/>
            <a:t>Objective founction: 260*S1+180*S2+150*S3</a:t>
          </a:r>
        </a:p>
        <a:p>
          <a:r>
            <a:rPr lang="en-US" sz="1100" b="1" baseline="0"/>
            <a:t>The model's </a:t>
          </a:r>
          <a:r>
            <a:rPr lang="en-US" b="1"/>
            <a:t>constraints:</a:t>
          </a:r>
        </a:p>
        <a:p>
          <a:r>
            <a:rPr lang="en-US" b="1"/>
            <a:t>0.3S1 + 0.35S2 + 0.25S3 &gt;= 400;</a:t>
          </a:r>
        </a:p>
        <a:p>
          <a:r>
            <a:rPr lang="en-US" b="1"/>
            <a:t>0.40S1 + 0.35S2 + 0.25S3 &gt;= 300;</a:t>
          </a:r>
        </a:p>
        <a:p>
          <a:r>
            <a:rPr lang="en-US" sz="1100" b="1" baseline="0"/>
            <a:t>0.30S1 + 0.30S2 + 0.50S3 &gt;= 500;</a:t>
          </a:r>
        </a:p>
        <a:p>
          <a:r>
            <a:rPr lang="en-US" sz="1100" b="1" baseline="0"/>
            <a:t>S1&gt;=300;</a:t>
          </a:r>
        </a:p>
        <a:p>
          <a:r>
            <a:rPr lang="en-US" sz="1100" b="1" baseline="0"/>
            <a:t>S1&lt;=600;</a:t>
          </a:r>
        </a:p>
        <a:p>
          <a:r>
            <a:rPr lang="en-US" sz="1100" b="1" baseline="0"/>
            <a:t>S2&lt;=600;</a:t>
          </a:r>
        </a:p>
        <a:p>
          <a:r>
            <a:rPr lang="en-US" sz="1100" b="1" baseline="0"/>
            <a:t>S3&lt;=600;</a:t>
          </a:r>
        </a:p>
        <a:p>
          <a:r>
            <a:rPr lang="en-US" sz="1100" b="1" baseline="0"/>
            <a:t>S1,S2,S3&gt;=0</a:t>
          </a:r>
        </a:p>
        <a:p>
          <a:endParaRPr lang="en-US" sz="1100" baseline="0"/>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18</xdr:row>
      <xdr:rowOff>180975</xdr:rowOff>
    </xdr:from>
    <xdr:to>
      <xdr:col>6</xdr:col>
      <xdr:colOff>495300</xdr:colOff>
      <xdr:row>30</xdr:row>
      <xdr:rowOff>47625</xdr:rowOff>
    </xdr:to>
    <xdr:sp macro="" textlink="">
      <xdr:nvSpPr>
        <xdr:cNvPr id="2" name="TextBox 1">
          <a:extLst>
            <a:ext uri="{FF2B5EF4-FFF2-40B4-BE49-F238E27FC236}">
              <a16:creationId xmlns:a16="http://schemas.microsoft.com/office/drawing/2014/main" id="{0E1475B4-E05D-493C-A1E8-9EC9E5AC4069}"/>
            </a:ext>
          </a:extLst>
        </xdr:cNvPr>
        <xdr:cNvSpPr txBox="1"/>
      </xdr:nvSpPr>
      <xdr:spPr>
        <a:xfrm>
          <a:off x="38100" y="3609975"/>
          <a:ext cx="7115175" cy="2152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r>
            <a:rPr lang="en-US" sz="1200" b="1"/>
            <a:t>Question #2:</a:t>
          </a:r>
        </a:p>
        <a:p>
          <a:r>
            <a:rPr lang="en-US" sz="1200" b="1"/>
            <a:t>I</a:t>
          </a:r>
          <a:r>
            <a:rPr lang="en-US" sz="1200" b="1" baseline="0"/>
            <a:t> used the Excel Solver to develop this optimal solution. This LP spreadsheep explains that the best solution is to purchase 300 valves from supplier1, 525 valves from supplier2, and 505 valves from supplier3 with the mininum total cost $248250.</a:t>
          </a:r>
        </a:p>
        <a:p>
          <a:r>
            <a:rPr lang="en-US" sz="1200" b="1" baseline="0"/>
            <a:t>According to S1,S2, and S3, we also can know the number of small valves, medium valves, and large valves purchased.</a:t>
          </a:r>
        </a:p>
        <a:p>
          <a:r>
            <a:rPr lang="en-US" sz="1200" b="1" baseline="0"/>
            <a:t>Purchased small valves: 0.3*300+0.35*525+0.25*505=400;</a:t>
          </a:r>
        </a:p>
        <a:p>
          <a:pPr marL="0" marR="0" lvl="0" indent="0" defTabSz="914400" eaLnBrk="1" fontAlgn="auto" latinLnBrk="0" hangingPunct="1">
            <a:lnSpc>
              <a:spcPct val="100000"/>
            </a:lnSpc>
            <a:spcBef>
              <a:spcPts val="0"/>
            </a:spcBef>
            <a:spcAft>
              <a:spcPts val="0"/>
            </a:spcAft>
            <a:buClrTx/>
            <a:buSzTx/>
            <a:buFontTx/>
            <a:buNone/>
            <a:tabLst/>
            <a:defRPr/>
          </a:pPr>
          <a:r>
            <a:rPr lang="en-US" sz="1200" b="1" baseline="0">
              <a:solidFill>
                <a:schemeClr val="dk1"/>
              </a:solidFill>
              <a:effectLst/>
              <a:latin typeface="+mn-lt"/>
              <a:ea typeface="+mn-ea"/>
              <a:cs typeface="+mn-cs"/>
            </a:rPr>
            <a:t>Purchased medium valves: 0.4*300+0.35*525+0.25*505=430;</a:t>
          </a:r>
          <a:endParaRPr lang="en-US" sz="1200" b="1">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200" b="1" baseline="0">
              <a:solidFill>
                <a:schemeClr val="dk1"/>
              </a:solidFill>
              <a:effectLst/>
              <a:latin typeface="+mn-lt"/>
              <a:ea typeface="+mn-ea"/>
              <a:cs typeface="+mn-cs"/>
            </a:rPr>
            <a:t>Purchased large valves: 0.3*300+0.3*525+0.5*505=500.</a:t>
          </a:r>
          <a:endParaRPr lang="en-US" sz="1200" b="1">
            <a:effectLst/>
          </a:endParaRP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66675</xdr:colOff>
      <xdr:row>19</xdr:row>
      <xdr:rowOff>180975</xdr:rowOff>
    </xdr:from>
    <xdr:to>
      <xdr:col>7</xdr:col>
      <xdr:colOff>333375</xdr:colOff>
      <xdr:row>35</xdr:row>
      <xdr:rowOff>104775</xdr:rowOff>
    </xdr:to>
    <xdr:sp macro="" textlink="">
      <xdr:nvSpPr>
        <xdr:cNvPr id="2" name="TextBox 1">
          <a:extLst>
            <a:ext uri="{FF2B5EF4-FFF2-40B4-BE49-F238E27FC236}">
              <a16:creationId xmlns:a16="http://schemas.microsoft.com/office/drawing/2014/main" id="{74360333-6F6A-41C3-9623-2E63DA96D0AA}"/>
            </a:ext>
          </a:extLst>
        </xdr:cNvPr>
        <xdr:cNvSpPr txBox="1"/>
      </xdr:nvSpPr>
      <xdr:spPr>
        <a:xfrm>
          <a:off x="66675" y="3857625"/>
          <a:ext cx="8305800" cy="2971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Question #3:</a:t>
          </a:r>
        </a:p>
        <a:p>
          <a:r>
            <a:rPr lang="en-US"/>
            <a:t>a. What should be the cost per valve from Supplier 3 in order to increase the optimal number of valves purchased from this supplier? </a:t>
          </a:r>
        </a:p>
        <a:p>
          <a:r>
            <a:rPr lang="en-US"/>
            <a:t>Provide the new optimal solution in this case. </a:t>
          </a:r>
          <a:endParaRPr lang="en-US" sz="1100" b="0" i="0" u="none" strike="noStrike">
            <a:solidFill>
              <a:schemeClr val="dk1"/>
            </a:solidFill>
            <a:effectLst/>
            <a:latin typeface="+mn-lt"/>
            <a:ea typeface="+mn-ea"/>
            <a:cs typeface="+mn-cs"/>
          </a:endParaRPr>
        </a:p>
        <a:p>
          <a:endParaRPr lang="en-US"/>
        </a:p>
        <a:p>
          <a:r>
            <a:rPr lang="en-US" b="1"/>
            <a:t>According to the first table of the Solver sensitivity report,</a:t>
          </a:r>
          <a:r>
            <a:rPr lang="en-US" b="1" baseline="0"/>
            <a:t> the reduced cost is zero, and the supplier3' cost per valve should decrease by more than $21.429 ($150-$21.429= $128.571) in order to increase the optimal number of valves purchased from this supplier. So the cost per valve from Supplier3 should be less than $128.571. For example, if the cost per valve from Supplier3 is $128.5, the new optimal solution indicates that optimal number of valves purchased from this supplier would increase from 505 to 600, and minimum total cost would be $237,385.71.</a:t>
          </a:r>
          <a:endParaRPr lang="en-US" b="1"/>
        </a:p>
        <a:p>
          <a:endParaRPr lang="en-US" sz="1100"/>
        </a:p>
        <a:p>
          <a:r>
            <a:rPr lang="en-US"/>
            <a:t>b. if Hayward Care would like to decrease the maximum purchase from Supplier 1 to 450 units (currently, it is 600 units), how would this decrease affect the optimal solution? Explain using the Solver Sensitivity Report.</a:t>
          </a:r>
        </a:p>
        <a:p>
          <a:endParaRPr lang="en-US"/>
        </a:p>
        <a:p>
          <a:r>
            <a:rPr lang="en-US" sz="1100" b="1"/>
            <a:t>According to the second table of the Solver Sensitivity Report, since the Shadow Price is 0, and allowable decrease is 300, if the maximum</a:t>
          </a:r>
          <a:r>
            <a:rPr lang="en-US" sz="1100" b="1" baseline="0"/>
            <a:t> purchase from the Supplier1 decreases from 600 to 450 units, this decrease would not affect the optimal solution, which minimum total cost is still $</a:t>
          </a:r>
          <a:r>
            <a:rPr lang="en-US" sz="1100" b="1" i="0" u="none" strike="noStrike">
              <a:solidFill>
                <a:schemeClr val="dk1"/>
              </a:solidFill>
              <a:effectLst/>
              <a:latin typeface="+mn-lt"/>
              <a:ea typeface="+mn-ea"/>
              <a:cs typeface="+mn-cs"/>
            </a:rPr>
            <a:t>$248,250.</a:t>
          </a:r>
          <a:endParaRPr lang="en-US"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47625</xdr:colOff>
      <xdr:row>20</xdr:row>
      <xdr:rowOff>28576</xdr:rowOff>
    </xdr:from>
    <xdr:to>
      <xdr:col>5</xdr:col>
      <xdr:colOff>209550</xdr:colOff>
      <xdr:row>24</xdr:row>
      <xdr:rowOff>142876</xdr:rowOff>
    </xdr:to>
    <xdr:sp macro="" textlink="">
      <xdr:nvSpPr>
        <xdr:cNvPr id="2" name="TextBox 1">
          <a:extLst>
            <a:ext uri="{FF2B5EF4-FFF2-40B4-BE49-F238E27FC236}">
              <a16:creationId xmlns:a16="http://schemas.microsoft.com/office/drawing/2014/main" id="{CDC831B9-C999-49FE-B9EF-C5D9505C4B24}"/>
            </a:ext>
          </a:extLst>
        </xdr:cNvPr>
        <xdr:cNvSpPr txBox="1"/>
      </xdr:nvSpPr>
      <xdr:spPr>
        <a:xfrm>
          <a:off x="47625" y="3838576"/>
          <a:ext cx="6943725" cy="876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Question #4</a:t>
          </a:r>
          <a:r>
            <a:rPr lang="en-US"/>
            <a:t>: Hayward Care would like to purchase more from Supplier 2, which is the best quality supplier but has the second highest cost per valve. For example, they would like to purchase at least 530 valves from Supplier 2. Revise the model in a new spreadsheet by adding this constraint, and identify optimal solution for the revised model. Compare this optimal solution with the optimal solution in question 2, and briefly explain your results</a:t>
          </a:r>
          <a:endParaRPr lang="en-US" sz="1100"/>
        </a:p>
      </xdr:txBody>
    </xdr:sp>
    <xdr:clientData/>
  </xdr:twoCellAnchor>
  <xdr:twoCellAnchor>
    <xdr:from>
      <xdr:col>0</xdr:col>
      <xdr:colOff>9525</xdr:colOff>
      <xdr:row>26</xdr:row>
      <xdr:rowOff>28575</xdr:rowOff>
    </xdr:from>
    <xdr:to>
      <xdr:col>5</xdr:col>
      <xdr:colOff>666750</xdr:colOff>
      <xdr:row>36</xdr:row>
      <xdr:rowOff>7620</xdr:rowOff>
    </xdr:to>
    <xdr:sp macro="" textlink="">
      <xdr:nvSpPr>
        <xdr:cNvPr id="3" name="TextBox 2">
          <a:extLst>
            <a:ext uri="{FF2B5EF4-FFF2-40B4-BE49-F238E27FC236}">
              <a16:creationId xmlns:a16="http://schemas.microsoft.com/office/drawing/2014/main" id="{6CA5EC14-CB6B-4F7C-95DD-ABB6CBE7846D}"/>
            </a:ext>
          </a:extLst>
        </xdr:cNvPr>
        <xdr:cNvSpPr txBox="1"/>
      </xdr:nvSpPr>
      <xdr:spPr>
        <a:xfrm>
          <a:off x="9525" y="4783455"/>
          <a:ext cx="7629525" cy="180784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In the revised model, the company would like to purchase at least</a:t>
          </a:r>
          <a:r>
            <a:rPr lang="en-US" sz="1200" b="1" baseline="0"/>
            <a:t> 530 valves from Supplier2, so I add the constraint S2&gt;=530.</a:t>
          </a:r>
        </a:p>
        <a:p>
          <a:r>
            <a:rPr lang="en-US" sz="1200" b="1" baseline="0"/>
            <a:t>Using the Solver, the optimal solution is that the company purchases 300 valves from Supplier1, 530 valves from Supplier2, and 502 valves from Supplier3 with minimum tatal cost $248700.</a:t>
          </a:r>
        </a:p>
        <a:p>
          <a:r>
            <a:rPr lang="en-US" sz="1200" b="1" baseline="0"/>
            <a:t>Compared the Revised model and original model, I find that the tatal cost in revised model is $550 higher than that in the original model. The reason is that the number purchased from the Supplier3 with lowest cost per valve need to decrease in order to increase the number from Supplier2,  and the number from Supplier1 with highest cost per valve still keep 300 units. So the total cost would increase. </a:t>
          </a:r>
          <a:endParaRPr lang="en-US" sz="1200" b="1"/>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2</xdr:col>
      <xdr:colOff>53340</xdr:colOff>
      <xdr:row>4</xdr:row>
      <xdr:rowOff>114300</xdr:rowOff>
    </xdr:from>
    <xdr:to>
      <xdr:col>10</xdr:col>
      <xdr:colOff>53340</xdr:colOff>
      <xdr:row>20</xdr:row>
      <xdr:rowOff>45720</xdr:rowOff>
    </xdr:to>
    <xdr:graphicFrame macro="">
      <xdr:nvGraphicFramePr>
        <xdr:cNvPr id="2" name="STS_1_Chart">
          <a:extLst>
            <a:ext uri="{FF2B5EF4-FFF2-40B4-BE49-F238E27FC236}">
              <a16:creationId xmlns:a16="http://schemas.microsoft.com/office/drawing/2014/main" id="{1318F020-378E-4DEE-BE69-F1B92D95B3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13</xdr:col>
      <xdr:colOff>350520</xdr:colOff>
      <xdr:row>2</xdr:row>
      <xdr:rowOff>167640</xdr:rowOff>
    </xdr:from>
    <xdr:to>
      <xdr:col>17</xdr:col>
      <xdr:colOff>350520</xdr:colOff>
      <xdr:row>6</xdr:row>
      <xdr:rowOff>30480</xdr:rowOff>
    </xdr:to>
    <xdr:sp macro="" textlink="">
      <xdr:nvSpPr>
        <xdr:cNvPr id="3" name="TextBox 2">
          <a:extLst>
            <a:ext uri="{FF2B5EF4-FFF2-40B4-BE49-F238E27FC236}">
              <a16:creationId xmlns:a16="http://schemas.microsoft.com/office/drawing/2014/main" id="{A59EE37B-FAE8-4DB8-9DDB-8A7CA52B4535}"/>
            </a:ext>
          </a:extLst>
        </xdr:cNvPr>
        <xdr:cNvSpPr txBox="1"/>
      </xdr:nvSpPr>
      <xdr:spPr>
        <a:xfrm>
          <a:off x="8420100" y="533400"/>
          <a:ext cx="2438400" cy="7620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When you select an output from the dropdown list in cell $K$4, the chart will adapt to that output.</a:t>
          </a:r>
        </a:p>
      </xdr:txBody>
    </xdr:sp>
    <xdr:clientData/>
  </xdr:twoCellAnchor>
  <xdr:twoCellAnchor>
    <xdr:from>
      <xdr:col>0</xdr:col>
      <xdr:colOff>76200</xdr:colOff>
      <xdr:row>25</xdr:row>
      <xdr:rowOff>137160</xdr:rowOff>
    </xdr:from>
    <xdr:to>
      <xdr:col>12</xdr:col>
      <xdr:colOff>15240</xdr:colOff>
      <xdr:row>29</xdr:row>
      <xdr:rowOff>45720</xdr:rowOff>
    </xdr:to>
    <xdr:sp macro="" textlink="">
      <xdr:nvSpPr>
        <xdr:cNvPr id="4" name="TextBox 3">
          <a:extLst>
            <a:ext uri="{FF2B5EF4-FFF2-40B4-BE49-F238E27FC236}">
              <a16:creationId xmlns:a16="http://schemas.microsoft.com/office/drawing/2014/main" id="{F7A115E9-7606-4608-A10C-769113E50D0E}"/>
            </a:ext>
          </a:extLst>
        </xdr:cNvPr>
        <xdr:cNvSpPr txBox="1"/>
      </xdr:nvSpPr>
      <xdr:spPr>
        <a:xfrm>
          <a:off x="76200" y="4876800"/>
          <a:ext cx="7399020" cy="640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Question5</a:t>
          </a:r>
          <a:r>
            <a:rPr lang="en-US" sz="1100"/>
            <a:t>: For the revised model in question 4, apply SolverTable to investigate the effect on the optimal total cost of changing the minimum number of valves purchased from Supplier 1 from 200 to 400 units (currently it is 300 units) with an increment of 10 units. Present and briefly explain your results.         </a:t>
          </a:r>
        </a:p>
      </xdr:txBody>
    </xdr:sp>
    <xdr:clientData/>
  </xdr:twoCellAnchor>
  <xdr:twoCellAnchor>
    <xdr:from>
      <xdr:col>0</xdr:col>
      <xdr:colOff>91440</xdr:colOff>
      <xdr:row>30</xdr:row>
      <xdr:rowOff>38100</xdr:rowOff>
    </xdr:from>
    <xdr:to>
      <xdr:col>12</xdr:col>
      <xdr:colOff>15240</xdr:colOff>
      <xdr:row>37</xdr:row>
      <xdr:rowOff>19050</xdr:rowOff>
    </xdr:to>
    <xdr:sp macro="" textlink="">
      <xdr:nvSpPr>
        <xdr:cNvPr id="6" name="TextBox 5">
          <a:extLst>
            <a:ext uri="{FF2B5EF4-FFF2-40B4-BE49-F238E27FC236}">
              <a16:creationId xmlns:a16="http://schemas.microsoft.com/office/drawing/2014/main" id="{EEF7155A-BAD0-4A3D-911E-BF4F5892B67E}"/>
            </a:ext>
          </a:extLst>
        </xdr:cNvPr>
        <xdr:cNvSpPr txBox="1"/>
      </xdr:nvSpPr>
      <xdr:spPr>
        <a:xfrm>
          <a:off x="91440" y="5905500"/>
          <a:ext cx="7362825" cy="1314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Using the one-way Solver</a:t>
          </a:r>
          <a:r>
            <a:rPr lang="en-US" sz="1200" b="1" baseline="0"/>
            <a:t>Table analysis, I find that the optimal tatal cost raises with the number increase of valves from Supplier1. This result of SolverTable analysis shows that the optimal total cost is sensitive to variations of pruchased number from the Supplier1. Further analysis, the SolverTable indicates that the number from Supplier1 bewteen 200 to 290, the optimal total cost increases by $1025 for each 10 valves; the number from Supplier1 between 310 and 400, the optimal total cost increase by $1700 for each 10 valves. </a:t>
          </a:r>
          <a:endParaRPr lang="en-US" sz="1200" b="1"/>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C6B3D-D8C8-490A-9B94-F8CB3D9FD69D}">
  <dimension ref="A1:N21"/>
  <sheetViews>
    <sheetView tabSelected="1" workbookViewId="0">
      <selection activeCell="H23" sqref="H23"/>
    </sheetView>
  </sheetViews>
  <sheetFormatPr defaultRowHeight="15" x14ac:dyDescent="0.25"/>
  <cols>
    <col min="1" max="1" width="46.28515625" customWidth="1"/>
    <col min="2" max="2" width="42" customWidth="1"/>
    <col min="3" max="3" width="13.140625" customWidth="1"/>
    <col min="4" max="4" width="12.5703125" customWidth="1"/>
    <col min="5" max="5" width="15.28515625" customWidth="1"/>
    <col min="6" max="6" width="14.85546875" customWidth="1"/>
    <col min="7" max="7" width="15.140625" customWidth="1"/>
    <col min="8" max="8" width="12.85546875" customWidth="1"/>
  </cols>
  <sheetData>
    <row r="1" spans="1:14" ht="28.15" customHeight="1" thickBot="1" x14ac:dyDescent="0.35">
      <c r="A1" s="43" t="s">
        <v>105</v>
      </c>
      <c r="B1" s="23"/>
      <c r="J1" s="10"/>
      <c r="K1" s="10"/>
      <c r="L1" s="10"/>
      <c r="M1" s="10"/>
      <c r="N1" s="10"/>
    </row>
    <row r="2" spans="1:14" ht="42" customHeight="1" thickBot="1" x14ac:dyDescent="0.35">
      <c r="A2" s="25" t="s">
        <v>9</v>
      </c>
      <c r="B2" s="4"/>
      <c r="D2" s="11" t="s">
        <v>1</v>
      </c>
      <c r="E2" s="12" t="s">
        <v>2</v>
      </c>
      <c r="F2" s="12" t="s">
        <v>3</v>
      </c>
      <c r="G2" s="12" t="s">
        <v>4</v>
      </c>
      <c r="H2" s="12" t="s">
        <v>5</v>
      </c>
      <c r="J2" s="10"/>
      <c r="K2" s="10"/>
      <c r="L2" s="10"/>
      <c r="M2" s="10"/>
      <c r="N2" s="10"/>
    </row>
    <row r="3" spans="1:14" ht="25.15" customHeight="1" thickBot="1" x14ac:dyDescent="0.3">
      <c r="A3" s="5" t="s">
        <v>92</v>
      </c>
      <c r="B3" s="24"/>
      <c r="D3" s="1" t="s">
        <v>6</v>
      </c>
      <c r="E3" s="2">
        <v>260</v>
      </c>
      <c r="F3" s="3">
        <v>0.3</v>
      </c>
      <c r="G3" s="3">
        <v>0.4</v>
      </c>
      <c r="H3" s="3">
        <v>0.3</v>
      </c>
      <c r="J3" s="10"/>
      <c r="K3" s="10"/>
      <c r="L3" s="10"/>
      <c r="M3" s="10"/>
      <c r="N3" s="10"/>
    </row>
    <row r="4" spans="1:14" ht="28.15" customHeight="1" thickBot="1" x14ac:dyDescent="0.3">
      <c r="A4" s="5" t="s">
        <v>90</v>
      </c>
      <c r="B4" s="24"/>
      <c r="D4" s="1" t="s">
        <v>7</v>
      </c>
      <c r="E4" s="2">
        <v>180</v>
      </c>
      <c r="F4" s="3">
        <v>0.35</v>
      </c>
      <c r="G4" s="3">
        <v>0.35</v>
      </c>
      <c r="H4" s="3">
        <v>0.3</v>
      </c>
      <c r="J4" s="10"/>
      <c r="K4" s="10"/>
      <c r="L4" s="10"/>
      <c r="M4" s="10"/>
      <c r="N4" s="10"/>
    </row>
    <row r="5" spans="1:14" ht="25.15" customHeight="1" thickBot="1" x14ac:dyDescent="0.3">
      <c r="A5" s="5" t="s">
        <v>91</v>
      </c>
      <c r="B5" s="24"/>
      <c r="D5" s="1" t="s">
        <v>8</v>
      </c>
      <c r="E5" s="2">
        <v>150</v>
      </c>
      <c r="F5" s="3">
        <v>0.25</v>
      </c>
      <c r="G5" s="3">
        <v>0.25</v>
      </c>
      <c r="H5" s="3">
        <v>0.5</v>
      </c>
    </row>
    <row r="7" spans="1:14" ht="26.25" customHeight="1" x14ac:dyDescent="0.3">
      <c r="A7" s="25" t="s">
        <v>93</v>
      </c>
      <c r="B7" s="6"/>
    </row>
    <row r="8" spans="1:14" ht="30" customHeight="1" x14ac:dyDescent="0.25">
      <c r="A8" s="9" t="s">
        <v>94</v>
      </c>
      <c r="B8" s="9" t="s">
        <v>13</v>
      </c>
    </row>
    <row r="9" spans="1:14" ht="24.75" customHeight="1" x14ac:dyDescent="0.3">
      <c r="A9" s="25" t="s">
        <v>10</v>
      </c>
      <c r="B9" s="4"/>
    </row>
    <row r="10" spans="1:14" ht="22.9" customHeight="1" x14ac:dyDescent="0.25">
      <c r="A10" s="7" t="s">
        <v>15</v>
      </c>
      <c r="B10" s="7" t="s">
        <v>14</v>
      </c>
    </row>
    <row r="11" spans="1:14" ht="21" customHeight="1" x14ac:dyDescent="0.25">
      <c r="A11" s="7" t="s">
        <v>11</v>
      </c>
      <c r="B11" s="8" t="s">
        <v>17</v>
      </c>
    </row>
    <row r="12" spans="1:14" ht="21.6" customHeight="1" x14ac:dyDescent="0.25">
      <c r="A12" s="7" t="s">
        <v>16</v>
      </c>
      <c r="B12" s="8" t="s">
        <v>18</v>
      </c>
    </row>
    <row r="13" spans="1:14" ht="20.45" customHeight="1" x14ac:dyDescent="0.25">
      <c r="A13" s="8" t="s">
        <v>21</v>
      </c>
      <c r="B13" s="8" t="s">
        <v>22</v>
      </c>
    </row>
    <row r="14" spans="1:14" ht="21.6" customHeight="1" x14ac:dyDescent="0.25">
      <c r="A14" s="8" t="s">
        <v>19</v>
      </c>
      <c r="B14" s="8" t="s">
        <v>23</v>
      </c>
    </row>
    <row r="15" spans="1:14" ht="23.45" customHeight="1" x14ac:dyDescent="0.25">
      <c r="A15" s="8" t="s">
        <v>20</v>
      </c>
      <c r="B15" s="8" t="s">
        <v>24</v>
      </c>
    </row>
    <row r="16" spans="1:14" ht="20.45" customHeight="1" x14ac:dyDescent="0.25">
      <c r="A16" s="8" t="s">
        <v>12</v>
      </c>
      <c r="B16" s="8" t="s">
        <v>95</v>
      </c>
    </row>
    <row r="17" spans="1:2" x14ac:dyDescent="0.25">
      <c r="A17" s="7"/>
      <c r="B17" s="8"/>
    </row>
    <row r="18" spans="1:2" x14ac:dyDescent="0.25">
      <c r="A18" s="8"/>
      <c r="B18" s="8"/>
    </row>
    <row r="19" spans="1:2" x14ac:dyDescent="0.25">
      <c r="A19" s="8"/>
      <c r="B19" s="8"/>
    </row>
    <row r="20" spans="1:2" x14ac:dyDescent="0.25">
      <c r="A20" s="8"/>
      <c r="B20" s="8"/>
    </row>
    <row r="21" spans="1:2" x14ac:dyDescent="0.25">
      <c r="A21" s="8"/>
      <c r="B21" s="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E8FC2-5EAE-4B13-A6E2-540613F55A7A}">
  <dimension ref="A1:H22"/>
  <sheetViews>
    <sheetView showGridLines="0" topLeftCell="A4" workbookViewId="0">
      <selection activeCell="O11" sqref="O11"/>
    </sheetView>
  </sheetViews>
  <sheetFormatPr defaultRowHeight="15" x14ac:dyDescent="0.25"/>
  <cols>
    <col min="1" max="1" width="2.28515625" customWidth="1"/>
    <col min="2" max="2" width="6.140625" bestFit="1" customWidth="1"/>
    <col min="3" max="3" width="31.7109375" bestFit="1" customWidth="1"/>
    <col min="4" max="4" width="5.7109375" bestFit="1" customWidth="1"/>
    <col min="5" max="5" width="8.28515625" bestFit="1" customWidth="1"/>
    <col min="6" max="6" width="10.140625" bestFit="1" customWidth="1"/>
    <col min="7" max="8" width="12" bestFit="1" customWidth="1"/>
  </cols>
  <sheetData>
    <row r="1" spans="1:8" x14ac:dyDescent="0.25">
      <c r="A1" s="9" t="s">
        <v>52</v>
      </c>
    </row>
    <row r="2" spans="1:8" x14ac:dyDescent="0.25">
      <c r="A2" s="9" t="s">
        <v>53</v>
      </c>
    </row>
    <row r="3" spans="1:8" x14ac:dyDescent="0.25">
      <c r="A3" s="9" t="s">
        <v>54</v>
      </c>
    </row>
    <row r="6" spans="1:8" ht="15.75" thickBot="1" x14ac:dyDescent="0.3">
      <c r="A6" t="s">
        <v>55</v>
      </c>
    </row>
    <row r="7" spans="1:8" x14ac:dyDescent="0.25">
      <c r="B7" s="21"/>
      <c r="C7" s="21"/>
      <c r="D7" s="21" t="s">
        <v>58</v>
      </c>
      <c r="E7" s="21" t="s">
        <v>59</v>
      </c>
      <c r="F7" s="21" t="s">
        <v>61</v>
      </c>
      <c r="G7" s="21" t="s">
        <v>63</v>
      </c>
      <c r="H7" s="21" t="s">
        <v>63</v>
      </c>
    </row>
    <row r="8" spans="1:8" ht="15.75" thickBot="1" x14ac:dyDescent="0.3">
      <c r="B8" s="22" t="s">
        <v>56</v>
      </c>
      <c r="C8" s="22" t="s">
        <v>57</v>
      </c>
      <c r="D8" s="22" t="s">
        <v>26</v>
      </c>
      <c r="E8" s="22" t="s">
        <v>60</v>
      </c>
      <c r="F8" s="22" t="s">
        <v>62</v>
      </c>
      <c r="G8" s="22" t="s">
        <v>64</v>
      </c>
      <c r="H8" s="22" t="s">
        <v>65</v>
      </c>
    </row>
    <row r="9" spans="1:8" x14ac:dyDescent="0.25">
      <c r="B9" s="19" t="s">
        <v>70</v>
      </c>
      <c r="C9" s="19" t="s">
        <v>71</v>
      </c>
      <c r="D9" s="19">
        <v>300</v>
      </c>
      <c r="E9" s="19">
        <v>0</v>
      </c>
      <c r="F9" s="19">
        <v>260</v>
      </c>
      <c r="G9" s="19">
        <v>1E+30</v>
      </c>
      <c r="H9" s="19">
        <v>102.5</v>
      </c>
    </row>
    <row r="10" spans="1:8" x14ac:dyDescent="0.25">
      <c r="B10" s="19" t="s">
        <v>72</v>
      </c>
      <c r="C10" s="19" t="s">
        <v>73</v>
      </c>
      <c r="D10" s="19">
        <v>525.00000000000023</v>
      </c>
      <c r="E10" s="19">
        <v>0</v>
      </c>
      <c r="F10" s="19">
        <v>180</v>
      </c>
      <c r="G10" s="19">
        <v>29.99999999999994</v>
      </c>
      <c r="H10" s="19">
        <v>90.000000000000014</v>
      </c>
    </row>
    <row r="11" spans="1:8" ht="15.75" thickBot="1" x14ac:dyDescent="0.3">
      <c r="B11" s="20" t="s">
        <v>74</v>
      </c>
      <c r="C11" s="20" t="s">
        <v>75</v>
      </c>
      <c r="D11" s="20">
        <v>504.99999999999972</v>
      </c>
      <c r="E11" s="20">
        <v>0</v>
      </c>
      <c r="F11" s="20">
        <v>150</v>
      </c>
      <c r="G11" s="20">
        <v>150.00000000000003</v>
      </c>
      <c r="H11" s="20">
        <v>21.428571428571388</v>
      </c>
    </row>
    <row r="13" spans="1:8" ht="15.75" thickBot="1" x14ac:dyDescent="0.3">
      <c r="A13" t="s">
        <v>39</v>
      </c>
    </row>
    <row r="14" spans="1:8" x14ac:dyDescent="0.25">
      <c r="B14" s="21"/>
      <c r="C14" s="21"/>
      <c r="D14" s="21" t="s">
        <v>58</v>
      </c>
      <c r="E14" s="21" t="s">
        <v>66</v>
      </c>
      <c r="F14" s="21" t="s">
        <v>68</v>
      </c>
      <c r="G14" s="21" t="s">
        <v>63</v>
      </c>
      <c r="H14" s="21" t="s">
        <v>63</v>
      </c>
    </row>
    <row r="15" spans="1:8" ht="15.75" thickBot="1" x14ac:dyDescent="0.3">
      <c r="B15" s="22" t="s">
        <v>56</v>
      </c>
      <c r="C15" s="22" t="s">
        <v>57</v>
      </c>
      <c r="D15" s="22" t="s">
        <v>26</v>
      </c>
      <c r="E15" s="22" t="s">
        <v>67</v>
      </c>
      <c r="F15" s="22" t="s">
        <v>69</v>
      </c>
      <c r="G15" s="22" t="s">
        <v>64</v>
      </c>
      <c r="H15" s="22" t="s">
        <v>65</v>
      </c>
    </row>
    <row r="16" spans="1:8" x14ac:dyDescent="0.25">
      <c r="B16" s="19" t="s">
        <v>76</v>
      </c>
      <c r="C16" s="19" t="s">
        <v>77</v>
      </c>
      <c r="D16" s="19">
        <v>400</v>
      </c>
      <c r="E16" s="19">
        <v>450.00000000000023</v>
      </c>
      <c r="F16" s="19">
        <v>400</v>
      </c>
      <c r="G16" s="19">
        <v>14.999999999999943</v>
      </c>
      <c r="H16" s="19">
        <v>31.666666666666739</v>
      </c>
    </row>
    <row r="17" spans="2:8" x14ac:dyDescent="0.25">
      <c r="B17" s="19" t="s">
        <v>78</v>
      </c>
      <c r="C17" s="19" t="s">
        <v>79</v>
      </c>
      <c r="D17" s="19">
        <v>430</v>
      </c>
      <c r="E17" s="19">
        <v>0</v>
      </c>
      <c r="F17" s="19">
        <v>300</v>
      </c>
      <c r="G17" s="19">
        <v>130</v>
      </c>
      <c r="H17" s="19">
        <v>1E+30</v>
      </c>
    </row>
    <row r="18" spans="2:8" x14ac:dyDescent="0.25">
      <c r="B18" s="19" t="s">
        <v>80</v>
      </c>
      <c r="C18" s="19" t="s">
        <v>81</v>
      </c>
      <c r="D18" s="19">
        <v>499.99999999999989</v>
      </c>
      <c r="E18" s="19">
        <v>74.999999999999858</v>
      </c>
      <c r="F18" s="19">
        <v>500</v>
      </c>
      <c r="G18" s="19">
        <v>27.142857142857213</v>
      </c>
      <c r="H18" s="19">
        <v>29.999999999999893</v>
      </c>
    </row>
    <row r="19" spans="2:8" x14ac:dyDescent="0.25">
      <c r="B19" s="19" t="s">
        <v>82</v>
      </c>
      <c r="C19" s="19" t="s">
        <v>83</v>
      </c>
      <c r="D19" s="19">
        <v>300</v>
      </c>
      <c r="E19" s="19">
        <v>102.5</v>
      </c>
      <c r="F19" s="19">
        <v>300</v>
      </c>
      <c r="G19" s="19">
        <v>300</v>
      </c>
      <c r="H19" s="19">
        <v>99.999999999999631</v>
      </c>
    </row>
    <row r="20" spans="2:8" x14ac:dyDescent="0.25">
      <c r="B20" s="19" t="s">
        <v>84</v>
      </c>
      <c r="C20" s="19" t="s">
        <v>85</v>
      </c>
      <c r="D20" s="19">
        <v>300</v>
      </c>
      <c r="E20" s="19">
        <v>0</v>
      </c>
      <c r="F20" s="19">
        <v>600</v>
      </c>
      <c r="G20" s="19">
        <v>1E+30</v>
      </c>
      <c r="H20" s="19">
        <v>300</v>
      </c>
    </row>
    <row r="21" spans="2:8" x14ac:dyDescent="0.25">
      <c r="B21" s="19" t="s">
        <v>86</v>
      </c>
      <c r="C21" s="19" t="s">
        <v>87</v>
      </c>
      <c r="D21" s="19">
        <v>525.00000000000023</v>
      </c>
      <c r="E21" s="19">
        <v>0</v>
      </c>
      <c r="F21" s="19">
        <v>600</v>
      </c>
      <c r="G21" s="19">
        <v>1E+30</v>
      </c>
      <c r="H21" s="19">
        <v>74.999999999999744</v>
      </c>
    </row>
    <row r="22" spans="2:8" ht="15.75" thickBot="1" x14ac:dyDescent="0.3">
      <c r="B22" s="20" t="s">
        <v>88</v>
      </c>
      <c r="C22" s="20" t="s">
        <v>89</v>
      </c>
      <c r="D22" s="20">
        <v>504.99999999999972</v>
      </c>
      <c r="E22" s="20">
        <v>0</v>
      </c>
      <c r="F22" s="20">
        <v>600</v>
      </c>
      <c r="G22" s="20">
        <v>1E+30</v>
      </c>
      <c r="H22" s="20">
        <v>95.000000000000242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E41D8-3947-428D-9E16-ECB642F14710}">
  <dimension ref="A1:G17"/>
  <sheetViews>
    <sheetView workbookViewId="0">
      <selection activeCell="L17" sqref="L17"/>
    </sheetView>
  </sheetViews>
  <sheetFormatPr defaultRowHeight="15" x14ac:dyDescent="0.25"/>
  <cols>
    <col min="1" max="1" width="35.7109375" customWidth="1"/>
    <col min="2" max="2" width="12" customWidth="1"/>
    <col min="3" max="3" width="12.28515625" customWidth="1"/>
    <col min="4" max="4" width="15.140625" customWidth="1"/>
    <col min="5" max="5" width="11.28515625" customWidth="1"/>
    <col min="6" max="6" width="13.42578125" customWidth="1"/>
    <col min="7" max="7" width="11.5703125" customWidth="1"/>
  </cols>
  <sheetData>
    <row r="1" spans="1:7" x14ac:dyDescent="0.25">
      <c r="E1" t="s">
        <v>25</v>
      </c>
    </row>
    <row r="2" spans="1:7" x14ac:dyDescent="0.25">
      <c r="A2" t="s">
        <v>0</v>
      </c>
      <c r="C2" s="13" t="s">
        <v>45</v>
      </c>
      <c r="D2" s="13" t="s">
        <v>27</v>
      </c>
      <c r="E2" s="13" t="s">
        <v>28</v>
      </c>
      <c r="F2" s="13" t="s">
        <v>29</v>
      </c>
      <c r="G2" s="13" t="s">
        <v>30</v>
      </c>
    </row>
    <row r="3" spans="1:7" x14ac:dyDescent="0.25">
      <c r="A3" t="s">
        <v>31</v>
      </c>
      <c r="B3" t="s">
        <v>32</v>
      </c>
      <c r="C3" s="41">
        <v>300</v>
      </c>
      <c r="D3" s="14">
        <v>260</v>
      </c>
      <c r="E3" s="15">
        <v>0.3</v>
      </c>
      <c r="F3" s="15">
        <v>0.4</v>
      </c>
      <c r="G3" s="15">
        <v>0.3</v>
      </c>
    </row>
    <row r="4" spans="1:7" x14ac:dyDescent="0.25">
      <c r="A4" t="s">
        <v>33</v>
      </c>
      <c r="B4" t="s">
        <v>34</v>
      </c>
      <c r="C4" s="41">
        <v>525.00000000000023</v>
      </c>
      <c r="D4" s="14">
        <v>180</v>
      </c>
      <c r="E4" s="15">
        <v>0.35</v>
      </c>
      <c r="F4" s="15">
        <v>0.35</v>
      </c>
      <c r="G4" s="15">
        <v>0.3</v>
      </c>
    </row>
    <row r="5" spans="1:7" x14ac:dyDescent="0.25">
      <c r="A5" t="s">
        <v>35</v>
      </c>
      <c r="B5" t="s">
        <v>36</v>
      </c>
      <c r="C5" s="41">
        <v>504.99999999999972</v>
      </c>
      <c r="D5" s="14">
        <v>150</v>
      </c>
      <c r="E5" s="15">
        <v>0.25</v>
      </c>
      <c r="F5" s="15">
        <v>0.25</v>
      </c>
      <c r="G5" s="15">
        <v>0.5</v>
      </c>
    </row>
    <row r="7" spans="1:7" x14ac:dyDescent="0.25">
      <c r="A7" t="s">
        <v>37</v>
      </c>
    </row>
    <row r="8" spans="1:7" x14ac:dyDescent="0.25">
      <c r="A8" t="s">
        <v>38</v>
      </c>
      <c r="B8" s="18">
        <f>D3*C3+D4*C4+D5*C5</f>
        <v>248250</v>
      </c>
    </row>
    <row r="10" spans="1:7" x14ac:dyDescent="0.25">
      <c r="A10" t="s">
        <v>39</v>
      </c>
      <c r="B10" s="13" t="s">
        <v>40</v>
      </c>
      <c r="C10" s="13"/>
      <c r="D10" s="13" t="s">
        <v>41</v>
      </c>
    </row>
    <row r="11" spans="1:7" x14ac:dyDescent="0.25">
      <c r="A11" t="s">
        <v>46</v>
      </c>
      <c r="B11" s="17">
        <f>0.3*C3+0.35*C4+0.25*C5</f>
        <v>400</v>
      </c>
      <c r="C11" s="13" t="s">
        <v>42</v>
      </c>
      <c r="D11" s="17">
        <v>400</v>
      </c>
    </row>
    <row r="12" spans="1:7" x14ac:dyDescent="0.25">
      <c r="A12" t="s">
        <v>43</v>
      </c>
      <c r="B12" s="17">
        <f>0.4*C3+0.35*C4+0.25*C5</f>
        <v>430</v>
      </c>
      <c r="C12" s="13" t="s">
        <v>42</v>
      </c>
      <c r="D12" s="17">
        <v>300</v>
      </c>
      <c r="G12" s="16"/>
    </row>
    <row r="13" spans="1:7" x14ac:dyDescent="0.25">
      <c r="A13" t="s">
        <v>47</v>
      </c>
      <c r="B13" s="17">
        <f>0.3*C3+0.3*C4+0.5*C5</f>
        <v>499.99999999999989</v>
      </c>
      <c r="C13" s="13" t="s">
        <v>42</v>
      </c>
      <c r="D13" s="17">
        <v>500</v>
      </c>
    </row>
    <row r="14" spans="1:7" x14ac:dyDescent="0.25">
      <c r="A14" t="s">
        <v>51</v>
      </c>
      <c r="B14" s="17">
        <f>C3</f>
        <v>300</v>
      </c>
      <c r="C14" s="13" t="s">
        <v>42</v>
      </c>
      <c r="D14" s="17">
        <v>300</v>
      </c>
    </row>
    <row r="15" spans="1:7" x14ac:dyDescent="0.25">
      <c r="A15" t="s">
        <v>50</v>
      </c>
      <c r="B15" s="17">
        <f>C3</f>
        <v>300</v>
      </c>
      <c r="C15" s="13" t="s">
        <v>44</v>
      </c>
      <c r="D15" s="17">
        <v>600</v>
      </c>
    </row>
    <row r="16" spans="1:7" x14ac:dyDescent="0.25">
      <c r="A16" t="s">
        <v>48</v>
      </c>
      <c r="B16" s="17">
        <f>C4</f>
        <v>525.00000000000023</v>
      </c>
      <c r="C16" s="13" t="s">
        <v>44</v>
      </c>
      <c r="D16" s="17">
        <v>600</v>
      </c>
    </row>
    <row r="17" spans="1:4" x14ac:dyDescent="0.25">
      <c r="A17" t="s">
        <v>49</v>
      </c>
      <c r="B17" s="17">
        <f>C5</f>
        <v>504.99999999999972</v>
      </c>
      <c r="C17" s="13" t="s">
        <v>44</v>
      </c>
      <c r="D17" s="17">
        <v>600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34691-E594-47F8-B7FA-DF441A833D2B}">
  <dimension ref="A1:Q17"/>
  <sheetViews>
    <sheetView workbookViewId="0">
      <selection activeCell="L26" sqref="L26"/>
    </sheetView>
  </sheetViews>
  <sheetFormatPr defaultRowHeight="15" x14ac:dyDescent="0.25"/>
  <cols>
    <col min="1" max="1" width="38.140625" customWidth="1"/>
    <col min="2" max="2" width="18" customWidth="1"/>
    <col min="3" max="3" width="13.28515625" customWidth="1"/>
    <col min="4" max="4" width="14" customWidth="1"/>
    <col min="5" max="5" width="15" customWidth="1"/>
    <col min="6" max="6" width="13" customWidth="1"/>
    <col min="10" max="10" width="2.7109375" customWidth="1"/>
    <col min="11" max="11" width="11.42578125" customWidth="1"/>
    <col min="12" max="12" width="36.5703125" customWidth="1"/>
    <col min="15" max="15" width="11" customWidth="1"/>
    <col min="16" max="16" width="12.28515625" customWidth="1"/>
    <col min="17" max="17" width="12.140625" customWidth="1"/>
    <col min="19" max="19" width="12.85546875" customWidth="1"/>
  </cols>
  <sheetData>
    <row r="1" spans="1:17" ht="15.75" thickBot="1" x14ac:dyDescent="0.3">
      <c r="E1" t="s">
        <v>25</v>
      </c>
      <c r="J1" t="s">
        <v>55</v>
      </c>
    </row>
    <row r="2" spans="1:17" x14ac:dyDescent="0.25">
      <c r="A2" t="s">
        <v>0</v>
      </c>
      <c r="C2" s="13" t="s">
        <v>45</v>
      </c>
      <c r="D2" s="13" t="s">
        <v>27</v>
      </c>
      <c r="E2" s="13" t="s">
        <v>28</v>
      </c>
      <c r="F2" s="13" t="s">
        <v>29</v>
      </c>
      <c r="G2" s="13" t="s">
        <v>30</v>
      </c>
      <c r="K2" s="21"/>
      <c r="L2" s="21"/>
      <c r="M2" s="21" t="s">
        <v>58</v>
      </c>
      <c r="N2" s="21" t="s">
        <v>59</v>
      </c>
      <c r="O2" s="21" t="s">
        <v>61</v>
      </c>
      <c r="P2" s="21" t="s">
        <v>63</v>
      </c>
      <c r="Q2" s="21" t="s">
        <v>63</v>
      </c>
    </row>
    <row r="3" spans="1:17" ht="15.75" thickBot="1" x14ac:dyDescent="0.3">
      <c r="A3" t="s">
        <v>31</v>
      </c>
      <c r="B3" t="s">
        <v>32</v>
      </c>
      <c r="C3" s="42">
        <v>300</v>
      </c>
      <c r="D3" s="14">
        <v>260</v>
      </c>
      <c r="E3" s="15">
        <v>0.3</v>
      </c>
      <c r="F3" s="15">
        <v>0.4</v>
      </c>
      <c r="G3" s="15">
        <v>0.3</v>
      </c>
      <c r="K3" s="22" t="s">
        <v>56</v>
      </c>
      <c r="L3" s="22" t="s">
        <v>57</v>
      </c>
      <c r="M3" s="22" t="s">
        <v>26</v>
      </c>
      <c r="N3" s="22" t="s">
        <v>60</v>
      </c>
      <c r="O3" s="22" t="s">
        <v>62</v>
      </c>
      <c r="P3" s="22" t="s">
        <v>64</v>
      </c>
      <c r="Q3" s="22" t="s">
        <v>65</v>
      </c>
    </row>
    <row r="4" spans="1:17" x14ac:dyDescent="0.25">
      <c r="A4" t="s">
        <v>33</v>
      </c>
      <c r="B4" t="s">
        <v>34</v>
      </c>
      <c r="C4" s="42">
        <v>457.14285055761729</v>
      </c>
      <c r="D4" s="14">
        <v>180</v>
      </c>
      <c r="E4" s="15">
        <v>0.35</v>
      </c>
      <c r="F4" s="15">
        <v>0.35</v>
      </c>
      <c r="G4" s="15">
        <v>0.3</v>
      </c>
      <c r="K4" s="19" t="s">
        <v>70</v>
      </c>
      <c r="L4" s="19" t="s">
        <v>71</v>
      </c>
      <c r="M4" s="19">
        <v>300</v>
      </c>
      <c r="N4" s="19">
        <v>0</v>
      </c>
      <c r="O4" s="19">
        <v>260</v>
      </c>
      <c r="P4" s="19">
        <v>1E+30</v>
      </c>
      <c r="Q4" s="19">
        <v>102.5</v>
      </c>
    </row>
    <row r="5" spans="1:17" x14ac:dyDescent="0.25">
      <c r="A5" t="s">
        <v>35</v>
      </c>
      <c r="B5" t="s">
        <v>36</v>
      </c>
      <c r="C5" s="42">
        <v>600</v>
      </c>
      <c r="D5" s="14">
        <v>128.5</v>
      </c>
      <c r="E5" s="15">
        <v>0.25</v>
      </c>
      <c r="F5" s="15">
        <v>0.25</v>
      </c>
      <c r="G5" s="15">
        <v>0.5</v>
      </c>
      <c r="K5" s="19" t="s">
        <v>72</v>
      </c>
      <c r="L5" s="19" t="s">
        <v>73</v>
      </c>
      <c r="M5" s="19">
        <v>525.00000000000023</v>
      </c>
      <c r="N5" s="19">
        <v>0</v>
      </c>
      <c r="O5" s="19">
        <v>180</v>
      </c>
      <c r="P5" s="19">
        <v>29.99999999999994</v>
      </c>
      <c r="Q5" s="19">
        <v>90.000000000000014</v>
      </c>
    </row>
    <row r="6" spans="1:17" ht="15.75" thickBot="1" x14ac:dyDescent="0.3">
      <c r="K6" s="20" t="s">
        <v>74</v>
      </c>
      <c r="L6" s="20" t="s">
        <v>75</v>
      </c>
      <c r="M6" s="26">
        <v>504.99999999999972</v>
      </c>
      <c r="N6" s="26">
        <v>0</v>
      </c>
      <c r="O6" s="26">
        <v>150</v>
      </c>
      <c r="P6" s="26">
        <v>150.00000000000003</v>
      </c>
      <c r="Q6" s="26">
        <v>21.428571428571388</v>
      </c>
    </row>
    <row r="7" spans="1:17" x14ac:dyDescent="0.25">
      <c r="A7" t="s">
        <v>37</v>
      </c>
    </row>
    <row r="8" spans="1:17" ht="15.75" thickBot="1" x14ac:dyDescent="0.3">
      <c r="A8" t="s">
        <v>38</v>
      </c>
      <c r="B8" s="18">
        <f>D3*C3+D4*C4+D5*C5</f>
        <v>237385.71310037113</v>
      </c>
      <c r="J8" t="s">
        <v>39</v>
      </c>
    </row>
    <row r="9" spans="1:17" x14ac:dyDescent="0.25">
      <c r="K9" s="21"/>
      <c r="L9" s="21"/>
      <c r="M9" s="21" t="s">
        <v>58</v>
      </c>
      <c r="N9" s="21" t="s">
        <v>66</v>
      </c>
      <c r="O9" s="21" t="s">
        <v>68</v>
      </c>
      <c r="P9" s="21" t="s">
        <v>63</v>
      </c>
      <c r="Q9" s="21" t="s">
        <v>63</v>
      </c>
    </row>
    <row r="10" spans="1:17" ht="15.75" thickBot="1" x14ac:dyDescent="0.3">
      <c r="A10" t="s">
        <v>39</v>
      </c>
      <c r="B10" s="13" t="s">
        <v>40</v>
      </c>
      <c r="C10" s="13"/>
      <c r="D10" s="13" t="s">
        <v>41</v>
      </c>
      <c r="K10" s="22" t="s">
        <v>56</v>
      </c>
      <c r="L10" s="22" t="s">
        <v>57</v>
      </c>
      <c r="M10" s="22" t="s">
        <v>26</v>
      </c>
      <c r="N10" s="22" t="s">
        <v>67</v>
      </c>
      <c r="O10" s="22" t="s">
        <v>69</v>
      </c>
      <c r="P10" s="22" t="s">
        <v>64</v>
      </c>
      <c r="Q10" s="22" t="s">
        <v>65</v>
      </c>
    </row>
    <row r="11" spans="1:17" x14ac:dyDescent="0.25">
      <c r="A11" t="s">
        <v>46</v>
      </c>
      <c r="B11" s="27">
        <f>0.3*C3+0.35*C4+0.25*C5</f>
        <v>399.99999769516603</v>
      </c>
      <c r="C11" s="13" t="s">
        <v>42</v>
      </c>
      <c r="D11" s="17">
        <v>400</v>
      </c>
      <c r="K11" s="19" t="s">
        <v>76</v>
      </c>
      <c r="L11" s="19" t="s">
        <v>77</v>
      </c>
      <c r="M11" s="19">
        <v>400</v>
      </c>
      <c r="N11" s="19">
        <v>450.00000000000023</v>
      </c>
      <c r="O11" s="19">
        <v>400</v>
      </c>
      <c r="P11" s="19">
        <v>14.999999999999943</v>
      </c>
      <c r="Q11" s="19">
        <v>31.666666666666739</v>
      </c>
    </row>
    <row r="12" spans="1:17" x14ac:dyDescent="0.25">
      <c r="A12" t="s">
        <v>43</v>
      </c>
      <c r="B12" s="27">
        <f>0.4*C3+0.35*C4+0.25*C5</f>
        <v>429.99999769516603</v>
      </c>
      <c r="C12" s="13" t="s">
        <v>42</v>
      </c>
      <c r="D12" s="17">
        <v>300</v>
      </c>
      <c r="G12" s="16"/>
      <c r="K12" s="19" t="s">
        <v>78</v>
      </c>
      <c r="L12" s="19" t="s">
        <v>79</v>
      </c>
      <c r="M12" s="19">
        <v>430</v>
      </c>
      <c r="N12" s="19">
        <v>0</v>
      </c>
      <c r="O12" s="19">
        <v>300</v>
      </c>
      <c r="P12" s="19">
        <v>130</v>
      </c>
      <c r="Q12" s="19">
        <v>1E+30</v>
      </c>
    </row>
    <row r="13" spans="1:17" x14ac:dyDescent="0.25">
      <c r="A13" t="s">
        <v>47</v>
      </c>
      <c r="B13" s="27">
        <f>0.3*C3+0.3*C4+0.5*C5</f>
        <v>527.14285516728523</v>
      </c>
      <c r="C13" s="13" t="s">
        <v>42</v>
      </c>
      <c r="D13" s="17">
        <v>500</v>
      </c>
      <c r="K13" s="19" t="s">
        <v>80</v>
      </c>
      <c r="L13" s="19" t="s">
        <v>81</v>
      </c>
      <c r="M13" s="19">
        <v>499.99999999999989</v>
      </c>
      <c r="N13" s="19">
        <v>74.999999999999858</v>
      </c>
      <c r="O13" s="19">
        <v>500</v>
      </c>
      <c r="P13" s="19">
        <v>27.142857142857213</v>
      </c>
      <c r="Q13" s="19">
        <v>29.999999999999893</v>
      </c>
    </row>
    <row r="14" spans="1:17" x14ac:dyDescent="0.25">
      <c r="A14" t="s">
        <v>51</v>
      </c>
      <c r="B14" s="27">
        <f>C3</f>
        <v>300</v>
      </c>
      <c r="C14" s="13" t="s">
        <v>42</v>
      </c>
      <c r="D14" s="17">
        <v>300</v>
      </c>
      <c r="K14" s="19" t="s">
        <v>82</v>
      </c>
      <c r="L14" s="19" t="s">
        <v>83</v>
      </c>
      <c r="M14" s="19">
        <v>300</v>
      </c>
      <c r="N14" s="19">
        <v>102.5</v>
      </c>
      <c r="O14" s="19">
        <v>300</v>
      </c>
      <c r="P14" s="19">
        <v>300</v>
      </c>
      <c r="Q14" s="19">
        <v>99.999999999999631</v>
      </c>
    </row>
    <row r="15" spans="1:17" x14ac:dyDescent="0.25">
      <c r="A15" t="s">
        <v>50</v>
      </c>
      <c r="B15" s="27">
        <f>C3</f>
        <v>300</v>
      </c>
      <c r="C15" s="13" t="s">
        <v>44</v>
      </c>
      <c r="D15" s="17">
        <v>600</v>
      </c>
      <c r="K15" s="28" t="s">
        <v>84</v>
      </c>
      <c r="L15" s="28" t="s">
        <v>85</v>
      </c>
      <c r="M15" s="28">
        <v>300</v>
      </c>
      <c r="N15" s="28">
        <v>0</v>
      </c>
      <c r="O15" s="28">
        <v>600</v>
      </c>
      <c r="P15" s="28">
        <v>1E+30</v>
      </c>
      <c r="Q15" s="28">
        <v>300</v>
      </c>
    </row>
    <row r="16" spans="1:17" x14ac:dyDescent="0.25">
      <c r="A16" t="s">
        <v>48</v>
      </c>
      <c r="B16" s="27">
        <f>C4</f>
        <v>457.14285055761729</v>
      </c>
      <c r="C16" s="13" t="s">
        <v>44</v>
      </c>
      <c r="D16" s="17">
        <v>600</v>
      </c>
      <c r="K16" s="19" t="s">
        <v>86</v>
      </c>
      <c r="L16" s="19" t="s">
        <v>87</v>
      </c>
      <c r="M16" s="19">
        <v>525.00000000000023</v>
      </c>
      <c r="N16" s="19">
        <v>0</v>
      </c>
      <c r="O16" s="19">
        <v>600</v>
      </c>
      <c r="P16" s="19">
        <v>1E+30</v>
      </c>
      <c r="Q16" s="19">
        <v>74.999999999999744</v>
      </c>
    </row>
    <row r="17" spans="1:17" ht="15.75" thickBot="1" x14ac:dyDescent="0.3">
      <c r="A17" t="s">
        <v>49</v>
      </c>
      <c r="B17" s="27">
        <f>C5</f>
        <v>600</v>
      </c>
      <c r="C17" s="13" t="s">
        <v>44</v>
      </c>
      <c r="D17" s="17">
        <v>600</v>
      </c>
      <c r="K17" s="20" t="s">
        <v>88</v>
      </c>
      <c r="L17" s="20" t="s">
        <v>89</v>
      </c>
      <c r="M17" s="20">
        <v>504.99999999999972</v>
      </c>
      <c r="N17" s="20">
        <v>0</v>
      </c>
      <c r="O17" s="20">
        <v>600</v>
      </c>
      <c r="P17" s="20">
        <v>1E+30</v>
      </c>
      <c r="Q17" s="20">
        <v>95.000000000000242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2D8CF-03C1-499E-BA3D-FD87EC7B616B}">
  <dimension ref="A1:Q18"/>
  <sheetViews>
    <sheetView workbookViewId="0">
      <selection activeCell="P10" sqref="P10"/>
    </sheetView>
  </sheetViews>
  <sheetFormatPr defaultRowHeight="15" x14ac:dyDescent="0.25"/>
  <cols>
    <col min="1" max="1" width="35.5703125" customWidth="1"/>
    <col min="2" max="2" width="21.140625" customWidth="1"/>
    <col min="3" max="3" width="13.42578125" customWidth="1"/>
    <col min="4" max="4" width="17.5703125" customWidth="1"/>
    <col min="5" max="5" width="14" customWidth="1"/>
    <col min="6" max="6" width="12.7109375" customWidth="1"/>
    <col min="7" max="7" width="10.85546875" customWidth="1"/>
    <col min="11" max="11" width="34.5703125" customWidth="1"/>
    <col min="12" max="12" width="14.85546875" customWidth="1"/>
    <col min="13" max="14" width="12.85546875" customWidth="1"/>
    <col min="15" max="15" width="11.7109375" customWidth="1"/>
    <col min="16" max="16" width="11.85546875" customWidth="1"/>
  </cols>
  <sheetData>
    <row r="1" spans="1:17" x14ac:dyDescent="0.25">
      <c r="A1" s="29" t="s">
        <v>97</v>
      </c>
      <c r="E1" t="s">
        <v>25</v>
      </c>
      <c r="K1" s="29" t="s">
        <v>98</v>
      </c>
      <c r="O1" t="s">
        <v>25</v>
      </c>
    </row>
    <row r="2" spans="1:17" x14ac:dyDescent="0.25">
      <c r="A2" t="s">
        <v>0</v>
      </c>
      <c r="C2" s="13" t="s">
        <v>45</v>
      </c>
      <c r="D2" s="13" t="s">
        <v>27</v>
      </c>
      <c r="E2" s="13" t="s">
        <v>28</v>
      </c>
      <c r="F2" s="13" t="s">
        <v>29</v>
      </c>
      <c r="G2" s="13" t="s">
        <v>30</v>
      </c>
      <c r="K2" t="s">
        <v>0</v>
      </c>
      <c r="M2" s="13" t="s">
        <v>45</v>
      </c>
      <c r="N2" s="13" t="s">
        <v>27</v>
      </c>
      <c r="O2" s="13" t="s">
        <v>28</v>
      </c>
      <c r="P2" s="13" t="s">
        <v>29</v>
      </c>
      <c r="Q2" s="13" t="s">
        <v>30</v>
      </c>
    </row>
    <row r="3" spans="1:17" x14ac:dyDescent="0.25">
      <c r="A3" t="s">
        <v>31</v>
      </c>
      <c r="B3" t="s">
        <v>32</v>
      </c>
      <c r="C3" s="41">
        <v>300</v>
      </c>
      <c r="D3" s="14">
        <v>260</v>
      </c>
      <c r="E3" s="15">
        <v>0.3</v>
      </c>
      <c r="F3" s="15">
        <v>0.4</v>
      </c>
      <c r="G3" s="15">
        <v>0.3</v>
      </c>
      <c r="K3" t="s">
        <v>31</v>
      </c>
      <c r="L3" t="s">
        <v>32</v>
      </c>
      <c r="M3" s="41">
        <v>300</v>
      </c>
      <c r="N3" s="14">
        <v>260</v>
      </c>
      <c r="O3" s="15">
        <v>0.3</v>
      </c>
      <c r="P3" s="15">
        <v>0.4</v>
      </c>
      <c r="Q3" s="15">
        <v>0.3</v>
      </c>
    </row>
    <row r="4" spans="1:17" x14ac:dyDescent="0.25">
      <c r="A4" t="s">
        <v>33</v>
      </c>
      <c r="B4" t="s">
        <v>34</v>
      </c>
      <c r="C4" s="41">
        <v>530</v>
      </c>
      <c r="D4" s="14">
        <v>180</v>
      </c>
      <c r="E4" s="15">
        <v>0.35</v>
      </c>
      <c r="F4" s="15">
        <v>0.35</v>
      </c>
      <c r="G4" s="15">
        <v>0.3</v>
      </c>
      <c r="K4" t="s">
        <v>33</v>
      </c>
      <c r="L4" t="s">
        <v>34</v>
      </c>
      <c r="M4" s="41">
        <v>525.00000000000023</v>
      </c>
      <c r="N4" s="14">
        <v>180</v>
      </c>
      <c r="O4" s="15">
        <v>0.35</v>
      </c>
      <c r="P4" s="15">
        <v>0.35</v>
      </c>
      <c r="Q4" s="15">
        <v>0.3</v>
      </c>
    </row>
    <row r="5" spans="1:17" x14ac:dyDescent="0.25">
      <c r="A5" t="s">
        <v>35</v>
      </c>
      <c r="B5" t="s">
        <v>36</v>
      </c>
      <c r="C5" s="41">
        <v>502</v>
      </c>
      <c r="D5" s="14">
        <v>150</v>
      </c>
      <c r="E5" s="15">
        <v>0.25</v>
      </c>
      <c r="F5" s="15">
        <v>0.25</v>
      </c>
      <c r="G5" s="15">
        <v>0.5</v>
      </c>
      <c r="K5" t="s">
        <v>35</v>
      </c>
      <c r="L5" t="s">
        <v>36</v>
      </c>
      <c r="M5" s="41">
        <v>504.99999999999972</v>
      </c>
      <c r="N5" s="14">
        <v>150</v>
      </c>
      <c r="O5" s="15">
        <v>0.25</v>
      </c>
      <c r="P5" s="15">
        <v>0.25</v>
      </c>
      <c r="Q5" s="15">
        <v>0.5</v>
      </c>
    </row>
    <row r="7" spans="1:17" x14ac:dyDescent="0.25">
      <c r="A7" t="s">
        <v>37</v>
      </c>
      <c r="K7" t="s">
        <v>37</v>
      </c>
    </row>
    <row r="8" spans="1:17" x14ac:dyDescent="0.25">
      <c r="A8" t="s">
        <v>38</v>
      </c>
      <c r="B8" s="18">
        <f>D3*C3+D4*C4+D5*C5</f>
        <v>248700</v>
      </c>
      <c r="K8" t="s">
        <v>38</v>
      </c>
      <c r="L8" s="18">
        <f>N3*M3+N4*M4+N5*M5</f>
        <v>248250</v>
      </c>
    </row>
    <row r="10" spans="1:17" x14ac:dyDescent="0.25">
      <c r="A10" t="s">
        <v>39</v>
      </c>
      <c r="B10" s="13" t="s">
        <v>40</v>
      </c>
      <c r="C10" s="13"/>
      <c r="D10" s="13" t="s">
        <v>41</v>
      </c>
      <c r="K10" t="s">
        <v>39</v>
      </c>
      <c r="L10" s="13" t="s">
        <v>40</v>
      </c>
      <c r="M10" s="13"/>
      <c r="N10" s="13" t="s">
        <v>41</v>
      </c>
    </row>
    <row r="11" spans="1:17" x14ac:dyDescent="0.25">
      <c r="A11" t="s">
        <v>46</v>
      </c>
      <c r="B11" s="17">
        <f>0.3*C3+0.35*C4+0.25*C5</f>
        <v>401</v>
      </c>
      <c r="C11" s="13" t="s">
        <v>42</v>
      </c>
      <c r="D11" s="17">
        <v>400</v>
      </c>
      <c r="K11" t="s">
        <v>46</v>
      </c>
      <c r="L11" s="17">
        <f>0.3*M3+0.35*M4+0.25*M5</f>
        <v>400</v>
      </c>
      <c r="M11" s="13" t="s">
        <v>42</v>
      </c>
      <c r="N11" s="17">
        <v>400</v>
      </c>
    </row>
    <row r="12" spans="1:17" x14ac:dyDescent="0.25">
      <c r="A12" t="s">
        <v>43</v>
      </c>
      <c r="B12" s="17">
        <f>0.4*C3+0.35*C4+0.25*C5</f>
        <v>431</v>
      </c>
      <c r="C12" s="13" t="s">
        <v>42</v>
      </c>
      <c r="D12" s="17">
        <v>300</v>
      </c>
      <c r="G12" s="16"/>
      <c r="K12" t="s">
        <v>43</v>
      </c>
      <c r="L12" s="17">
        <f>0.4*M3+0.35*M4+0.25*M5</f>
        <v>430</v>
      </c>
      <c r="M12" s="13" t="s">
        <v>42</v>
      </c>
      <c r="N12" s="17">
        <v>300</v>
      </c>
      <c r="Q12" s="16"/>
    </row>
    <row r="13" spans="1:17" x14ac:dyDescent="0.25">
      <c r="A13" t="s">
        <v>47</v>
      </c>
      <c r="B13" s="17">
        <f>0.3*C3+0.3*C4+0.5*C5</f>
        <v>500</v>
      </c>
      <c r="C13" s="13" t="s">
        <v>42</v>
      </c>
      <c r="D13" s="17">
        <v>500</v>
      </c>
      <c r="K13" t="s">
        <v>47</v>
      </c>
      <c r="L13" s="17">
        <f>0.3*M3+0.3*M4+0.5*M5</f>
        <v>499.99999999999989</v>
      </c>
      <c r="M13" s="13" t="s">
        <v>42</v>
      </c>
      <c r="N13" s="17">
        <v>500</v>
      </c>
    </row>
    <row r="14" spans="1:17" x14ac:dyDescent="0.25">
      <c r="A14" t="s">
        <v>51</v>
      </c>
      <c r="B14" s="17">
        <f>C3</f>
        <v>300</v>
      </c>
      <c r="C14" s="13" t="s">
        <v>42</v>
      </c>
      <c r="D14" s="17">
        <v>300</v>
      </c>
      <c r="K14" t="s">
        <v>51</v>
      </c>
      <c r="L14" s="17">
        <f>M3</f>
        <v>300</v>
      </c>
      <c r="M14" s="13" t="s">
        <v>42</v>
      </c>
      <c r="N14" s="17">
        <v>300</v>
      </c>
    </row>
    <row r="15" spans="1:17" x14ac:dyDescent="0.25">
      <c r="A15" t="s">
        <v>96</v>
      </c>
      <c r="B15" s="17">
        <f>C4</f>
        <v>530</v>
      </c>
      <c r="C15" s="13" t="s">
        <v>42</v>
      </c>
      <c r="D15" s="17">
        <v>530</v>
      </c>
      <c r="K15" t="s">
        <v>50</v>
      </c>
      <c r="L15" s="17">
        <f>M3</f>
        <v>300</v>
      </c>
      <c r="M15" s="13" t="s">
        <v>44</v>
      </c>
      <c r="N15" s="17">
        <v>600</v>
      </c>
    </row>
    <row r="16" spans="1:17" x14ac:dyDescent="0.25">
      <c r="A16" t="s">
        <v>50</v>
      </c>
      <c r="B16" s="17">
        <f>C3</f>
        <v>300</v>
      </c>
      <c r="C16" s="13" t="s">
        <v>44</v>
      </c>
      <c r="D16" s="17">
        <v>600</v>
      </c>
      <c r="K16" t="s">
        <v>48</v>
      </c>
      <c r="L16" s="17">
        <f>M4</f>
        <v>525.00000000000023</v>
      </c>
      <c r="M16" s="13" t="s">
        <v>44</v>
      </c>
      <c r="N16" s="17">
        <v>600</v>
      </c>
    </row>
    <row r="17" spans="1:14" x14ac:dyDescent="0.25">
      <c r="A17" t="s">
        <v>48</v>
      </c>
      <c r="B17" s="17">
        <f>C4</f>
        <v>530</v>
      </c>
      <c r="C17" s="13" t="s">
        <v>44</v>
      </c>
      <c r="D17" s="17">
        <v>600</v>
      </c>
      <c r="K17" t="s">
        <v>49</v>
      </c>
      <c r="L17" s="17">
        <f>M5</f>
        <v>504.99999999999972</v>
      </c>
      <c r="M17" s="13" t="s">
        <v>44</v>
      </c>
      <c r="N17" s="17">
        <v>600</v>
      </c>
    </row>
    <row r="18" spans="1:14" x14ac:dyDescent="0.25">
      <c r="A18" t="s">
        <v>49</v>
      </c>
      <c r="B18" s="17">
        <f>C5</f>
        <v>502</v>
      </c>
      <c r="C18" s="13" t="s">
        <v>44</v>
      </c>
      <c r="D18" s="17">
        <v>600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87A91-0CC0-4468-B9F8-BACAA7E26BD2}">
  <dimension ref="A1:B15"/>
  <sheetViews>
    <sheetView workbookViewId="0"/>
  </sheetViews>
  <sheetFormatPr defaultRowHeight="15" x14ac:dyDescent="0.25"/>
  <sheetData>
    <row r="1" spans="1:2" x14ac:dyDescent="0.25">
      <c r="A1">
        <v>1</v>
      </c>
    </row>
    <row r="2" spans="1:2" x14ac:dyDescent="0.25">
      <c r="A2" t="s">
        <v>99</v>
      </c>
    </row>
    <row r="3" spans="1:2" x14ac:dyDescent="0.25">
      <c r="A3">
        <v>1</v>
      </c>
    </row>
    <row r="4" spans="1:2" x14ac:dyDescent="0.25">
      <c r="A4">
        <v>200</v>
      </c>
    </row>
    <row r="5" spans="1:2" x14ac:dyDescent="0.25">
      <c r="A5">
        <v>400</v>
      </c>
    </row>
    <row r="6" spans="1:2" x14ac:dyDescent="0.25">
      <c r="A6">
        <v>10</v>
      </c>
    </row>
    <row r="8" spans="1:2" x14ac:dyDescent="0.25">
      <c r="A8" s="30"/>
      <c r="B8" s="30"/>
    </row>
    <row r="9" spans="1:2" x14ac:dyDescent="0.25">
      <c r="A9" t="s">
        <v>100</v>
      </c>
    </row>
    <row r="10" spans="1:2" x14ac:dyDescent="0.25">
      <c r="A10" t="s">
        <v>101</v>
      </c>
    </row>
    <row r="15" spans="1:2" x14ac:dyDescent="0.25">
      <c r="B15" s="3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ED27C-87B7-404F-BF98-700F365822FA}">
  <dimension ref="A1:L25"/>
  <sheetViews>
    <sheetView workbookViewId="0">
      <selection activeCell="S32" sqref="S32"/>
    </sheetView>
  </sheetViews>
  <sheetFormatPr defaultRowHeight="15" x14ac:dyDescent="0.25"/>
  <cols>
    <col min="2" max="2" width="11" bestFit="1" customWidth="1"/>
  </cols>
  <sheetData>
    <row r="1" spans="1:12" x14ac:dyDescent="0.25">
      <c r="A1" s="9" t="s">
        <v>102</v>
      </c>
      <c r="K1" s="34" t="str">
        <f>CONCATENATE("Sensitivity of ",$K$4," to ","Valves from Supplier1 ")</f>
        <v xml:space="preserve">Sensitivity of $B$8 to Valves from Supplier1 </v>
      </c>
    </row>
    <row r="3" spans="1:12" x14ac:dyDescent="0.25">
      <c r="A3" t="s">
        <v>103</v>
      </c>
      <c r="K3" t="s">
        <v>104</v>
      </c>
    </row>
    <row r="4" spans="1:12" ht="27" x14ac:dyDescent="0.25">
      <c r="B4" s="32" t="s">
        <v>100</v>
      </c>
      <c r="J4" s="34">
        <f>MATCH($K$4,OutputAddresses,0)</f>
        <v>1</v>
      </c>
      <c r="K4" s="33" t="s">
        <v>100</v>
      </c>
    </row>
    <row r="5" spans="1:12" x14ac:dyDescent="0.25">
      <c r="A5" s="31">
        <v>200</v>
      </c>
      <c r="B5" s="35">
        <v>238000</v>
      </c>
      <c r="K5">
        <f>INDEX(OutputValues,1,$J$4)</f>
        <v>238000</v>
      </c>
    </row>
    <row r="6" spans="1:12" x14ac:dyDescent="0.25">
      <c r="A6" s="31">
        <v>210</v>
      </c>
      <c r="B6" s="36">
        <v>239025</v>
      </c>
      <c r="K6">
        <f>INDEX(OutputValues,2,$J$4)</f>
        <v>239025</v>
      </c>
      <c r="L6">
        <f>K6-K5</f>
        <v>1025</v>
      </c>
    </row>
    <row r="7" spans="1:12" x14ac:dyDescent="0.25">
      <c r="A7" s="31">
        <v>220</v>
      </c>
      <c r="B7" s="36">
        <v>240050</v>
      </c>
      <c r="K7">
        <f>INDEX(OutputValues,3,$J$4)</f>
        <v>240050</v>
      </c>
      <c r="L7">
        <f>K7-K6</f>
        <v>1025</v>
      </c>
    </row>
    <row r="8" spans="1:12" x14ac:dyDescent="0.25">
      <c r="A8" s="31">
        <v>230</v>
      </c>
      <c r="B8" s="36">
        <v>241075</v>
      </c>
      <c r="K8">
        <f>INDEX(OutputValues,4,$J$4)</f>
        <v>241075</v>
      </c>
      <c r="L8">
        <f>K8-K7</f>
        <v>1025</v>
      </c>
    </row>
    <row r="9" spans="1:12" x14ac:dyDescent="0.25">
      <c r="A9" s="31">
        <v>240</v>
      </c>
      <c r="B9" s="36">
        <v>242100</v>
      </c>
      <c r="K9">
        <f>INDEX(OutputValues,5,$J$4)</f>
        <v>242100</v>
      </c>
      <c r="L9">
        <f t="shared" ref="L9:L25" si="0">K9-K8</f>
        <v>1025</v>
      </c>
    </row>
    <row r="10" spans="1:12" x14ac:dyDescent="0.25">
      <c r="A10" s="31">
        <v>250</v>
      </c>
      <c r="B10" s="36">
        <v>243125</v>
      </c>
      <c r="K10">
        <f>INDEX(OutputValues,6,$J$4)</f>
        <v>243125</v>
      </c>
      <c r="L10">
        <f t="shared" si="0"/>
        <v>1025</v>
      </c>
    </row>
    <row r="11" spans="1:12" x14ac:dyDescent="0.25">
      <c r="A11" s="31">
        <v>260</v>
      </c>
      <c r="B11" s="36">
        <v>244150</v>
      </c>
      <c r="K11">
        <f>INDEX(OutputValues,7,$J$4)</f>
        <v>244150</v>
      </c>
      <c r="L11">
        <f t="shared" si="0"/>
        <v>1025</v>
      </c>
    </row>
    <row r="12" spans="1:12" x14ac:dyDescent="0.25">
      <c r="A12" s="31">
        <v>270</v>
      </c>
      <c r="B12" s="36">
        <v>245175</v>
      </c>
      <c r="K12">
        <f>INDEX(OutputValues,8,$J$4)</f>
        <v>245175</v>
      </c>
      <c r="L12">
        <f t="shared" si="0"/>
        <v>1025</v>
      </c>
    </row>
    <row r="13" spans="1:12" x14ac:dyDescent="0.25">
      <c r="A13" s="31">
        <v>280</v>
      </c>
      <c r="B13" s="36">
        <v>246200</v>
      </c>
      <c r="K13">
        <f>INDEX(OutputValues,9,$J$4)</f>
        <v>246200</v>
      </c>
      <c r="L13">
        <f t="shared" si="0"/>
        <v>1025</v>
      </c>
    </row>
    <row r="14" spans="1:12" x14ac:dyDescent="0.25">
      <c r="A14" s="31">
        <v>290</v>
      </c>
      <c r="B14" s="36">
        <v>247225</v>
      </c>
      <c r="K14">
        <f>INDEX(OutputValues,10,$J$4)</f>
        <v>247225</v>
      </c>
      <c r="L14">
        <f t="shared" si="0"/>
        <v>1025</v>
      </c>
    </row>
    <row r="15" spans="1:12" x14ac:dyDescent="0.25">
      <c r="A15" s="39">
        <v>300</v>
      </c>
      <c r="B15" s="38">
        <v>248700</v>
      </c>
      <c r="K15" s="40">
        <f>INDEX(OutputValues,11,$J$4)</f>
        <v>248700</v>
      </c>
      <c r="L15">
        <f t="shared" si="0"/>
        <v>1475</v>
      </c>
    </row>
    <row r="16" spans="1:12" x14ac:dyDescent="0.25">
      <c r="A16" s="31">
        <v>310</v>
      </c>
      <c r="B16" s="36">
        <v>250400</v>
      </c>
      <c r="K16">
        <f>INDEX(OutputValues,12,$J$4)</f>
        <v>250400</v>
      </c>
      <c r="L16">
        <f t="shared" si="0"/>
        <v>1700</v>
      </c>
    </row>
    <row r="17" spans="1:12" x14ac:dyDescent="0.25">
      <c r="A17" s="31">
        <v>320</v>
      </c>
      <c r="B17" s="36">
        <v>252100</v>
      </c>
      <c r="K17">
        <f>INDEX(OutputValues,13,$J$4)</f>
        <v>252100</v>
      </c>
      <c r="L17">
        <f t="shared" si="0"/>
        <v>1700</v>
      </c>
    </row>
    <row r="18" spans="1:12" x14ac:dyDescent="0.25">
      <c r="A18" s="31">
        <v>330</v>
      </c>
      <c r="B18" s="36">
        <v>253800</v>
      </c>
      <c r="K18">
        <f>INDEX(OutputValues,14,$J$4)</f>
        <v>253800</v>
      </c>
      <c r="L18">
        <f t="shared" si="0"/>
        <v>1700</v>
      </c>
    </row>
    <row r="19" spans="1:12" x14ac:dyDescent="0.25">
      <c r="A19" s="31">
        <v>340</v>
      </c>
      <c r="B19" s="36">
        <v>255500</v>
      </c>
      <c r="K19">
        <f>INDEX(OutputValues,15,$J$4)</f>
        <v>255500</v>
      </c>
      <c r="L19">
        <f t="shared" si="0"/>
        <v>1700</v>
      </c>
    </row>
    <row r="20" spans="1:12" x14ac:dyDescent="0.25">
      <c r="A20" s="31">
        <v>350</v>
      </c>
      <c r="B20" s="36">
        <v>257200</v>
      </c>
      <c r="K20">
        <f>INDEX(OutputValues,16,$J$4)</f>
        <v>257200</v>
      </c>
      <c r="L20">
        <f t="shared" si="0"/>
        <v>1700</v>
      </c>
    </row>
    <row r="21" spans="1:12" x14ac:dyDescent="0.25">
      <c r="A21" s="31">
        <v>360</v>
      </c>
      <c r="B21" s="36">
        <v>258900</v>
      </c>
      <c r="K21">
        <f>INDEX(OutputValues,17,$J$4)</f>
        <v>258900</v>
      </c>
      <c r="L21">
        <f t="shared" si="0"/>
        <v>1700</v>
      </c>
    </row>
    <row r="22" spans="1:12" x14ac:dyDescent="0.25">
      <c r="A22" s="31">
        <v>370</v>
      </c>
      <c r="B22" s="36">
        <v>260600</v>
      </c>
      <c r="K22">
        <f>INDEX(OutputValues,18,$J$4)</f>
        <v>260600</v>
      </c>
      <c r="L22">
        <f t="shared" si="0"/>
        <v>1700</v>
      </c>
    </row>
    <row r="23" spans="1:12" x14ac:dyDescent="0.25">
      <c r="A23" s="31">
        <v>380</v>
      </c>
      <c r="B23" s="36">
        <v>262300</v>
      </c>
      <c r="K23">
        <f>INDEX(OutputValues,19,$J$4)</f>
        <v>262300</v>
      </c>
      <c r="L23">
        <f t="shared" si="0"/>
        <v>1700</v>
      </c>
    </row>
    <row r="24" spans="1:12" x14ac:dyDescent="0.25">
      <c r="A24" s="31">
        <v>390</v>
      </c>
      <c r="B24" s="36">
        <v>264000</v>
      </c>
      <c r="K24">
        <f>INDEX(OutputValues,20,$J$4)</f>
        <v>264000</v>
      </c>
      <c r="L24">
        <f t="shared" si="0"/>
        <v>1700</v>
      </c>
    </row>
    <row r="25" spans="1:12" x14ac:dyDescent="0.25">
      <c r="A25" s="31">
        <v>400</v>
      </c>
      <c r="B25" s="37">
        <v>265700</v>
      </c>
      <c r="K25">
        <f>INDEX(OutputValues,21,$J$4)</f>
        <v>265700</v>
      </c>
      <c r="L25">
        <f t="shared" si="0"/>
        <v>1700</v>
      </c>
    </row>
  </sheetData>
  <dataValidations count="1">
    <dataValidation type="list" allowBlank="1" showInputMessage="1" showErrorMessage="1" sqref="K4" xr:uid="{E793BA8D-3C04-457F-83BA-5EA22A3A0D39}">
      <formula1>OutputAddresses</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Q1-LP model Formulation</vt:lpstr>
      <vt:lpstr>Sensitivity Report 1</vt:lpstr>
      <vt:lpstr>Q2-LP spreadsheet</vt:lpstr>
      <vt:lpstr>Q3. Sensitivity Analysis</vt:lpstr>
      <vt:lpstr>Q4.Revised-Model</vt:lpstr>
      <vt:lpstr>Q5. Revised-Model_STS_1</vt:lpstr>
      <vt:lpstr>'Q5. Revised-Model_STS_1'!ChartData</vt:lpstr>
      <vt:lpstr>'Q5. Revised-Model_STS_1'!InputValues</vt:lpstr>
      <vt:lpstr>'Q5. Revised-Model_STS_1'!OutputAddresses</vt:lpstr>
      <vt:lpstr>'Q5. Revised-Model_STS_1'!OutputValues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ludai</dc:creator>
  <cp:lastModifiedBy>ludai</cp:lastModifiedBy>
  <dcterms:created xsi:type="dcterms:W3CDTF">2018-08-29T17:19:17Z</dcterms:created>
  <dcterms:modified xsi:type="dcterms:W3CDTF">2018-09-11T05:24:07Z</dcterms:modified>
</cp:coreProperties>
</file>