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oxa\Downloads\"/>
    </mc:Choice>
  </mc:AlternateContent>
  <xr:revisionPtr revIDLastSave="0" documentId="13_ncr:1_{31422558-555F-4C73-8C68-7C6CAAA11C1E}" xr6:coauthVersionLast="47" xr6:coauthVersionMax="47" xr10:uidLastSave="{00000000-0000-0000-0000-000000000000}"/>
  <bookViews>
    <workbookView xWindow="-120" yWindow="-120" windowWidth="29040" windowHeight="15720" firstSheet="3" activeTab="13" xr2:uid="{5BFF6256-E469-4383-ABA4-22EBD201BCD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4" l="1"/>
  <c r="M18" i="14"/>
  <c r="M13" i="14"/>
  <c r="M4" i="14"/>
  <c r="K19" i="13"/>
  <c r="K12" i="13"/>
  <c r="M11" i="11"/>
  <c r="N6" i="12"/>
  <c r="N14" i="12" s="1"/>
  <c r="N15" i="12"/>
  <c r="N13" i="12"/>
  <c r="N12" i="12"/>
  <c r="N10" i="12"/>
  <c r="N11" i="12"/>
  <c r="N9" i="12"/>
  <c r="N8" i="12"/>
  <c r="N7" i="12"/>
  <c r="I12" i="6"/>
  <c r="K12" i="12"/>
  <c r="I12" i="12"/>
  <c r="L12" i="12" s="1"/>
  <c r="I26" i="11"/>
  <c r="M24" i="10" l="1"/>
  <c r="F24" i="10"/>
  <c r="F17" i="10"/>
  <c r="J7" i="8"/>
  <c r="I8" i="5"/>
  <c r="I9" i="5" l="1"/>
  <c r="I17" i="4"/>
  <c r="L17" i="4" s="1"/>
  <c r="H22" i="4"/>
  <c r="J20" i="4" s="1"/>
  <c r="M20" i="4" s="1"/>
  <c r="G22" i="4"/>
  <c r="I20" i="4" s="1"/>
  <c r="K20" i="4" l="1"/>
  <c r="L20" i="4"/>
  <c r="J13" i="4"/>
  <c r="M13" i="4" s="1"/>
  <c r="J17" i="4"/>
  <c r="M17" i="4" s="1"/>
  <c r="I14" i="4"/>
  <c r="I13" i="4"/>
  <c r="I18" i="4"/>
  <c r="J14" i="4"/>
  <c r="M14" i="4" s="1"/>
  <c r="J18" i="4"/>
  <c r="M18" i="4" s="1"/>
  <c r="I15" i="4"/>
  <c r="I19" i="4"/>
  <c r="J15" i="4"/>
  <c r="M15" i="4" s="1"/>
  <c r="J19" i="4"/>
  <c r="M19" i="4" s="1"/>
  <c r="I16" i="4"/>
  <c r="J16" i="4"/>
  <c r="M16" i="4" s="1"/>
  <c r="G6" i="4"/>
  <c r="K18" i="4" l="1"/>
  <c r="L18" i="4"/>
  <c r="K15" i="4"/>
  <c r="L15" i="4"/>
  <c r="M22" i="4"/>
  <c r="L14" i="4"/>
  <c r="K14" i="4"/>
  <c r="K19" i="4"/>
  <c r="L19" i="4"/>
  <c r="K16" i="4"/>
  <c r="L16" i="4"/>
  <c r="L13" i="4"/>
  <c r="K13" i="4"/>
  <c r="K17" i="4"/>
  <c r="L22" i="4" l="1"/>
  <c r="K22" i="4"/>
  <c r="K24" i="4" s="1"/>
</calcChain>
</file>

<file path=xl/sharedStrings.xml><?xml version="1.0" encoding="utf-8"?>
<sst xmlns="http://schemas.openxmlformats.org/spreadsheetml/2006/main" count="340" uniqueCount="245">
  <si>
    <t xml:space="preserve">CA 2 assignment </t>
  </si>
  <si>
    <t>Oksana Goljevacki</t>
  </si>
  <si>
    <r>
      <t xml:space="preserve">Qs 1. </t>
    </r>
    <r>
      <rPr>
        <sz val="12"/>
        <color rgb="FF000000"/>
        <rFont val="Times New Roman"/>
        <family val="1"/>
      </rPr>
      <t xml:space="preserve">The table below contains data on online advertising spend and sales volumes of food and drink for a central Dublin restaurant for an 8 month period. </t>
    </r>
  </si>
  <si>
    <t xml:space="preserve"> </t>
  </si>
  <si>
    <t xml:space="preserve">Sales </t>
  </si>
  <si>
    <t xml:space="preserve">Advertising </t>
  </si>
  <si>
    <t>[$000s]</t>
  </si>
  <si>
    <t xml:space="preserve">Using Advertising as the independent (X) and Sales as the dependent variable (Y), </t>
  </si>
  <si>
    <r>
      <t>(i)</t>
    </r>
    <r>
      <rPr>
        <sz val="7"/>
        <color rgb="FF000000"/>
        <rFont val="Times New Roman"/>
        <family val="1"/>
      </rPr>
      <t xml:space="preserve">            </t>
    </r>
    <r>
      <rPr>
        <sz val="12"/>
        <color rgb="FF000000"/>
        <rFont val="Times New Roman"/>
        <family val="1"/>
      </rPr>
      <t xml:space="preserve">create a clearly annotated scatter chart to show the relationship between Advertising (X) and Sales (Y). </t>
    </r>
  </si>
  <si>
    <t>(i)</t>
  </si>
  <si>
    <t>x</t>
  </si>
  <si>
    <t>y</t>
  </si>
  <si>
    <t>(ii)</t>
  </si>
  <si>
    <t xml:space="preserve">Do you see a positive or negative relationship in the chart? </t>
  </si>
  <si>
    <t xml:space="preserve">Is it a strong relationship? </t>
  </si>
  <si>
    <t>positive linear relationships</t>
  </si>
  <si>
    <t>,strong relationships showing that increase in advertising lead to increase in sales</t>
  </si>
  <si>
    <t xml:space="preserve">Calculate the correlation coefficient between Advertising (X) and Sales (Y). </t>
  </si>
  <si>
    <t>Interpret the result</t>
  </si>
  <si>
    <t>(III)</t>
  </si>
  <si>
    <t>1st method</t>
  </si>
  <si>
    <t>2nd method</t>
  </si>
  <si>
    <t>Column 1</t>
  </si>
  <si>
    <t>Column 2</t>
  </si>
  <si>
    <t>3rd method</t>
  </si>
  <si>
    <t>Calculating by computation method</t>
  </si>
  <si>
    <t>X</t>
  </si>
  <si>
    <t>Y</t>
  </si>
  <si>
    <t>X mean</t>
  </si>
  <si>
    <t>X-Xmean</t>
  </si>
  <si>
    <t>Y-Ymean</t>
  </si>
  <si>
    <t>Ymean</t>
  </si>
  <si>
    <t>(X-Xmean)*(Y-Ymean)</t>
  </si>
  <si>
    <t>summation</t>
  </si>
  <si>
    <t>(X-Xmean)^2</t>
  </si>
  <si>
    <t>(Y-Ymean)^2</t>
  </si>
  <si>
    <t>r=</t>
  </si>
  <si>
    <t xml:space="preserve">Leave your answer in the form </t>
  </si>
  <si>
    <t>Calculate the OLS regression equation for Advertising (X) and Sales(Y)</t>
  </si>
  <si>
    <t xml:space="preserve">Keep two decimal places. </t>
  </si>
  <si>
    <r>
      <t xml:space="preserve">y </t>
    </r>
    <r>
      <rPr>
        <sz val="13"/>
        <color rgb="FF000000"/>
        <rFont val="Arial"/>
        <family val="2"/>
      </rPr>
      <t xml:space="preserve">= </t>
    </r>
    <r>
      <rPr>
        <i/>
        <sz val="13"/>
        <color rgb="FF000000"/>
        <rFont val="Arial"/>
        <family val="2"/>
      </rPr>
      <t xml:space="preserve">a </t>
    </r>
    <r>
      <rPr>
        <sz val="13"/>
        <color rgb="FF000000"/>
        <rFont val="Arial"/>
        <family val="2"/>
      </rPr>
      <t xml:space="preserve">+ </t>
    </r>
    <r>
      <rPr>
        <i/>
        <sz val="13"/>
        <color rgb="FF000000"/>
        <rFont val="Arial"/>
        <family val="2"/>
      </rPr>
      <t xml:space="preserve">bx </t>
    </r>
  </si>
  <si>
    <t>(IV)</t>
  </si>
  <si>
    <t>[0.5,1] are strong r.</t>
  </si>
  <si>
    <t>r&gt;0 indicates a positive association which means increase of one variable results in increasing the other.</t>
  </si>
  <si>
    <t xml:space="preserve">According to Pearson correlation theory </t>
  </si>
  <si>
    <t>[0.5,1] are strong r</t>
  </si>
  <si>
    <t>Regression Method</t>
  </si>
  <si>
    <t>Slope  b=r*(Sy/Sx)</t>
  </si>
  <si>
    <t>Intercept a=Y-bX</t>
  </si>
  <si>
    <t>b=</t>
  </si>
  <si>
    <t>a=</t>
  </si>
  <si>
    <t>1 st method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</si>
  <si>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</si>
  <si>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</si>
  <si>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</si>
  <si>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</si>
  <si>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</si>
  <si>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</si>
  <si>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</si>
  <si>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</si>
  <si>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</si>
  <si>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</si>
  <si>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</si>
  <si>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</si>
  <si>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</si>
  <si>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</si>
  <si>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</si>
  <si>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</si>
  <si>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</si>
  <si>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</si>
  <si>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</si>
  <si>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</si>
  <si>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</si>
  <si>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</si>
  <si>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</si>
  <si>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</si>
  <si>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y=7.83+3.87x</t>
  </si>
  <si>
    <t xml:space="preserve">predict the restaurant sales when the advertising spend is reduced to €1000. </t>
  </si>
  <si>
    <t>Using tha answer for (IV),</t>
  </si>
  <si>
    <t>Is this prediction extrapolation or interpolation? Explain</t>
  </si>
  <si>
    <t>(V)</t>
  </si>
  <si>
    <r>
      <t>[</t>
    </r>
    <r>
      <rPr>
        <sz val="12"/>
        <color rgb="FF000000"/>
        <rFont val="Calibri"/>
        <family val="2"/>
      </rPr>
      <t>€</t>
    </r>
    <r>
      <rPr>
        <sz val="12"/>
        <color rgb="FF000000"/>
        <rFont val="Times New Roman"/>
        <family val="1"/>
      </rPr>
      <t>1000]</t>
    </r>
  </si>
  <si>
    <t>[€1000]</t>
  </si>
  <si>
    <t xml:space="preserve">Using the answer for (IV) ,explain the values of a &amp; b in the OLS regression equation for Advertising (X) and Sales (Y). </t>
  </si>
  <si>
    <t>Calculate the R^2 and interpret the result with respect to the regression line .</t>
  </si>
  <si>
    <t>R^2=</t>
  </si>
  <si>
    <t>Coefficient of Determination (R²)</t>
  </si>
  <si>
    <t>The linear regression model was a good fit for the data R^2 =0.897111</t>
  </si>
  <si>
    <t>A higher R^2 means a better fit.</t>
  </si>
  <si>
    <t>or 89,7111%</t>
  </si>
  <si>
    <t>An R^2 of 0.897111 means that our regression line is very close to our datat points.We can see this visually by plotting our data and our regression line.A high R^2 will show most points near the line , while a low R^2 will show many points far from the line.</t>
  </si>
  <si>
    <t>y=a+bx</t>
  </si>
  <si>
    <t xml:space="preserve">b is a slope </t>
  </si>
  <si>
    <t>slope=</t>
  </si>
  <si>
    <t>x is independent variable</t>
  </si>
  <si>
    <t xml:space="preserve">y is dependent variable </t>
  </si>
  <si>
    <t>a is intercept=</t>
  </si>
  <si>
    <t>Intercept is a value of Y when x=0</t>
  </si>
  <si>
    <t xml:space="preserve">In our case ,if advertisement expenses =0 </t>
  </si>
  <si>
    <t>Sales amount is y=7.83+3.87*0</t>
  </si>
  <si>
    <t xml:space="preserve">y=7.83 </t>
  </si>
  <si>
    <t>or</t>
  </si>
  <si>
    <r>
      <t>y=</t>
    </r>
    <r>
      <rPr>
        <sz val="11"/>
        <color theme="1"/>
        <rFont val="Calibri"/>
        <family val="2"/>
      </rPr>
      <t>€7830</t>
    </r>
  </si>
  <si>
    <t>(VI)</t>
  </si>
  <si>
    <t>(VII)</t>
  </si>
  <si>
    <t>Question 1</t>
  </si>
  <si>
    <t xml:space="preserve">(i). A salesman knows that, on average, he has a 40% chance of making a sale when he calls a customer. </t>
  </si>
  <si>
    <t>One morning he makes five calls.</t>
  </si>
  <si>
    <t>a. What is the probability that he makes 3 sales?</t>
  </si>
  <si>
    <t>b. What is the probability that he makes at least 4 sales?</t>
  </si>
  <si>
    <r>
      <rPr>
        <sz val="20"/>
        <color rgb="FFFF0000"/>
        <rFont val="Calibri"/>
        <family val="2"/>
        <scheme val="minor"/>
      </rPr>
      <t>(I).</t>
    </r>
    <r>
      <rPr>
        <sz val="11"/>
        <color theme="1"/>
        <rFont val="Calibri"/>
        <family val="2"/>
        <scheme val="minor"/>
      </rPr>
      <t xml:space="preserve"> </t>
    </r>
  </si>
  <si>
    <t>A test has 10 multiple choice questions with four choices with one correct answer each.</t>
  </si>
  <si>
    <t>(II)</t>
  </si>
  <si>
    <t>If you just randomly guess on each of the 10 questions:</t>
  </si>
  <si>
    <t>a. What is the Probability that you get all answers correct?</t>
  </si>
  <si>
    <t>b. What is the Probability that you get all answers wrong?</t>
  </si>
  <si>
    <t xml:space="preserve">In a certain game of chance, your chances of winning are 0.6. </t>
  </si>
  <si>
    <t>If you play the game 8</t>
  </si>
  <si>
    <t xml:space="preserve">times and outcomes are independent, </t>
  </si>
  <si>
    <t>what is the probability that you win at least once?</t>
  </si>
  <si>
    <t>Use the normal distribution to calculate:</t>
  </si>
  <si>
    <r>
      <t>a)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>P( z &lt; -2.87)</t>
    </r>
  </si>
  <si>
    <t>b)</t>
  </si>
  <si>
    <t>c)</t>
  </si>
  <si>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>P( z &gt; -1.1)</t>
    </r>
  </si>
  <si>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P ( 1.21 &lt; z &lt; 1.46)</t>
    </r>
  </si>
  <si>
    <t xml:space="preserve">A fruit importer buys crates of bananas. </t>
  </si>
  <si>
    <t>Crates are known to have a mean weight of</t>
  </si>
  <si>
    <t xml:space="preserve">100kg with standard deviation 0.65kg. </t>
  </si>
  <si>
    <t>The weight is approximately normally distributed.</t>
  </si>
  <si>
    <t>If</t>
  </si>
  <si>
    <t>one crate is randomly chosen, calculate the probability that:</t>
  </si>
  <si>
    <t>(a) (3 marks) The crate weighs less than 98kg.</t>
  </si>
  <si>
    <t>(b) (4 marks) The crate weighs between 99kg and 101kg</t>
  </si>
  <si>
    <t xml:space="preserve">a) Using formula for binominal distribution </t>
  </si>
  <si>
    <t>n= number of questions</t>
  </si>
  <si>
    <t>p=1/4</t>
  </si>
  <si>
    <t xml:space="preserve">probability </t>
  </si>
  <si>
    <t>r=number of correct answers</t>
  </si>
  <si>
    <t>n=number of question</t>
  </si>
  <si>
    <t>p=3/4 probability</t>
  </si>
  <si>
    <t>r=number of wrong answers</t>
  </si>
  <si>
    <t>p=</t>
  </si>
  <si>
    <t xml:space="preserve">n=8 games </t>
  </si>
  <si>
    <t>k=1 number we want</t>
  </si>
  <si>
    <t>p=0.6</t>
  </si>
  <si>
    <t xml:space="preserve">I am using the General binominal probability formula </t>
  </si>
  <si>
    <t>a)</t>
  </si>
  <si>
    <t>n=</t>
  </si>
  <si>
    <t>k=</t>
  </si>
  <si>
    <t>n!</t>
  </si>
  <si>
    <t>k!(n-k)!</t>
  </si>
  <si>
    <t>*</t>
  </si>
  <si>
    <t>p^k</t>
  </si>
  <si>
    <t>(1-p)^(n-k)</t>
  </si>
  <si>
    <t>5!</t>
  </si>
  <si>
    <t>3!(5-3)!</t>
  </si>
  <si>
    <t>0.4^3</t>
  </si>
  <si>
    <t>(1-0.4)^2</t>
  </si>
  <si>
    <t>P=</t>
  </si>
  <si>
    <t>I am using General binominal probability formula as well just k=4</t>
  </si>
  <si>
    <t>4!(5-4)!</t>
  </si>
  <si>
    <t>0.4^4</t>
  </si>
  <si>
    <t>(1-0.4)^1</t>
  </si>
  <si>
    <t>he can have 5 sales as well ,therefore using the same formula I can calculate probability of  5 of 5 sales</t>
  </si>
  <si>
    <t>5!(5-5)!</t>
  </si>
  <si>
    <t>0.4^5</t>
  </si>
  <si>
    <t>(1-0.4)^0</t>
  </si>
  <si>
    <t xml:space="preserve">He has 8% probabilty to have at least 4 sales </t>
  </si>
  <si>
    <t>(4 or 5 )</t>
  </si>
  <si>
    <t>10!</t>
  </si>
  <si>
    <t>10!(10-10)!</t>
  </si>
  <si>
    <t>0.25^10*0.75^0</t>
  </si>
  <si>
    <t>1*0.25^10*1</t>
  </si>
  <si>
    <t>P=0.25^10</t>
  </si>
  <si>
    <t>1 of 4 questions is correct ,3 other answers are wrong.</t>
  </si>
  <si>
    <t>10!(10-10)!*0.75^10*0.25^0</t>
  </si>
  <si>
    <t>P=0.75^10</t>
  </si>
  <si>
    <t>8!</t>
  </si>
  <si>
    <t>(1-0.6)^(8-1)</t>
  </si>
  <si>
    <t>1!(8-1)!</t>
  </si>
  <si>
    <t>0.6^1</t>
  </si>
  <si>
    <t>0.4^7</t>
  </si>
  <si>
    <r>
      <t xml:space="preserve">Related to </t>
    </r>
    <r>
      <rPr>
        <sz val="11"/>
        <color theme="1"/>
        <rFont val="Calibri"/>
        <family val="2"/>
      </rPr>
      <t xml:space="preserve">€1000, we have to convert </t>
    </r>
  </si>
  <si>
    <r>
      <t xml:space="preserve">intercept to </t>
    </r>
    <r>
      <rPr>
        <sz val="11"/>
        <color theme="1"/>
        <rFont val="Calibri"/>
        <family val="2"/>
      </rPr>
      <t>€</t>
    </r>
    <r>
      <rPr>
        <sz val="11"/>
        <color theme="1"/>
        <rFont val="Calibri"/>
        <family val="2"/>
        <scheme val="minor"/>
      </rPr>
      <t>7830</t>
    </r>
  </si>
  <si>
    <r>
      <t>Therefore,y=</t>
    </r>
    <r>
      <rPr>
        <sz val="11"/>
        <color theme="1"/>
        <rFont val="Calibri"/>
        <family val="2"/>
      </rPr>
      <t>€7830+3.87*€1000</t>
    </r>
  </si>
  <si>
    <t>Y=</t>
  </si>
  <si>
    <t>euro</t>
  </si>
  <si>
    <t>Using binominal distribution function</t>
  </si>
  <si>
    <t>1 win</t>
  </si>
  <si>
    <t>2wins</t>
  </si>
  <si>
    <t>3wins</t>
  </si>
  <si>
    <t>4wins</t>
  </si>
  <si>
    <t>5wins</t>
  </si>
  <si>
    <t>6wins</t>
  </si>
  <si>
    <t>7wins</t>
  </si>
  <si>
    <t>8wins</t>
  </si>
  <si>
    <t>total</t>
  </si>
  <si>
    <t>0 wins</t>
  </si>
  <si>
    <t>Using binominal distribution formula</t>
  </si>
  <si>
    <t xml:space="preserve">a) </t>
  </si>
  <si>
    <t xml:space="preserve">Iam using Table of Standard Normal Probabilities for Negative Z score </t>
  </si>
  <si>
    <t>Row for -2.8</t>
  </si>
  <si>
    <t>Column for 0.07</t>
  </si>
  <si>
    <t>I am using Table of Standard Normal Probabilities for Negative Z score ,</t>
  </si>
  <si>
    <t>but we have to 1-area to the left of the Z score</t>
  </si>
  <si>
    <t>row -1.1</t>
  </si>
  <si>
    <t>column for 0.00</t>
  </si>
  <si>
    <t>1-0.1357 is an answer</t>
  </si>
  <si>
    <t>I am using the same table for finding probabilities for each score and substract them to find area in between.</t>
  </si>
  <si>
    <t>raw 1.2</t>
  </si>
  <si>
    <t>column 0.01</t>
  </si>
  <si>
    <t>raw1.4</t>
  </si>
  <si>
    <t>column 0.06</t>
  </si>
  <si>
    <t>Mean =100</t>
  </si>
  <si>
    <t>St.deviation=0.65</t>
  </si>
  <si>
    <t>Z&lt;98</t>
  </si>
  <si>
    <t>Zscore</t>
  </si>
  <si>
    <t>98-100/0.65</t>
  </si>
  <si>
    <t xml:space="preserve">Using Tables for negative </t>
  </si>
  <si>
    <t>Looking for the area left of -3.07692</t>
  </si>
  <si>
    <t>raw is -3.0</t>
  </si>
  <si>
    <t>column 0.07</t>
  </si>
  <si>
    <t>Probability that crate wili be less than 98 kg. is 0.11%</t>
  </si>
  <si>
    <t>Mean=100</t>
  </si>
  <si>
    <t>St.dev=0.65</t>
  </si>
  <si>
    <t>99&lt;Z&lt;101</t>
  </si>
  <si>
    <t>99-100/0.65</t>
  </si>
  <si>
    <t>101-100/0.65</t>
  </si>
  <si>
    <t xml:space="preserve">z score </t>
  </si>
  <si>
    <t>raw -1.5</t>
  </si>
  <si>
    <t>column 0.03</t>
  </si>
  <si>
    <t>raw 1.5</t>
  </si>
  <si>
    <t xml:space="preserve">or </t>
  </si>
  <si>
    <t>Probability that crate will weight between 99kg and 101kg is 87.4%</t>
  </si>
  <si>
    <t>approx.</t>
  </si>
  <si>
    <t xml:space="preserve">This prediction is extrapolation because we are using X value outside our range ,less than minimum . </t>
  </si>
  <si>
    <r>
      <t xml:space="preserve">Our minimum X value is </t>
    </r>
    <r>
      <rPr>
        <sz val="11"/>
        <color theme="1"/>
        <rFont val="Calibri"/>
        <family val="2"/>
      </rPr>
      <t>€8730 ,but we are using our formula to predict the sales for X =€1000 ,under minimum.</t>
    </r>
  </si>
  <si>
    <r>
      <t xml:space="preserve">Interpolation would predict sales for X value between </t>
    </r>
    <r>
      <rPr>
        <sz val="11"/>
        <color theme="1"/>
        <rFont val="Calibri"/>
        <family val="2"/>
      </rPr>
      <t>€8730 and €13990</t>
    </r>
  </si>
  <si>
    <t xml:space="preserve">0.78%is a probability to win 1 time </t>
  </si>
  <si>
    <t>Question 2</t>
  </si>
  <si>
    <t>99.93% is probability to win from 1 to 8 times</t>
  </si>
  <si>
    <t>Slope shows tha if X( advertising) will increase/decrease by 1 unit,</t>
  </si>
  <si>
    <t>the sales (Y) will increase/decrease by 3.87 .</t>
  </si>
  <si>
    <t>student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</si>
</sst>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00000_ ;[Red]\-0.00000000000000000000\ "/>
  </numFmts>
  <fonts count="19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.5"/>
      <color rgb="FF000000"/>
      <name val="Times New Roman"/>
      <family val="1"/>
    </font>
    <font>
      <sz val="7"/>
      <color rgb="FF000000"/>
      <name val="Times New Roman"/>
      <family val="1"/>
    </font>
    <font>
      <sz val="24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Arial"/>
      <family val="2"/>
    </font>
    <font>
      <i/>
      <sz val="13"/>
      <color rgb="FF000000"/>
      <name val="Arial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right" vertical="center"/>
    </xf>
    <xf numFmtId="0" fontId="6" fillId="0" borderId="0" xfId="0" applyFont="1"/>
    <xf numFmtId="0" fontId="1" fillId="0" borderId="0" xfId="0" applyFont="1" applyAlignment="1">
      <alignment horizontal="left" vertical="center" indent="2"/>
    </xf>
    <xf numFmtId="0" fontId="8" fillId="0" borderId="0" xfId="0" applyFont="1"/>
    <xf numFmtId="0" fontId="7" fillId="0" borderId="0" xfId="0" applyFont="1"/>
    <xf numFmtId="0" fontId="0" fillId="2" borderId="0" xfId="0" applyFill="1"/>
    <xf numFmtId="0" fontId="7" fillId="2" borderId="0" xfId="0" applyFont="1" applyFill="1"/>
    <xf numFmtId="0" fontId="9" fillId="2" borderId="2" xfId="0" applyFont="1" applyFill="1" applyBorder="1" applyAlignment="1">
      <alignment horizontal="center"/>
    </xf>
    <xf numFmtId="0" fontId="0" fillId="2" borderId="1" xfId="0" applyFill="1" applyBorder="1"/>
    <xf numFmtId="0" fontId="7" fillId="2" borderId="1" xfId="0" applyFont="1" applyFill="1" applyBorder="1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1" xfId="0" applyBorder="1"/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Continuous"/>
    </xf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1" fillId="0" borderId="0" xfId="0" applyFont="1" applyAlignment="1">
      <alignment horizontal="left" vertical="center" indent="5"/>
    </xf>
    <xf numFmtId="0" fontId="9" fillId="0" borderId="0" xfId="0" applyFont="1"/>
    <xf numFmtId="0" fontId="1" fillId="0" borderId="0" xfId="0" applyFont="1" applyAlignment="1">
      <alignment horizontal="left" vertical="center" indent="3"/>
    </xf>
    <xf numFmtId="10" fontId="0" fillId="3" borderId="0" xfId="0" applyNumberFormat="1" applyFill="1"/>
    <xf numFmtId="12" fontId="0" fillId="0" borderId="0" xfId="0" applyNumberFormat="1"/>
    <xf numFmtId="9" fontId="0" fillId="3" borderId="0" xfId="0" applyNumberFormat="1" applyFill="1"/>
    <xf numFmtId="0" fontId="0" fillId="0" borderId="3" xfId="0" applyBorder="1"/>
    <xf numFmtId="10" fontId="0" fillId="0" borderId="0" xfId="0" applyNumberFormat="1"/>
    <xf numFmtId="9" fontId="0" fillId="0" borderId="0" xfId="1" applyFont="1"/>
    <xf numFmtId="0" fontId="0" fillId="5" borderId="0" xfId="0" applyFill="1"/>
    <xf numFmtId="164" fontId="1" fillId="0" borderId="0" xfId="0" applyNumberFormat="1" applyFont="1" applyAlignment="1">
      <alignment vertical="center"/>
    </xf>
    <xf numFmtId="0" fontId="17" fillId="3" borderId="0" xfId="0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165" fontId="0" fillId="3" borderId="0" xfId="0" applyNumberFormat="1" applyFill="1"/>
    <xf numFmtId="0" fontId="1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Food and drink sales for an 8 month period </a:t>
            </a:r>
          </a:p>
        </c:rich>
      </c:tx>
      <c:layout>
        <c:manualLayout>
          <c:xMode val="edge"/>
          <c:yMode val="edge"/>
          <c:x val="0.119763779527559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Sheet2!$A$6:$A$13</c:f>
              <c:numCache>
                <c:formatCode>General</c:formatCode>
                <c:ptCount val="8"/>
                <c:pt idx="0">
                  <c:v>8.73</c:v>
                </c:pt>
                <c:pt idx="1">
                  <c:v>8.7799999999999994</c:v>
                </c:pt>
                <c:pt idx="2">
                  <c:v>9.25</c:v>
                </c:pt>
                <c:pt idx="3">
                  <c:v>9.5399999999999991</c:v>
                </c:pt>
                <c:pt idx="4">
                  <c:v>10.29</c:v>
                </c:pt>
                <c:pt idx="5">
                  <c:v>11.22</c:v>
                </c:pt>
                <c:pt idx="6">
                  <c:v>12.92</c:v>
                </c:pt>
                <c:pt idx="7">
                  <c:v>13.99</c:v>
                </c:pt>
              </c:numCache>
            </c:numRef>
          </c:xVal>
          <c:yVal>
            <c:numRef>
              <c:f>Sheet2!$B$6:$B$13</c:f>
              <c:numCache>
                <c:formatCode>General</c:formatCode>
                <c:ptCount val="8"/>
                <c:pt idx="0">
                  <c:v>40.284999999999997</c:v>
                </c:pt>
                <c:pt idx="1">
                  <c:v>39.423000000000002</c:v>
                </c:pt>
                <c:pt idx="2">
                  <c:v>47.389000000000003</c:v>
                </c:pt>
                <c:pt idx="3">
                  <c:v>45.707000000000001</c:v>
                </c:pt>
                <c:pt idx="4">
                  <c:v>47.710999999999999</c:v>
                </c:pt>
                <c:pt idx="5">
                  <c:v>52.5</c:v>
                </c:pt>
                <c:pt idx="6">
                  <c:v>53.726999999999997</c:v>
                </c:pt>
                <c:pt idx="7">
                  <c:v>64.388999999999996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6-4AED-A693-D0849A33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75632"/>
        <c:axId val="559078512"/>
      </c:scatterChart>
      <c:valAx>
        <c:axId val="55907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Advertising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78512"/>
        <c:crosses val="autoZero"/>
        <c:crossBetween val="midCat"/>
      </c:valAx>
      <c:valAx>
        <c:axId val="5590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7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59667541557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Sheet3!$A$6:$A$13</c:f>
              <c:numCache>
                <c:formatCode>General</c:formatCode>
                <c:ptCount val="8"/>
                <c:pt idx="0">
                  <c:v>8.73</c:v>
                </c:pt>
                <c:pt idx="1">
                  <c:v>8.7799999999999994</c:v>
                </c:pt>
                <c:pt idx="2">
                  <c:v>9.25</c:v>
                </c:pt>
                <c:pt idx="3">
                  <c:v>9.5399999999999991</c:v>
                </c:pt>
                <c:pt idx="4">
                  <c:v>10.29</c:v>
                </c:pt>
                <c:pt idx="5">
                  <c:v>11.22</c:v>
                </c:pt>
                <c:pt idx="6">
                  <c:v>12.92</c:v>
                </c:pt>
                <c:pt idx="7">
                  <c:v>13.99</c:v>
                </c:pt>
              </c:numCache>
            </c:numRef>
          </c:xVal>
          <c:yVal>
            <c:numRef>
              <c:f>Sheet3!$B$6:$B$13</c:f>
              <c:numCache>
                <c:formatCode>General</c:formatCode>
                <c:ptCount val="8"/>
                <c:pt idx="0">
                  <c:v>40.284999999999997</c:v>
                </c:pt>
                <c:pt idx="1">
                  <c:v>39.423000000000002</c:v>
                </c:pt>
                <c:pt idx="2">
                  <c:v>47.389000000000003</c:v>
                </c:pt>
                <c:pt idx="3">
                  <c:v>45.707000000000001</c:v>
                </c:pt>
                <c:pt idx="4">
                  <c:v>47.710999999999999</c:v>
                </c:pt>
                <c:pt idx="5">
                  <c:v>52.5</c:v>
                </c:pt>
                <c:pt idx="6">
                  <c:v>53.726999999999997</c:v>
                </c:pt>
                <c:pt idx="7">
                  <c:v>64.388999999999996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8-43D1-A782-D3C75664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12736"/>
        <c:axId val="572513096"/>
      </c:scatterChart>
      <c:valAx>
        <c:axId val="57251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13096"/>
        <c:crosses val="autoZero"/>
        <c:crossBetween val="midCat"/>
      </c:valAx>
      <c:valAx>
        <c:axId val="5725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1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174625</xdr:colOff>
      <xdr:row>6</xdr:row>
      <xdr:rowOff>57150</xdr:rowOff>
    </xdr:from>
    <xdr:to>
      <xdr:col>12</xdr:col>
      <xdr:colOff>479425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B05701-8D9E-E1E0-11A1-25ACDB8D2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422275</xdr:colOff>
      <xdr:row>6</xdr:row>
      <xdr:rowOff>158750</xdr:rowOff>
    </xdr:from>
    <xdr:to>
      <xdr:col>13</xdr:col>
      <xdr:colOff>117475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85CD6-B909-0924-F191-6166FB53B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CE3A-5EE3-4151-AE42-6C45E758F26B}">
  <dimension ref="G6:L12"/>
  <sheetViews>
    <sheetView workbookViewId="0">
      <selection activeCell="H12" sqref="H12:K12"/>
    </sheetView>
  </sheetViews>
  <sheetFormatPr defaultRowHeight="15" x14ac:dyDescent="0.25"/>
  <sheetData>
    <row r="6" spans="7:12" ht="26.25" x14ac:dyDescent="0.4">
      <c r="G6" s="42"/>
      <c r="H6" s="44"/>
      <c r="I6" s="44"/>
      <c r="J6" s="44"/>
      <c r="K6" s="44"/>
    </row>
    <row r="7" spans="7:12" ht="26.25" x14ac:dyDescent="0.4">
      <c r="G7" s="44"/>
      <c r="H7" s="44"/>
      <c r="I7" s="44"/>
      <c r="J7" s="44"/>
      <c r="K7" s="42"/>
    </row>
    <row r="8" spans="7:12" ht="26.25" x14ac:dyDescent="0.4">
      <c r="G8" s="42"/>
      <c r="H8" s="44"/>
      <c r="I8" s="44"/>
      <c r="J8" s="44"/>
      <c r="K8" s="44"/>
    </row>
    <row r="9" spans="7:12" ht="26.25" x14ac:dyDescent="0.4">
      <c r="G9" s="42"/>
      <c r="H9" s="44"/>
      <c r="I9" s="44"/>
      <c r="J9" s="44"/>
      <c r="K9" s="42"/>
    </row>
    <row r="10" spans="7:12" ht="26.25" x14ac:dyDescent="0.4">
      <c r="G10" s="42"/>
      <c r="H10" s="44" t="s">
        <v>1</v>
      </c>
      <c r="I10" s="44"/>
      <c r="J10" s="44"/>
      <c r="K10" s="44"/>
      <c r="L10" t="s">
        <v>244</v>
      </c>
    </row>
    <row r="11" spans="7:12" ht="26.25" x14ac:dyDescent="0.4">
      <c r="G11" s="42"/>
      <c r="H11" s="42"/>
      <c r="I11" s="42"/>
      <c r="J11" s="42"/>
      <c r="K11" s="42"/>
    </row>
    <row r="12" spans="7:12" ht="26.25" x14ac:dyDescent="0.4">
      <c r="G12" s="42"/>
      <c r="H12" s="44" t="s">
        <v>105</v>
      </c>
      <c r="I12" s="44"/>
      <c r="J12" s="44"/>
      <c r="K12" s="44"/>
    </row>
  </sheetData>
  <mergeCells count="6">
    <mergeCell ref="H12:K12"/>
    <mergeCell ref="H9:J9"/>
    <mergeCell ref="G7:J7"/>
    <mergeCell ref="H6:K6"/>
    <mergeCell ref="H8:K8"/>
    <mergeCell ref="H10:K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6BEC-C9BA-4E6C-8D7F-28559D95466B}">
  <dimension ref="A1:P26"/>
  <sheetViews>
    <sheetView topLeftCell="A7" workbookViewId="0">
      <selection activeCell="J29" sqref="J29"/>
    </sheetView>
  </sheetViews>
  <sheetFormatPr defaultRowHeight="15" x14ac:dyDescent="0.25"/>
  <sheetData>
    <row r="1" spans="1:8" ht="26.25" x14ac:dyDescent="0.4">
      <c r="A1" t="s">
        <v>110</v>
      </c>
    </row>
    <row r="2" spans="1:8" ht="15.75" x14ac:dyDescent="0.25">
      <c r="A2" s="5" t="s">
        <v>106</v>
      </c>
    </row>
    <row r="3" spans="1:8" ht="15.75" x14ac:dyDescent="0.25">
      <c r="A3" s="5" t="s">
        <v>107</v>
      </c>
    </row>
    <row r="5" spans="1:8" ht="15.75" x14ac:dyDescent="0.25">
      <c r="A5" s="29" t="s">
        <v>108</v>
      </c>
    </row>
    <row r="6" spans="1:8" ht="15.75" x14ac:dyDescent="0.25">
      <c r="A6" s="29" t="s">
        <v>109</v>
      </c>
    </row>
    <row r="8" spans="1:8" x14ac:dyDescent="0.25">
      <c r="A8" t="s">
        <v>147</v>
      </c>
      <c r="B8" t="s">
        <v>146</v>
      </c>
    </row>
    <row r="10" spans="1:8" ht="15.75" thickBot="1" x14ac:dyDescent="0.3">
      <c r="B10" t="s">
        <v>148</v>
      </c>
      <c r="C10">
        <v>5</v>
      </c>
      <c r="E10" s="23" t="s">
        <v>150</v>
      </c>
    </row>
    <row r="11" spans="1:8" x14ac:dyDescent="0.25">
      <c r="B11" t="s">
        <v>149</v>
      </c>
      <c r="C11">
        <v>3</v>
      </c>
      <c r="E11" t="s">
        <v>151</v>
      </c>
      <c r="F11" t="s">
        <v>152</v>
      </c>
      <c r="G11" t="s">
        <v>153</v>
      </c>
      <c r="H11" t="s">
        <v>154</v>
      </c>
    </row>
    <row r="12" spans="1:8" x14ac:dyDescent="0.25">
      <c r="B12" t="s">
        <v>142</v>
      </c>
      <c r="C12">
        <v>0.4</v>
      </c>
    </row>
    <row r="14" spans="1:8" ht="15.75" thickBot="1" x14ac:dyDescent="0.3">
      <c r="E14" s="23" t="s">
        <v>155</v>
      </c>
    </row>
    <row r="15" spans="1:8" x14ac:dyDescent="0.25">
      <c r="E15" t="s">
        <v>156</v>
      </c>
      <c r="F15" t="s">
        <v>152</v>
      </c>
      <c r="G15" t="s">
        <v>157</v>
      </c>
      <c r="H15" t="s">
        <v>158</v>
      </c>
    </row>
    <row r="17" spans="1:16" x14ac:dyDescent="0.25">
      <c r="E17" s="26" t="s">
        <v>159</v>
      </c>
      <c r="F17" s="26">
        <f>10*0.4^3*0.6^2</f>
        <v>0.23040000000000005</v>
      </c>
      <c r="G17" s="26" t="s">
        <v>101</v>
      </c>
      <c r="H17" s="34">
        <v>0.23</v>
      </c>
    </row>
    <row r="18" spans="1:16" x14ac:dyDescent="0.25">
      <c r="A18" t="s">
        <v>122</v>
      </c>
    </row>
    <row r="19" spans="1:16" x14ac:dyDescent="0.25">
      <c r="B19" t="s">
        <v>160</v>
      </c>
      <c r="K19" t="s">
        <v>164</v>
      </c>
    </row>
    <row r="20" spans="1:16" x14ac:dyDescent="0.25">
      <c r="B20" t="s">
        <v>148</v>
      </c>
      <c r="C20">
        <v>5</v>
      </c>
    </row>
    <row r="21" spans="1:16" x14ac:dyDescent="0.25">
      <c r="B21" t="s">
        <v>149</v>
      </c>
      <c r="C21">
        <v>4</v>
      </c>
      <c r="E21" s="35" t="s">
        <v>155</v>
      </c>
      <c r="L21" s="35" t="s">
        <v>155</v>
      </c>
    </row>
    <row r="22" spans="1:16" x14ac:dyDescent="0.25">
      <c r="B22" t="s">
        <v>142</v>
      </c>
      <c r="C22">
        <v>0.4</v>
      </c>
      <c r="E22" t="s">
        <v>161</v>
      </c>
      <c r="F22" t="s">
        <v>152</v>
      </c>
      <c r="G22" t="s">
        <v>162</v>
      </c>
      <c r="H22" t="s">
        <v>163</v>
      </c>
      <c r="L22" t="s">
        <v>165</v>
      </c>
      <c r="M22" t="s">
        <v>152</v>
      </c>
      <c r="N22" t="s">
        <v>166</v>
      </c>
      <c r="O22" t="s">
        <v>167</v>
      </c>
    </row>
    <row r="24" spans="1:16" x14ac:dyDescent="0.25">
      <c r="E24" s="26" t="s">
        <v>159</v>
      </c>
      <c r="F24" s="26">
        <f>5*0.4^4*0.6</f>
        <v>7.6800000000000035E-2</v>
      </c>
      <c r="G24" s="26" t="s">
        <v>101</v>
      </c>
      <c r="H24" s="34">
        <v>7.0000000000000007E-2</v>
      </c>
      <c r="L24" s="26" t="s">
        <v>159</v>
      </c>
      <c r="M24" s="26">
        <f>1*0.4^5</f>
        <v>1.0240000000000006E-2</v>
      </c>
      <c r="N24" s="26" t="s">
        <v>101</v>
      </c>
      <c r="O24" s="34">
        <v>0.01</v>
      </c>
    </row>
    <row r="26" spans="1:16" x14ac:dyDescent="0.25">
      <c r="J26" s="26" t="s">
        <v>168</v>
      </c>
      <c r="K26" s="26"/>
      <c r="L26" s="26"/>
      <c r="M26" s="26"/>
      <c r="N26" s="26"/>
      <c r="O26" s="26" t="s">
        <v>169</v>
      </c>
      <c r="P26" s="26" t="s">
        <v>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0FDB-0D35-49E1-9E6C-84F5577A573E}">
  <dimension ref="A1:M26"/>
  <sheetViews>
    <sheetView topLeftCell="A13" workbookViewId="0">
      <selection activeCell="J14" sqref="J14"/>
    </sheetView>
  </sheetViews>
  <sheetFormatPr defaultRowHeight="15" x14ac:dyDescent="0.25"/>
  <cols>
    <col min="8" max="8" width="11.85546875" bestFit="1" customWidth="1"/>
    <col min="10" max="10" width="23.140625" bestFit="1" customWidth="1"/>
    <col min="11" max="13" width="11.85546875" bestFit="1" customWidth="1"/>
  </cols>
  <sheetData>
    <row r="1" spans="1:13" ht="26.25" x14ac:dyDescent="0.4">
      <c r="A1" s="11" t="s">
        <v>112</v>
      </c>
    </row>
    <row r="2" spans="1:13" ht="15.75" x14ac:dyDescent="0.25">
      <c r="A2" s="29" t="s">
        <v>111</v>
      </c>
    </row>
    <row r="3" spans="1:13" ht="15.75" x14ac:dyDescent="0.25">
      <c r="B3" s="29" t="s">
        <v>113</v>
      </c>
    </row>
    <row r="5" spans="1:13" ht="15.75" x14ac:dyDescent="0.25">
      <c r="B5" s="29" t="s">
        <v>114</v>
      </c>
    </row>
    <row r="6" spans="1:13" ht="15.75" x14ac:dyDescent="0.25">
      <c r="B6" s="29" t="s">
        <v>115</v>
      </c>
    </row>
    <row r="8" spans="1:13" ht="15.75" x14ac:dyDescent="0.25">
      <c r="B8" s="29" t="s">
        <v>134</v>
      </c>
    </row>
    <row r="9" spans="1:13" x14ac:dyDescent="0.25">
      <c r="C9" t="s">
        <v>135</v>
      </c>
    </row>
    <row r="10" spans="1:13" x14ac:dyDescent="0.25">
      <c r="C10" t="s">
        <v>138</v>
      </c>
      <c r="M10" t="s">
        <v>199</v>
      </c>
    </row>
    <row r="11" spans="1:13" ht="15.75" thickBot="1" x14ac:dyDescent="0.3">
      <c r="C11" t="s">
        <v>136</v>
      </c>
      <c r="D11" t="s">
        <v>137</v>
      </c>
      <c r="H11" s="23" t="s">
        <v>150</v>
      </c>
      <c r="M11" s="26">
        <f>_xlfn.BINOM.DIST(10,10,0.25,FALSE)</f>
        <v>9.5367431640625E-7</v>
      </c>
    </row>
    <row r="12" spans="1:13" x14ac:dyDescent="0.25">
      <c r="H12" t="s">
        <v>151</v>
      </c>
      <c r="I12" t="s">
        <v>152</v>
      </c>
      <c r="J12" t="s">
        <v>153</v>
      </c>
      <c r="K12" t="s">
        <v>154</v>
      </c>
    </row>
    <row r="14" spans="1:13" x14ac:dyDescent="0.25">
      <c r="H14" t="s">
        <v>170</v>
      </c>
      <c r="J14" s="33"/>
    </row>
    <row r="15" spans="1:13" x14ac:dyDescent="0.25">
      <c r="H15" t="s">
        <v>171</v>
      </c>
      <c r="I15" t="s">
        <v>152</v>
      </c>
      <c r="J15" t="s">
        <v>172</v>
      </c>
    </row>
    <row r="17" spans="2:11" x14ac:dyDescent="0.25">
      <c r="H17" t="s">
        <v>159</v>
      </c>
      <c r="I17" t="s">
        <v>173</v>
      </c>
      <c r="J17" s="36"/>
      <c r="K17" s="37"/>
    </row>
    <row r="18" spans="2:11" x14ac:dyDescent="0.25">
      <c r="H18" s="26" t="s">
        <v>174</v>
      </c>
      <c r="J18" s="43">
        <v>9.5367399999999999E-7</v>
      </c>
    </row>
    <row r="21" spans="2:11" x14ac:dyDescent="0.25">
      <c r="B21" t="s">
        <v>122</v>
      </c>
      <c r="C21" t="s">
        <v>139</v>
      </c>
    </row>
    <row r="22" spans="2:11" x14ac:dyDescent="0.25">
      <c r="C22" t="s">
        <v>141</v>
      </c>
      <c r="I22" t="s">
        <v>170</v>
      </c>
    </row>
    <row r="23" spans="2:11" x14ac:dyDescent="0.25">
      <c r="C23" t="s">
        <v>140</v>
      </c>
      <c r="I23" t="s">
        <v>176</v>
      </c>
    </row>
    <row r="24" spans="2:11" x14ac:dyDescent="0.25">
      <c r="C24" t="s">
        <v>175</v>
      </c>
    </row>
    <row r="26" spans="2:11" x14ac:dyDescent="0.25">
      <c r="H26" s="26" t="s">
        <v>177</v>
      </c>
      <c r="I26" s="26">
        <f>0.75^10</f>
        <v>5.6313514709472656E-2</v>
      </c>
      <c r="J26" s="26" t="s">
        <v>101</v>
      </c>
      <c r="K26" s="32">
        <v>5.6300000000000003E-2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46D0-5983-40E9-A6E3-32D5B749A1AB}">
  <dimension ref="A2:P16"/>
  <sheetViews>
    <sheetView workbookViewId="0">
      <selection activeCell="D14" sqref="D14"/>
    </sheetView>
  </sheetViews>
  <sheetFormatPr defaultRowHeight="15" x14ac:dyDescent="0.25"/>
  <cols>
    <col min="8" max="8" width="11.85546875" bestFit="1" customWidth="1"/>
    <col min="11" max="11" width="11.85546875" bestFit="1" customWidth="1"/>
    <col min="12" max="12" width="16.85546875" customWidth="1"/>
    <col min="13" max="13" width="12.7109375" customWidth="1"/>
  </cols>
  <sheetData>
    <row r="2" spans="1:16" ht="26.25" x14ac:dyDescent="0.4">
      <c r="A2" s="11" t="s">
        <v>19</v>
      </c>
    </row>
    <row r="3" spans="1:16" hidden="1" x14ac:dyDescent="0.25">
      <c r="A3" s="30"/>
    </row>
    <row r="4" spans="1:16" ht="15.75" x14ac:dyDescent="0.25">
      <c r="A4" s="5" t="s">
        <v>116</v>
      </c>
    </row>
    <row r="5" spans="1:16" ht="16.5" thickBot="1" x14ac:dyDescent="0.3">
      <c r="A5" s="29" t="s">
        <v>117</v>
      </c>
      <c r="H5" s="23" t="s">
        <v>150</v>
      </c>
      <c r="N5" t="s">
        <v>188</v>
      </c>
    </row>
    <row r="6" spans="1:16" ht="15.75" x14ac:dyDescent="0.25">
      <c r="A6" s="5" t="s">
        <v>118</v>
      </c>
      <c r="H6" t="s">
        <v>151</v>
      </c>
      <c r="I6" t="s">
        <v>152</v>
      </c>
      <c r="J6" t="s">
        <v>153</v>
      </c>
      <c r="K6" t="s">
        <v>154</v>
      </c>
      <c r="N6" s="38">
        <f>_xlfn.BINOM.DIST(1,8,0.6,FALSE)</f>
        <v>7.8643199999999993E-3</v>
      </c>
      <c r="P6" t="s">
        <v>189</v>
      </c>
    </row>
    <row r="7" spans="1:16" ht="15.75" x14ac:dyDescent="0.25">
      <c r="A7" s="5" t="s">
        <v>119</v>
      </c>
      <c r="N7" s="38">
        <f>_xlfn.BINOM.DIST(2,8,0.6,FALSE)</f>
        <v>4.1287680000000021E-2</v>
      </c>
      <c r="P7" t="s">
        <v>190</v>
      </c>
    </row>
    <row r="8" spans="1:16" x14ac:dyDescent="0.25">
      <c r="H8" t="s">
        <v>178</v>
      </c>
      <c r="N8" s="38">
        <f>_xlfn.BINOM.DIST(3,8,0.6,FALSE)</f>
        <v>0.12386303999999998</v>
      </c>
      <c r="P8" t="s">
        <v>191</v>
      </c>
    </row>
    <row r="9" spans="1:16" x14ac:dyDescent="0.25">
      <c r="H9" t="s">
        <v>180</v>
      </c>
      <c r="I9" t="s">
        <v>152</v>
      </c>
      <c r="J9" t="s">
        <v>181</v>
      </c>
      <c r="K9" t="s">
        <v>179</v>
      </c>
      <c r="N9" s="38">
        <f>_xlfn.BINOM.DIST(4,8,0.6,FALSE)</f>
        <v>0.23224320000000001</v>
      </c>
      <c r="P9" t="s">
        <v>192</v>
      </c>
    </row>
    <row r="10" spans="1:16" x14ac:dyDescent="0.25">
      <c r="C10" t="s">
        <v>143</v>
      </c>
      <c r="N10" s="38">
        <f>_xlfn.BINOM.DIST(5,8,0.6,FALSE)</f>
        <v>0.27869184000000002</v>
      </c>
      <c r="P10" t="s">
        <v>193</v>
      </c>
    </row>
    <row r="11" spans="1:16" x14ac:dyDescent="0.25">
      <c r="C11" t="s">
        <v>144</v>
      </c>
      <c r="H11">
        <v>8</v>
      </c>
      <c r="I11" t="s">
        <v>152</v>
      </c>
      <c r="J11">
        <v>0.6</v>
      </c>
      <c r="K11" t="s">
        <v>182</v>
      </c>
      <c r="M11" s="36"/>
      <c r="N11" s="38">
        <f>_xlfn.BINOM.DIST(6,8,0.6,FALSE)</f>
        <v>0.20901887999999993</v>
      </c>
      <c r="P11" t="s">
        <v>194</v>
      </c>
    </row>
    <row r="12" spans="1:16" x14ac:dyDescent="0.25">
      <c r="C12" t="s">
        <v>145</v>
      </c>
      <c r="H12" t="s">
        <v>159</v>
      </c>
      <c r="I12">
        <f>0.4^7</f>
        <v>1.6384000000000012E-3</v>
      </c>
      <c r="J12" t="s">
        <v>152</v>
      </c>
      <c r="K12">
        <f>8*0.6</f>
        <v>4.8</v>
      </c>
      <c r="L12" s="38">
        <f>I12*K12</f>
        <v>7.8643200000000062E-3</v>
      </c>
      <c r="N12" s="38">
        <f>_xlfn.BINOM.DIST(7,8,0.6,FALSE)</f>
        <v>8.9579520000000037E-2</v>
      </c>
      <c r="P12" t="s">
        <v>195</v>
      </c>
    </row>
    <row r="13" spans="1:16" x14ac:dyDescent="0.25">
      <c r="N13" s="38">
        <f>_xlfn.BINOM.DIST(8,8,0.6,FALSE)</f>
        <v>1.6796159999999994E-2</v>
      </c>
      <c r="P13" t="s">
        <v>196</v>
      </c>
    </row>
    <row r="14" spans="1:16" x14ac:dyDescent="0.25">
      <c r="E14" s="38" t="s">
        <v>239</v>
      </c>
      <c r="F14" s="38"/>
      <c r="G14" s="38"/>
      <c r="H14" s="38"/>
      <c r="N14" s="13">
        <f>SUM(N6:N13)</f>
        <v>0.9993446399999999</v>
      </c>
      <c r="O14" s="13"/>
      <c r="P14" s="13" t="s">
        <v>197</v>
      </c>
    </row>
    <row r="15" spans="1:16" x14ac:dyDescent="0.25">
      <c r="E15" s="38"/>
      <c r="F15" s="38"/>
      <c r="G15" s="38"/>
      <c r="H15" s="38"/>
      <c r="N15" s="13">
        <f>_xlfn.BINOM.DIST(0,8,0.6,FALSE)</f>
        <v>6.5536000000000034E-4</v>
      </c>
      <c r="O15" s="13"/>
      <c r="P15" s="13" t="s">
        <v>198</v>
      </c>
    </row>
    <row r="16" spans="1:16" x14ac:dyDescent="0.25">
      <c r="E16" s="26" t="s">
        <v>241</v>
      </c>
      <c r="F16" s="26"/>
      <c r="G16" s="26"/>
      <c r="H16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B998-9C06-4649-9507-E6730F725273}">
  <dimension ref="A1:K19"/>
  <sheetViews>
    <sheetView workbookViewId="0">
      <selection activeCell="K22" sqref="K22"/>
    </sheetView>
  </sheetViews>
  <sheetFormatPr defaultRowHeight="15" x14ac:dyDescent="0.25"/>
  <cols>
    <col min="11" max="11" width="36.5703125" customWidth="1"/>
  </cols>
  <sheetData>
    <row r="1" spans="1:11" ht="26.25" x14ac:dyDescent="0.4">
      <c r="A1" s="11" t="s">
        <v>41</v>
      </c>
    </row>
    <row r="2" spans="1:11" ht="15.75" x14ac:dyDescent="0.25">
      <c r="A2" s="29" t="s">
        <v>120</v>
      </c>
    </row>
    <row r="3" spans="1:11" x14ac:dyDescent="0.25">
      <c r="H3" t="s">
        <v>201</v>
      </c>
    </row>
    <row r="4" spans="1:11" ht="15.75" x14ac:dyDescent="0.25">
      <c r="B4" s="31" t="s">
        <v>121</v>
      </c>
      <c r="H4" s="38" t="s">
        <v>200</v>
      </c>
      <c r="I4" t="s">
        <v>202</v>
      </c>
      <c r="K4" s="40">
        <v>2.0999999999999999E-3</v>
      </c>
    </row>
    <row r="5" spans="1:11" ht="15.75" x14ac:dyDescent="0.25">
      <c r="B5" s="31" t="s">
        <v>122</v>
      </c>
      <c r="C5" s="31" t="s">
        <v>124</v>
      </c>
      <c r="H5" s="38"/>
      <c r="I5" t="s">
        <v>203</v>
      </c>
    </row>
    <row r="6" spans="1:11" ht="15.75" x14ac:dyDescent="0.25">
      <c r="B6" s="31" t="s">
        <v>123</v>
      </c>
      <c r="C6" s="31" t="s">
        <v>125</v>
      </c>
    </row>
    <row r="7" spans="1:11" x14ac:dyDescent="0.25">
      <c r="H7" t="s">
        <v>122</v>
      </c>
      <c r="I7" t="s">
        <v>204</v>
      </c>
    </row>
    <row r="8" spans="1:11" x14ac:dyDescent="0.25">
      <c r="I8" t="s">
        <v>205</v>
      </c>
    </row>
    <row r="9" spans="1:11" x14ac:dyDescent="0.25">
      <c r="I9" t="s">
        <v>206</v>
      </c>
      <c r="K9">
        <v>0.13569999999999999</v>
      </c>
    </row>
    <row r="10" spans="1:11" x14ac:dyDescent="0.25">
      <c r="I10" t="s">
        <v>207</v>
      </c>
    </row>
    <row r="11" spans="1:11" x14ac:dyDescent="0.25">
      <c r="K11" t="s">
        <v>208</v>
      </c>
    </row>
    <row r="12" spans="1:11" x14ac:dyDescent="0.25">
      <c r="K12" s="40">
        <f>1-K9</f>
        <v>0.86430000000000007</v>
      </c>
    </row>
    <row r="13" spans="1:11" x14ac:dyDescent="0.25">
      <c r="H13" t="s">
        <v>123</v>
      </c>
      <c r="I13" t="s">
        <v>209</v>
      </c>
    </row>
    <row r="14" spans="1:11" x14ac:dyDescent="0.25">
      <c r="I14" t="s">
        <v>210</v>
      </c>
      <c r="K14">
        <v>0.88690000000000002</v>
      </c>
    </row>
    <row r="15" spans="1:11" x14ac:dyDescent="0.25">
      <c r="I15" t="s">
        <v>211</v>
      </c>
    </row>
    <row r="17" spans="9:11" x14ac:dyDescent="0.25">
      <c r="I17" t="s">
        <v>212</v>
      </c>
      <c r="K17">
        <v>0.92789999999999995</v>
      </c>
    </row>
    <row r="18" spans="9:11" x14ac:dyDescent="0.25">
      <c r="I18" t="s">
        <v>213</v>
      </c>
    </row>
    <row r="19" spans="9:11" x14ac:dyDescent="0.25">
      <c r="K19" s="40">
        <f>K17-K14</f>
        <v>4.0999999999999925E-2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DB67-EF0E-4368-AE3F-019122F18984}">
  <dimension ref="A2:Q24"/>
  <sheetViews>
    <sheetView tabSelected="1" topLeftCell="A5" workbookViewId="0">
      <selection activeCell="G21" sqref="G21"/>
    </sheetView>
  </sheetViews>
  <sheetFormatPr defaultRowHeight="15" x14ac:dyDescent="0.25"/>
  <sheetData>
    <row r="2" spans="1:17" ht="26.25" x14ac:dyDescent="0.4">
      <c r="B2" s="11" t="s">
        <v>80</v>
      </c>
    </row>
    <row r="3" spans="1:17" ht="15.75" x14ac:dyDescent="0.25">
      <c r="A3" s="5" t="s">
        <v>126</v>
      </c>
      <c r="I3" t="s">
        <v>147</v>
      </c>
      <c r="M3" t="s">
        <v>219</v>
      </c>
    </row>
    <row r="4" spans="1:17" ht="15.75" x14ac:dyDescent="0.25">
      <c r="A4" s="29" t="s">
        <v>127</v>
      </c>
      <c r="I4" t="s">
        <v>214</v>
      </c>
      <c r="K4" t="s">
        <v>218</v>
      </c>
      <c r="M4">
        <f>(98-100)/0.65</f>
        <v>-3.0769230769230766</v>
      </c>
      <c r="N4" t="s">
        <v>217</v>
      </c>
    </row>
    <row r="5" spans="1:17" ht="15.75" x14ac:dyDescent="0.25">
      <c r="A5" s="5" t="s">
        <v>128</v>
      </c>
      <c r="I5" t="s">
        <v>215</v>
      </c>
      <c r="M5" t="s">
        <v>220</v>
      </c>
    </row>
    <row r="6" spans="1:17" ht="15.75" x14ac:dyDescent="0.25">
      <c r="A6" s="5" t="s">
        <v>129</v>
      </c>
      <c r="I6" t="s">
        <v>216</v>
      </c>
      <c r="M6" t="s">
        <v>221</v>
      </c>
      <c r="O6" s="26">
        <v>1.1000000000000001E-3</v>
      </c>
      <c r="P6" t="s">
        <v>101</v>
      </c>
      <c r="Q6" s="32">
        <v>1.1000000000000001E-3</v>
      </c>
    </row>
    <row r="7" spans="1:17" ht="15.75" x14ac:dyDescent="0.25">
      <c r="A7" s="3" t="s">
        <v>130</v>
      </c>
      <c r="M7" t="s">
        <v>222</v>
      </c>
    </row>
    <row r="8" spans="1:17" ht="15.75" x14ac:dyDescent="0.25">
      <c r="A8" s="29" t="s">
        <v>131</v>
      </c>
      <c r="K8" t="s">
        <v>223</v>
      </c>
    </row>
    <row r="10" spans="1:17" ht="15.75" x14ac:dyDescent="0.25">
      <c r="A10" s="29" t="s">
        <v>132</v>
      </c>
      <c r="Q10" s="38"/>
    </row>
    <row r="12" spans="1:17" ht="15.75" x14ac:dyDescent="0.25">
      <c r="A12" s="29" t="s">
        <v>133</v>
      </c>
      <c r="I12" t="s">
        <v>122</v>
      </c>
    </row>
    <row r="13" spans="1:17" x14ac:dyDescent="0.25">
      <c r="I13" t="s">
        <v>224</v>
      </c>
      <c r="K13" t="s">
        <v>227</v>
      </c>
      <c r="M13">
        <f>(99-100)/0.65</f>
        <v>-1.5384615384615383</v>
      </c>
      <c r="N13" t="s">
        <v>229</v>
      </c>
      <c r="O13" t="s">
        <v>230</v>
      </c>
    </row>
    <row r="14" spans="1:17" x14ac:dyDescent="0.25">
      <c r="I14" t="s">
        <v>225</v>
      </c>
      <c r="O14" t="s">
        <v>231</v>
      </c>
    </row>
    <row r="15" spans="1:17" x14ac:dyDescent="0.25">
      <c r="I15" t="s">
        <v>226</v>
      </c>
      <c r="O15" s="38">
        <v>6.3E-2</v>
      </c>
    </row>
    <row r="18" spans="11:15" x14ac:dyDescent="0.25">
      <c r="K18" t="s">
        <v>228</v>
      </c>
      <c r="M18">
        <f>(101-100)/0.65</f>
        <v>1.5384615384615383</v>
      </c>
      <c r="O18" t="s">
        <v>232</v>
      </c>
    </row>
    <row r="19" spans="11:15" x14ac:dyDescent="0.25">
      <c r="O19" t="s">
        <v>231</v>
      </c>
    </row>
    <row r="20" spans="11:15" x14ac:dyDescent="0.25">
      <c r="O20" s="38">
        <v>0.93700000000000006</v>
      </c>
    </row>
    <row r="22" spans="11:15" x14ac:dyDescent="0.25">
      <c r="K22" t="s">
        <v>159</v>
      </c>
      <c r="L22" s="26">
        <f>O20-O15</f>
        <v>0.87400000000000011</v>
      </c>
      <c r="M22" s="26" t="s">
        <v>233</v>
      </c>
      <c r="N22" s="32">
        <v>0.874</v>
      </c>
    </row>
    <row r="24" spans="11:15" x14ac:dyDescent="0.25">
      <c r="K24" t="s">
        <v>234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02F0-542E-4FBB-ADBB-A4CFCBECAFEC}">
  <dimension ref="A1:Q13"/>
  <sheetViews>
    <sheetView workbookViewId="0">
      <selection activeCell="O8" sqref="O8"/>
    </sheetView>
  </sheetViews>
  <sheetFormatPr defaultRowHeight="15" x14ac:dyDescent="0.25"/>
  <cols>
    <col min="1" max="1" width="12.28515625" customWidth="1"/>
    <col min="2" max="2" width="13.5703125" customWidth="1"/>
  </cols>
  <sheetData>
    <row r="1" spans="1:17" ht="15.75" x14ac:dyDescent="0.25">
      <c r="A1" s="1" t="s">
        <v>2</v>
      </c>
    </row>
    <row r="2" spans="1:17" ht="16.5" x14ac:dyDescent="0.25">
      <c r="A2" s="2" t="s">
        <v>3</v>
      </c>
    </row>
    <row r="3" spans="1:17" ht="31.5" x14ac:dyDescent="0.5">
      <c r="A3" s="8" t="s">
        <v>5</v>
      </c>
      <c r="B3" s="8" t="s">
        <v>4</v>
      </c>
      <c r="E3" s="7" t="s">
        <v>9</v>
      </c>
      <c r="F3" s="46" t="s">
        <v>7</v>
      </c>
      <c r="G3" s="46"/>
      <c r="H3" s="46"/>
      <c r="I3" s="46"/>
      <c r="J3" s="46"/>
      <c r="K3" s="46"/>
      <c r="L3" s="46"/>
      <c r="M3" s="46"/>
      <c r="N3" s="46"/>
    </row>
    <row r="4" spans="1:17" ht="31.5" x14ac:dyDescent="0.5">
      <c r="A4" s="8" t="s">
        <v>10</v>
      </c>
      <c r="B4" s="8" t="s">
        <v>11</v>
      </c>
      <c r="E4" s="7"/>
      <c r="F4" s="6"/>
      <c r="G4" s="6"/>
      <c r="H4" s="6"/>
      <c r="I4" s="6"/>
      <c r="J4" s="6"/>
      <c r="K4" s="6"/>
      <c r="L4" s="6"/>
      <c r="M4" s="6"/>
      <c r="N4" s="6"/>
    </row>
    <row r="5" spans="1:17" ht="15.75" x14ac:dyDescent="0.25">
      <c r="A5" s="8" t="s">
        <v>6</v>
      </c>
      <c r="B5" s="8" t="s">
        <v>6</v>
      </c>
      <c r="D5" s="4"/>
      <c r="E5" s="4"/>
      <c r="F5" s="45" t="s">
        <v>8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ht="15.75" x14ac:dyDescent="0.25">
      <c r="A6" s="3">
        <v>8.73</v>
      </c>
      <c r="B6" s="3">
        <v>40.284999999999997</v>
      </c>
    </row>
    <row r="7" spans="1:17" ht="15.75" x14ac:dyDescent="0.25">
      <c r="A7" s="3">
        <v>8.7799999999999994</v>
      </c>
      <c r="B7" s="3">
        <v>39.423000000000002</v>
      </c>
    </row>
    <row r="8" spans="1:17" ht="15.75" x14ac:dyDescent="0.25">
      <c r="A8" s="3">
        <v>9.25</v>
      </c>
      <c r="B8" s="3">
        <v>47.389000000000003</v>
      </c>
    </row>
    <row r="9" spans="1:17" ht="15.75" x14ac:dyDescent="0.25">
      <c r="A9" s="3">
        <v>9.5399999999999991</v>
      </c>
      <c r="B9" s="3">
        <v>45.707000000000001</v>
      </c>
    </row>
    <row r="10" spans="1:17" ht="15.75" x14ac:dyDescent="0.25">
      <c r="A10" s="3">
        <v>10.29</v>
      </c>
      <c r="B10" s="3">
        <v>47.710999999999999</v>
      </c>
    </row>
    <row r="11" spans="1:17" ht="15.75" x14ac:dyDescent="0.25">
      <c r="A11" s="3">
        <v>11.22</v>
      </c>
      <c r="B11" s="3">
        <v>52.5</v>
      </c>
    </row>
    <row r="12" spans="1:17" ht="15.75" x14ac:dyDescent="0.25">
      <c r="A12" s="3">
        <v>12.92</v>
      </c>
      <c r="B12" s="3">
        <v>53.726999999999997</v>
      </c>
    </row>
    <row r="13" spans="1:17" ht="15.75" x14ac:dyDescent="0.25">
      <c r="A13" s="3">
        <v>13.99</v>
      </c>
      <c r="B13" s="3">
        <v>64.388999999999996</v>
      </c>
    </row>
  </sheetData>
  <mergeCells count="2">
    <mergeCell ref="F5:Q5"/>
    <mergeCell ref="F3:N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FA68-1D65-49C7-BA59-08223A9450E3}">
  <dimension ref="A1:J26"/>
  <sheetViews>
    <sheetView topLeftCell="A18" workbookViewId="0">
      <selection activeCell="I28" sqref="I28"/>
    </sheetView>
  </sheetViews>
  <sheetFormatPr defaultRowHeight="15" x14ac:dyDescent="0.25"/>
  <cols>
    <col min="1" max="1" width="12.28515625" customWidth="1"/>
    <col min="2" max="2" width="11.140625" customWidth="1"/>
    <col min="4" max="4" width="29.42578125" customWidth="1"/>
    <col min="6" max="6" width="14.7109375" customWidth="1"/>
  </cols>
  <sheetData>
    <row r="1" spans="1:10" ht="15.75" x14ac:dyDescent="0.25">
      <c r="A1" s="1" t="s">
        <v>2</v>
      </c>
    </row>
    <row r="3" spans="1:10" ht="28.5" x14ac:dyDescent="0.45">
      <c r="A3" s="8" t="s">
        <v>5</v>
      </c>
      <c r="B3" s="8" t="s">
        <v>4</v>
      </c>
      <c r="F3" s="9" t="s">
        <v>12</v>
      </c>
      <c r="G3" s="5" t="s">
        <v>13</v>
      </c>
    </row>
    <row r="4" spans="1:10" ht="15.75" x14ac:dyDescent="0.25">
      <c r="A4" s="8" t="s">
        <v>10</v>
      </c>
      <c r="B4" s="8" t="s">
        <v>11</v>
      </c>
      <c r="G4" s="5" t="s">
        <v>14</v>
      </c>
    </row>
    <row r="5" spans="1:10" ht="15.75" x14ac:dyDescent="0.25">
      <c r="A5" s="8" t="s">
        <v>6</v>
      </c>
      <c r="B5" s="8" t="s">
        <v>6</v>
      </c>
    </row>
    <row r="6" spans="1:10" ht="15.75" x14ac:dyDescent="0.25">
      <c r="A6" s="3">
        <v>8.73</v>
      </c>
      <c r="B6" s="3">
        <v>40.284999999999997</v>
      </c>
      <c r="G6" t="s">
        <v>15</v>
      </c>
      <c r="J6" t="s">
        <v>16</v>
      </c>
    </row>
    <row r="7" spans="1:10" ht="15.75" x14ac:dyDescent="0.25">
      <c r="A7" s="3">
        <v>8.7799999999999994</v>
      </c>
      <c r="B7" s="3">
        <v>39.423000000000002</v>
      </c>
    </row>
    <row r="8" spans="1:10" ht="15.75" x14ac:dyDescent="0.25">
      <c r="A8" s="3">
        <v>9.25</v>
      </c>
      <c r="B8" s="3">
        <v>47.389000000000003</v>
      </c>
    </row>
    <row r="9" spans="1:10" ht="15.75" x14ac:dyDescent="0.25">
      <c r="A9" s="3">
        <v>9.5399999999999991</v>
      </c>
      <c r="B9" s="3">
        <v>45.707000000000001</v>
      </c>
    </row>
    <row r="10" spans="1:10" ht="15.75" x14ac:dyDescent="0.25">
      <c r="A10" s="3">
        <v>10.29</v>
      </c>
      <c r="B10" s="3">
        <v>47.710999999999999</v>
      </c>
    </row>
    <row r="11" spans="1:10" ht="15.75" x14ac:dyDescent="0.25">
      <c r="A11" s="3">
        <v>11.22</v>
      </c>
      <c r="B11" s="3">
        <v>52.5</v>
      </c>
    </row>
    <row r="12" spans="1:10" ht="15.75" x14ac:dyDescent="0.25">
      <c r="A12" s="3">
        <v>12.92</v>
      </c>
      <c r="B12" s="3">
        <v>53.726999999999997</v>
      </c>
    </row>
    <row r="13" spans="1:10" ht="15.75" x14ac:dyDescent="0.25">
      <c r="A13" s="3">
        <v>13.99</v>
      </c>
      <c r="B13" s="3">
        <v>64.388999999999996</v>
      </c>
    </row>
    <row r="23" spans="3:8" x14ac:dyDescent="0.25">
      <c r="C23" t="s">
        <v>44</v>
      </c>
      <c r="E23" t="s">
        <v>43</v>
      </c>
    </row>
    <row r="24" spans="3:8" x14ac:dyDescent="0.25">
      <c r="E24" t="s">
        <v>36</v>
      </c>
      <c r="F24">
        <v>0.94715945417299674</v>
      </c>
    </row>
    <row r="25" spans="3:8" x14ac:dyDescent="0.25">
      <c r="E25" t="s">
        <v>15</v>
      </c>
      <c r="H25" t="s">
        <v>16</v>
      </c>
    </row>
    <row r="26" spans="3:8" x14ac:dyDescent="0.25">
      <c r="E26" t="s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8F73-66A1-43DD-BAF7-60061F984E7A}">
  <dimension ref="A1:M24"/>
  <sheetViews>
    <sheetView topLeftCell="B1" workbookViewId="0">
      <selection activeCell="K11" sqref="K11"/>
    </sheetView>
  </sheetViews>
  <sheetFormatPr defaultRowHeight="15" x14ac:dyDescent="0.25"/>
  <cols>
    <col min="10" max="10" width="11.140625" customWidth="1"/>
    <col min="11" max="11" width="18.7109375" customWidth="1"/>
    <col min="12" max="12" width="12.42578125" customWidth="1"/>
    <col min="13" max="13" width="11.42578125" customWidth="1"/>
  </cols>
  <sheetData>
    <row r="1" spans="1:13" ht="15.75" x14ac:dyDescent="0.25">
      <c r="A1" s="1" t="s">
        <v>2</v>
      </c>
    </row>
    <row r="3" spans="1:13" ht="26.25" x14ac:dyDescent="0.4">
      <c r="A3" s="8" t="s">
        <v>5</v>
      </c>
      <c r="B3" s="8" t="s">
        <v>4</v>
      </c>
      <c r="E3" s="11" t="s">
        <v>19</v>
      </c>
      <c r="F3" s="5" t="s">
        <v>17</v>
      </c>
    </row>
    <row r="4" spans="1:13" ht="15.75" x14ac:dyDescent="0.25">
      <c r="A4" s="8" t="s">
        <v>10</v>
      </c>
      <c r="B4" s="8" t="s">
        <v>11</v>
      </c>
      <c r="F4" s="10"/>
      <c r="G4" t="s">
        <v>18</v>
      </c>
    </row>
    <row r="5" spans="1:13" ht="16.5" thickBot="1" x14ac:dyDescent="0.3">
      <c r="A5" s="8" t="s">
        <v>6</v>
      </c>
      <c r="B5" s="8" t="s">
        <v>6</v>
      </c>
      <c r="G5" s="13" t="s">
        <v>20</v>
      </c>
      <c r="H5" s="13"/>
      <c r="K5" s="13" t="s">
        <v>21</v>
      </c>
      <c r="L5" s="13"/>
      <c r="M5" s="13"/>
    </row>
    <row r="6" spans="1:13" ht="15.75" x14ac:dyDescent="0.25">
      <c r="A6" s="3">
        <v>8.73</v>
      </c>
      <c r="B6" s="3">
        <v>40.284999999999997</v>
      </c>
      <c r="G6" s="14">
        <f>CORREL(A6:A13,B6:B13)</f>
        <v>0.94715945417299663</v>
      </c>
      <c r="H6" s="13"/>
      <c r="K6" s="15"/>
      <c r="L6" s="15" t="s">
        <v>22</v>
      </c>
      <c r="M6" s="15" t="s">
        <v>23</v>
      </c>
    </row>
    <row r="7" spans="1:13" ht="15.75" x14ac:dyDescent="0.25">
      <c r="A7" s="3">
        <v>8.7799999999999994</v>
      </c>
      <c r="B7" s="3">
        <v>39.423000000000002</v>
      </c>
      <c r="G7" s="13"/>
      <c r="H7" s="13"/>
      <c r="K7" s="13" t="s">
        <v>22</v>
      </c>
      <c r="L7" s="13">
        <v>1</v>
      </c>
      <c r="M7" s="13"/>
    </row>
    <row r="8" spans="1:13" ht="16.5" thickBot="1" x14ac:dyDescent="0.3">
      <c r="A8" s="3">
        <v>9.25</v>
      </c>
      <c r="B8" s="3">
        <v>47.389000000000003</v>
      </c>
      <c r="K8" s="16" t="s">
        <v>23</v>
      </c>
      <c r="L8" s="17">
        <v>0.94715945417299663</v>
      </c>
      <c r="M8" s="16">
        <v>1</v>
      </c>
    </row>
    <row r="9" spans="1:13" ht="15.75" x14ac:dyDescent="0.25">
      <c r="A9" s="3">
        <v>9.5399999999999991</v>
      </c>
      <c r="B9" s="3">
        <v>45.707000000000001</v>
      </c>
    </row>
    <row r="10" spans="1:13" ht="15.75" x14ac:dyDescent="0.25">
      <c r="A10" s="3">
        <v>10.29</v>
      </c>
      <c r="B10" s="3">
        <v>47.710999999999999</v>
      </c>
      <c r="G10" s="13" t="s">
        <v>24</v>
      </c>
      <c r="H10" s="13"/>
      <c r="I10" s="13"/>
      <c r="J10" s="13"/>
      <c r="K10" s="13"/>
      <c r="L10" s="13"/>
      <c r="M10" s="13"/>
    </row>
    <row r="11" spans="1:13" ht="15.75" x14ac:dyDescent="0.25">
      <c r="A11" s="3">
        <v>11.22</v>
      </c>
      <c r="B11" s="3">
        <v>52.5</v>
      </c>
      <c r="G11" s="13" t="s">
        <v>25</v>
      </c>
      <c r="H11" s="13"/>
      <c r="I11" s="13"/>
      <c r="J11" s="13"/>
      <c r="K11" s="13"/>
      <c r="L11" s="13"/>
      <c r="M11" s="13"/>
    </row>
    <row r="12" spans="1:13" ht="16.5" thickBot="1" x14ac:dyDescent="0.3">
      <c r="A12" s="3">
        <v>12.92</v>
      </c>
      <c r="B12" s="3">
        <v>53.726999999999997</v>
      </c>
      <c r="G12" s="16" t="s">
        <v>26</v>
      </c>
      <c r="H12" s="16" t="s">
        <v>27</v>
      </c>
      <c r="I12" s="16" t="s">
        <v>29</v>
      </c>
      <c r="J12" s="16" t="s">
        <v>30</v>
      </c>
      <c r="K12" s="16" t="s">
        <v>32</v>
      </c>
      <c r="L12" s="16" t="s">
        <v>34</v>
      </c>
      <c r="M12" s="16" t="s">
        <v>35</v>
      </c>
    </row>
    <row r="13" spans="1:13" ht="15.75" x14ac:dyDescent="0.25">
      <c r="A13" s="3">
        <v>13.99</v>
      </c>
      <c r="B13" s="3">
        <v>64.388999999999996</v>
      </c>
      <c r="G13" s="18">
        <v>8.73</v>
      </c>
      <c r="H13" s="18">
        <v>40.284999999999997</v>
      </c>
      <c r="I13" s="13">
        <f>G13-G22</f>
        <v>-1.8599999999999977</v>
      </c>
      <c r="J13" s="13">
        <f>H13-H22</f>
        <v>-8.6063749999999999</v>
      </c>
      <c r="K13" s="13">
        <f t="shared" ref="K13:K20" si="0">I13*J13</f>
        <v>16.007857499999979</v>
      </c>
      <c r="L13" s="13">
        <f t="shared" ref="L13:M20" si="1">I13^2</f>
        <v>3.4595999999999911</v>
      </c>
      <c r="M13" s="13">
        <f t="shared" si="1"/>
        <v>74.069690640624998</v>
      </c>
    </row>
    <row r="14" spans="1:13" ht="15.75" x14ac:dyDescent="0.25">
      <c r="G14" s="18">
        <v>8.7799999999999994</v>
      </c>
      <c r="H14" s="18">
        <v>39.423000000000002</v>
      </c>
      <c r="I14" s="13">
        <f>G14-G22</f>
        <v>-1.8099999999999987</v>
      </c>
      <c r="J14" s="13">
        <f>H14-H22</f>
        <v>-9.4683749999999947</v>
      </c>
      <c r="K14" s="13">
        <f t="shared" si="0"/>
        <v>17.137758749999978</v>
      </c>
      <c r="L14" s="13">
        <f t="shared" si="1"/>
        <v>3.2760999999999956</v>
      </c>
      <c r="M14" s="13">
        <f t="shared" si="1"/>
        <v>89.650125140624894</v>
      </c>
    </row>
    <row r="15" spans="1:13" ht="15.75" x14ac:dyDescent="0.25">
      <c r="G15" s="18">
        <v>9.25</v>
      </c>
      <c r="H15" s="18">
        <v>47.389000000000003</v>
      </c>
      <c r="I15" s="13">
        <f>G15-G22</f>
        <v>-1.3399999999999981</v>
      </c>
      <c r="J15" s="13">
        <f>H15-H22</f>
        <v>-1.5023749999999936</v>
      </c>
      <c r="K15" s="13">
        <f t="shared" si="0"/>
        <v>2.0131824999999886</v>
      </c>
      <c r="L15" s="13">
        <f t="shared" si="1"/>
        <v>1.7955999999999948</v>
      </c>
      <c r="M15" s="13">
        <f t="shared" si="1"/>
        <v>2.2571306406249807</v>
      </c>
    </row>
    <row r="16" spans="1:13" ht="15.75" x14ac:dyDescent="0.25">
      <c r="G16" s="18">
        <v>9.5399999999999991</v>
      </c>
      <c r="H16" s="18">
        <v>45.707000000000001</v>
      </c>
      <c r="I16" s="13">
        <f>G16-G22</f>
        <v>-1.0499999999999989</v>
      </c>
      <c r="J16" s="13">
        <f>H16-H22</f>
        <v>-3.1843749999999957</v>
      </c>
      <c r="K16" s="13">
        <f t="shared" si="0"/>
        <v>3.3435937499999921</v>
      </c>
      <c r="L16" s="13">
        <f t="shared" si="1"/>
        <v>1.1024999999999978</v>
      </c>
      <c r="M16" s="13">
        <f t="shared" si="1"/>
        <v>10.140244140624972</v>
      </c>
    </row>
    <row r="17" spans="7:13" ht="15.75" x14ac:dyDescent="0.25">
      <c r="G17" s="18">
        <v>10.29</v>
      </c>
      <c r="H17" s="18">
        <v>47.710999999999999</v>
      </c>
      <c r="I17" s="13">
        <f>G17-G22</f>
        <v>-0.29999999999999893</v>
      </c>
      <c r="J17" s="13">
        <f>H17-H22</f>
        <v>-1.180374999999998</v>
      </c>
      <c r="K17" s="13">
        <f t="shared" si="0"/>
        <v>0.35411249999999811</v>
      </c>
      <c r="L17" s="13">
        <f t="shared" si="1"/>
        <v>8.9999999999999358E-2</v>
      </c>
      <c r="M17" s="13">
        <f t="shared" si="1"/>
        <v>1.3932851406249951</v>
      </c>
    </row>
    <row r="18" spans="7:13" ht="15.75" x14ac:dyDescent="0.25">
      <c r="G18" s="18">
        <v>11.22</v>
      </c>
      <c r="H18" s="18">
        <v>52.5</v>
      </c>
      <c r="I18" s="13">
        <f>G18-G22</f>
        <v>0.63000000000000256</v>
      </c>
      <c r="J18" s="13">
        <f>H18-H22</f>
        <v>3.6086250000000035</v>
      </c>
      <c r="K18" s="13">
        <f t="shared" si="0"/>
        <v>2.2734337500000112</v>
      </c>
      <c r="L18" s="13">
        <f t="shared" si="1"/>
        <v>0.39690000000000325</v>
      </c>
      <c r="M18" s="13">
        <f t="shared" si="1"/>
        <v>13.022174390625025</v>
      </c>
    </row>
    <row r="19" spans="7:13" ht="15.75" x14ac:dyDescent="0.25">
      <c r="G19" s="18">
        <v>12.92</v>
      </c>
      <c r="H19" s="18">
        <v>53.726999999999997</v>
      </c>
      <c r="I19" s="13">
        <f>G19-G22</f>
        <v>2.3300000000000018</v>
      </c>
      <c r="J19" s="13">
        <f>H19-H22</f>
        <v>4.8356250000000003</v>
      </c>
      <c r="K19" s="13">
        <f t="shared" si="0"/>
        <v>11.26700625000001</v>
      </c>
      <c r="L19" s="13">
        <f t="shared" si="1"/>
        <v>5.4289000000000085</v>
      </c>
      <c r="M19" s="13">
        <f t="shared" si="1"/>
        <v>23.383269140625004</v>
      </c>
    </row>
    <row r="20" spans="7:13" ht="16.5" thickBot="1" x14ac:dyDescent="0.3">
      <c r="G20" s="19">
        <v>13.99</v>
      </c>
      <c r="H20" s="19">
        <v>64.388999999999996</v>
      </c>
      <c r="I20" s="16">
        <f>G20-G22</f>
        <v>3.4000000000000021</v>
      </c>
      <c r="J20" s="16">
        <f>H20-H22</f>
        <v>15.497624999999999</v>
      </c>
      <c r="K20" s="16">
        <f t="shared" si="0"/>
        <v>52.691925000000033</v>
      </c>
      <c r="L20" s="16">
        <f t="shared" si="1"/>
        <v>11.560000000000015</v>
      </c>
      <c r="M20" s="16">
        <f t="shared" si="1"/>
        <v>240.17638064062498</v>
      </c>
    </row>
    <row r="21" spans="7:13" x14ac:dyDescent="0.25">
      <c r="G21" s="13" t="s">
        <v>28</v>
      </c>
      <c r="H21" s="13" t="s">
        <v>31</v>
      </c>
      <c r="I21" s="13"/>
      <c r="J21" s="13"/>
      <c r="K21" s="13" t="s">
        <v>33</v>
      </c>
      <c r="L21" s="13" t="s">
        <v>33</v>
      </c>
      <c r="M21" s="13" t="s">
        <v>33</v>
      </c>
    </row>
    <row r="22" spans="7:13" x14ac:dyDescent="0.25">
      <c r="G22" s="13">
        <f>AVERAGE(G13:G20)</f>
        <v>10.589999999999998</v>
      </c>
      <c r="H22" s="13">
        <f>AVERAGE(H13:H20)</f>
        <v>48.891374999999996</v>
      </c>
      <c r="I22" s="13"/>
      <c r="J22" s="13"/>
      <c r="K22" s="13">
        <f>SUM(K13:K20)</f>
        <v>105.08886999999999</v>
      </c>
      <c r="L22" s="13">
        <f>SUM(L13:L20)</f>
        <v>27.109600000000007</v>
      </c>
      <c r="M22" s="13">
        <f>SUM(M13:M20)</f>
        <v>454.09229987499987</v>
      </c>
    </row>
    <row r="24" spans="7:13" x14ac:dyDescent="0.25">
      <c r="J24" t="s">
        <v>36</v>
      </c>
      <c r="K24" s="12">
        <f>K22/SQRT(L22*M22)</f>
        <v>0.94715945417299674</v>
      </c>
      <c r="M24" t="s">
        <v>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3EC6-44D4-498D-8FCF-EA75CEA73207}">
  <dimension ref="A1:O28"/>
  <sheetViews>
    <sheetView topLeftCell="A2" workbookViewId="0">
      <selection activeCell="J14" sqref="J14"/>
    </sheetView>
  </sheetViews>
  <sheetFormatPr defaultRowHeight="15" x14ac:dyDescent="0.25"/>
  <cols>
    <col min="7" max="7" width="32" customWidth="1"/>
    <col min="9" max="9" width="10.85546875" customWidth="1"/>
  </cols>
  <sheetData>
    <row r="1" spans="1:11" ht="15.75" x14ac:dyDescent="0.25">
      <c r="A1" s="1" t="s">
        <v>2</v>
      </c>
    </row>
    <row r="3" spans="1:11" ht="26.25" x14ac:dyDescent="0.4">
      <c r="A3" s="8" t="s">
        <v>5</v>
      </c>
      <c r="B3" s="8" t="s">
        <v>4</v>
      </c>
      <c r="E3" s="11" t="s">
        <v>41</v>
      </c>
      <c r="G3" s="47" t="s">
        <v>38</v>
      </c>
      <c r="H3" s="47"/>
      <c r="I3" s="47"/>
      <c r="J3" s="47"/>
      <c r="K3" s="47"/>
    </row>
    <row r="4" spans="1:11" ht="16.5" x14ac:dyDescent="0.25">
      <c r="A4" s="8" t="s">
        <v>10</v>
      </c>
      <c r="B4" s="8" t="s">
        <v>11</v>
      </c>
      <c r="G4" s="21" t="s">
        <v>37</v>
      </c>
      <c r="H4" s="22" t="s">
        <v>40</v>
      </c>
      <c r="I4" s="20"/>
      <c r="J4" s="20"/>
      <c r="K4" s="20"/>
    </row>
    <row r="5" spans="1:11" ht="15.75" x14ac:dyDescent="0.25">
      <c r="A5" s="8" t="s">
        <v>6</v>
      </c>
      <c r="B5" s="8" t="s">
        <v>6</v>
      </c>
      <c r="G5" s="21" t="s">
        <v>39</v>
      </c>
      <c r="H5" s="20"/>
      <c r="I5" s="20"/>
      <c r="J5" s="20"/>
      <c r="K5" s="20"/>
    </row>
    <row r="6" spans="1:11" ht="15.75" x14ac:dyDescent="0.25">
      <c r="A6" s="3">
        <v>8.73</v>
      </c>
      <c r="B6" s="3">
        <v>40.284999999999997</v>
      </c>
      <c r="D6" s="39"/>
      <c r="E6" s="39"/>
    </row>
    <row r="7" spans="1:11" ht="16.5" customHeight="1" x14ac:dyDescent="0.25">
      <c r="A7" s="3">
        <v>8.7799999999999994</v>
      </c>
      <c r="B7" s="3">
        <v>39.423000000000002</v>
      </c>
      <c r="D7" s="39"/>
      <c r="E7" s="39"/>
      <c r="G7" t="s">
        <v>46</v>
      </c>
      <c r="I7" s="26" t="s">
        <v>51</v>
      </c>
    </row>
    <row r="8" spans="1:11" ht="15.75" x14ac:dyDescent="0.25">
      <c r="A8" s="3">
        <v>9.25</v>
      </c>
      <c r="B8" s="3">
        <v>47.389000000000003</v>
      </c>
      <c r="D8" s="39"/>
      <c r="E8" s="39"/>
      <c r="G8" t="s">
        <v>47</v>
      </c>
      <c r="H8" t="s">
        <v>49</v>
      </c>
      <c r="I8">
        <f>SLOPE(B6:B13,A6:A13)</f>
        <v>3.8764448756160164</v>
      </c>
    </row>
    <row r="9" spans="1:11" ht="15.75" x14ac:dyDescent="0.25">
      <c r="A9" s="3">
        <v>9.5399999999999991</v>
      </c>
      <c r="B9" s="3">
        <v>45.707000000000001</v>
      </c>
      <c r="D9" s="39"/>
      <c r="E9" s="39"/>
      <c r="G9" t="s">
        <v>48</v>
      </c>
      <c r="H9" t="s">
        <v>50</v>
      </c>
      <c r="I9">
        <f>INTERCEPT(B6:B13,A6:A13)</f>
        <v>7.8398237672263917</v>
      </c>
    </row>
    <row r="10" spans="1:11" ht="15.75" x14ac:dyDescent="0.25">
      <c r="A10" s="3">
        <v>10.29</v>
      </c>
      <c r="B10" s="3">
        <v>47.710999999999999</v>
      </c>
      <c r="D10" s="39"/>
      <c r="E10" s="39"/>
    </row>
    <row r="11" spans="1:11" ht="15.75" x14ac:dyDescent="0.25">
      <c r="A11" s="3">
        <v>11.22</v>
      </c>
      <c r="B11" s="3">
        <v>52.5</v>
      </c>
      <c r="D11" s="39"/>
      <c r="E11" s="39"/>
      <c r="H11" s="12" t="s">
        <v>76</v>
      </c>
      <c r="I11" s="12"/>
    </row>
    <row r="12" spans="1:11" ht="16.5" thickBot="1" x14ac:dyDescent="0.3">
      <c r="A12" s="3">
        <v>12.92</v>
      </c>
      <c r="B12" s="3">
        <v>53.726999999999997</v>
      </c>
      <c r="D12" s="39"/>
      <c r="E12" s="39"/>
      <c r="I12" s="26" t="s">
        <v>21</v>
      </c>
    </row>
    <row r="13" spans="1:11" ht="15.75" x14ac:dyDescent="0.25">
      <c r="A13" s="3">
        <v>13.99</v>
      </c>
      <c r="B13" s="3">
        <v>64.388999999999996</v>
      </c>
      <c r="D13" s="39"/>
      <c r="E13" s="39"/>
      <c r="G13" s="25" t="s">
        <v>52</v>
      </c>
      <c r="H13" s="25"/>
    </row>
    <row r="14" spans="1:11" x14ac:dyDescent="0.25">
      <c r="G14" t="s">
        <v>53</v>
      </c>
      <c r="H14">
        <v>0.94715945417299685</v>
      </c>
    </row>
    <row r="15" spans="1:11" x14ac:dyDescent="0.25">
      <c r="G15" t="s">
        <v>54</v>
      </c>
      <c r="H15">
        <v>0.89711103162928929</v>
      </c>
    </row>
    <row r="16" spans="1:11" x14ac:dyDescent="0.25">
      <c r="G16" t="s">
        <v>55</v>
      </c>
      <c r="H16">
        <v>0.87996287023417086</v>
      </c>
    </row>
    <row r="17" spans="7:15" x14ac:dyDescent="0.25">
      <c r="G17" t="s">
        <v>56</v>
      </c>
      <c r="H17">
        <v>2.7904924380003298</v>
      </c>
    </row>
    <row r="18" spans="7:15" ht="15.75" thickBot="1" x14ac:dyDescent="0.3">
      <c r="G18" s="23" t="s">
        <v>57</v>
      </c>
      <c r="H18" s="23">
        <v>8</v>
      </c>
    </row>
    <row r="20" spans="7:15" ht="15.75" thickBot="1" x14ac:dyDescent="0.3">
      <c r="G20" t="s">
        <v>58</v>
      </c>
    </row>
    <row r="21" spans="7:15" x14ac:dyDescent="0.25">
      <c r="G21" s="24"/>
      <c r="H21" s="24" t="s">
        <v>63</v>
      </c>
      <c r="I21" s="24" t="s">
        <v>64</v>
      </c>
      <c r="J21" s="24" t="s">
        <v>65</v>
      </c>
      <c r="K21" s="24" t="s">
        <v>66</v>
      </c>
      <c r="L21" s="24" t="s">
        <v>67</v>
      </c>
    </row>
    <row r="22" spans="7:15" x14ac:dyDescent="0.25">
      <c r="G22" t="s">
        <v>59</v>
      </c>
      <c r="H22">
        <v>1</v>
      </c>
      <c r="I22">
        <v>407.37121159577771</v>
      </c>
      <c r="J22">
        <v>407.37121159577771</v>
      </c>
      <c r="K22">
        <v>52.315289724568892</v>
      </c>
      <c r="L22">
        <v>3.5438036335255812E-4</v>
      </c>
    </row>
    <row r="23" spans="7:15" x14ac:dyDescent="0.25">
      <c r="G23" t="s">
        <v>60</v>
      </c>
      <c r="H23">
        <v>6</v>
      </c>
      <c r="I23">
        <v>46.721088279222144</v>
      </c>
      <c r="J23">
        <v>7.786848046537024</v>
      </c>
    </row>
    <row r="24" spans="7:15" ht="15.75" thickBot="1" x14ac:dyDescent="0.3">
      <c r="G24" s="23" t="s">
        <v>61</v>
      </c>
      <c r="H24" s="23">
        <v>7</v>
      </c>
      <c r="I24" s="23">
        <v>454.09229987499987</v>
      </c>
      <c r="J24" s="23"/>
      <c r="K24" s="23"/>
      <c r="L24" s="23"/>
    </row>
    <row r="25" spans="7:15" ht="15.75" thickBot="1" x14ac:dyDescent="0.3"/>
    <row r="26" spans="7:15" x14ac:dyDescent="0.25">
      <c r="G26" s="24"/>
      <c r="H26" s="24" t="s">
        <v>68</v>
      </c>
      <c r="I26" s="24" t="s">
        <v>56</v>
      </c>
      <c r="J26" s="24" t="s">
        <v>69</v>
      </c>
      <c r="K26" s="24" t="s">
        <v>70</v>
      </c>
      <c r="L26" s="24" t="s">
        <v>71</v>
      </c>
      <c r="M26" s="24" t="s">
        <v>72</v>
      </c>
      <c r="N26" s="24" t="s">
        <v>73</v>
      </c>
      <c r="O26" s="24" t="s">
        <v>74</v>
      </c>
    </row>
    <row r="27" spans="7:15" x14ac:dyDescent="0.25">
      <c r="G27" t="s">
        <v>62</v>
      </c>
      <c r="H27" s="27">
        <v>7.8398237672263775</v>
      </c>
      <c r="I27">
        <v>5.7607557572207924</v>
      </c>
      <c r="J27">
        <v>1.3609019541228748</v>
      </c>
      <c r="K27">
        <v>0.22244018167005281</v>
      </c>
      <c r="L27">
        <v>-6.2562377666687929</v>
      </c>
      <c r="M27">
        <v>21.935885301121548</v>
      </c>
      <c r="N27">
        <v>-6.2562377666687929</v>
      </c>
      <c r="O27">
        <v>21.935885301121548</v>
      </c>
    </row>
    <row r="28" spans="7:15" ht="15.75" thickBot="1" x14ac:dyDescent="0.3">
      <c r="G28" s="23" t="s">
        <v>75</v>
      </c>
      <c r="H28" s="28">
        <v>3.8764448756160177</v>
      </c>
      <c r="I28" s="23">
        <v>0.53594385420518509</v>
      </c>
      <c r="J28" s="23">
        <v>7.2329309221482889</v>
      </c>
      <c r="K28" s="23">
        <v>3.5438036335255752E-4</v>
      </c>
      <c r="L28" s="23">
        <v>2.5650375072130385</v>
      </c>
      <c r="M28" s="23">
        <v>5.1878522440189965</v>
      </c>
      <c r="N28" s="23">
        <v>2.5650375072130385</v>
      </c>
      <c r="O28" s="23">
        <v>5.1878522440189965</v>
      </c>
    </row>
  </sheetData>
  <mergeCells count="1">
    <mergeCell ref="G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9674-86B2-4FA0-9169-E818B1067BDE}">
  <dimension ref="A1:P16"/>
  <sheetViews>
    <sheetView workbookViewId="0">
      <selection activeCell="N9" sqref="N9"/>
    </sheetView>
  </sheetViews>
  <sheetFormatPr defaultRowHeight="15" x14ac:dyDescent="0.25"/>
  <sheetData>
    <row r="1" spans="1:16" ht="15.75" x14ac:dyDescent="0.25">
      <c r="A1" s="1" t="s">
        <v>2</v>
      </c>
    </row>
    <row r="2" spans="1:16" ht="26.25" x14ac:dyDescent="0.4">
      <c r="D2" s="11" t="s">
        <v>80</v>
      </c>
    </row>
    <row r="3" spans="1:16" ht="15.75" x14ac:dyDescent="0.25">
      <c r="A3" s="8" t="s">
        <v>5</v>
      </c>
      <c r="B3" s="8" t="s">
        <v>4</v>
      </c>
      <c r="D3" t="s">
        <v>78</v>
      </c>
      <c r="G3" s="5" t="s">
        <v>77</v>
      </c>
    </row>
    <row r="4" spans="1:16" ht="15.75" x14ac:dyDescent="0.25">
      <c r="A4" s="8" t="s">
        <v>10</v>
      </c>
      <c r="B4" s="8" t="s">
        <v>11</v>
      </c>
      <c r="E4" t="s">
        <v>79</v>
      </c>
    </row>
    <row r="5" spans="1:16" ht="15.75" x14ac:dyDescent="0.25">
      <c r="A5" s="8" t="s">
        <v>81</v>
      </c>
      <c r="B5" s="8" t="s">
        <v>82</v>
      </c>
    </row>
    <row r="6" spans="1:16" ht="15.75" x14ac:dyDescent="0.25">
      <c r="A6" s="3">
        <v>8.73</v>
      </c>
      <c r="B6" s="3">
        <v>40.284999999999997</v>
      </c>
      <c r="I6" s="12" t="s">
        <v>76</v>
      </c>
      <c r="J6" s="12"/>
    </row>
    <row r="7" spans="1:16" ht="15.75" x14ac:dyDescent="0.25">
      <c r="A7" s="3">
        <v>8.7799999999999994</v>
      </c>
      <c r="B7" s="3">
        <v>39.423000000000002</v>
      </c>
    </row>
    <row r="8" spans="1:16" ht="15.75" x14ac:dyDescent="0.25">
      <c r="A8" s="3">
        <v>9.25</v>
      </c>
      <c r="B8" s="3">
        <v>47.389000000000003</v>
      </c>
      <c r="F8" t="s">
        <v>183</v>
      </c>
      <c r="J8" t="s">
        <v>184</v>
      </c>
    </row>
    <row r="9" spans="1:16" ht="15.75" x14ac:dyDescent="0.25">
      <c r="A9" s="3">
        <v>9.5399999999999991</v>
      </c>
      <c r="B9" s="3">
        <v>45.707000000000001</v>
      </c>
      <c r="G9" s="38"/>
    </row>
    <row r="10" spans="1:16" ht="15.75" x14ac:dyDescent="0.25">
      <c r="A10" s="3">
        <v>10.29</v>
      </c>
      <c r="B10" s="3">
        <v>47.710999999999999</v>
      </c>
      <c r="H10" s="38" t="s">
        <v>185</v>
      </c>
      <c r="I10" s="38"/>
    </row>
    <row r="11" spans="1:16" ht="15.75" x14ac:dyDescent="0.25">
      <c r="A11" s="3">
        <v>11.22</v>
      </c>
      <c r="B11" s="3">
        <v>52.5</v>
      </c>
    </row>
    <row r="12" spans="1:16" ht="15.75" x14ac:dyDescent="0.25">
      <c r="A12" s="3">
        <v>12.92</v>
      </c>
      <c r="B12" s="3">
        <v>53.726999999999997</v>
      </c>
      <c r="H12" t="s">
        <v>186</v>
      </c>
      <c r="I12" s="26">
        <f>7830+3.87*1000</f>
        <v>11700</v>
      </c>
      <c r="J12" s="26" t="s">
        <v>187</v>
      </c>
    </row>
    <row r="13" spans="1:16" ht="15.75" x14ac:dyDescent="0.25">
      <c r="A13" s="3">
        <v>13.99</v>
      </c>
      <c r="B13" s="3">
        <v>64.388999999999996</v>
      </c>
      <c r="F13" s="27" t="s">
        <v>236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 spans="1:16" x14ac:dyDescent="0.25">
      <c r="F14" s="27" t="s">
        <v>237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5" spans="1:16" x14ac:dyDescent="0.25"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 x14ac:dyDescent="0.25">
      <c r="F16" s="27"/>
      <c r="G16" s="27" t="s">
        <v>238</v>
      </c>
      <c r="H16" s="27"/>
      <c r="I16" s="27"/>
      <c r="J16" s="27"/>
      <c r="K16" s="27"/>
      <c r="L16" s="27"/>
      <c r="M16" s="27"/>
      <c r="N16" s="27"/>
      <c r="O16" s="27"/>
      <c r="P16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217A-D5C3-4203-9174-B1B0C9DFD025}">
  <dimension ref="A1:L16"/>
  <sheetViews>
    <sheetView topLeftCell="B3" workbookViewId="0">
      <selection activeCell="M15" sqref="M15"/>
    </sheetView>
  </sheetViews>
  <sheetFormatPr defaultRowHeight="15" x14ac:dyDescent="0.25"/>
  <cols>
    <col min="1" max="1" width="15.140625" customWidth="1"/>
    <col min="2" max="2" width="14.85546875" customWidth="1"/>
    <col min="6" max="6" width="13.42578125" customWidth="1"/>
  </cols>
  <sheetData>
    <row r="1" spans="1:12" ht="15.75" x14ac:dyDescent="0.25">
      <c r="A1" s="1" t="s">
        <v>2</v>
      </c>
    </row>
    <row r="3" spans="1:12" ht="26.25" x14ac:dyDescent="0.4">
      <c r="A3" s="8" t="s">
        <v>5</v>
      </c>
      <c r="B3" s="8" t="s">
        <v>4</v>
      </c>
      <c r="D3" s="11" t="s">
        <v>103</v>
      </c>
      <c r="E3" s="10" t="s">
        <v>83</v>
      </c>
    </row>
    <row r="4" spans="1:12" ht="15.75" x14ac:dyDescent="0.25">
      <c r="A4" s="8" t="s">
        <v>10</v>
      </c>
      <c r="B4" s="8" t="s">
        <v>11</v>
      </c>
      <c r="G4" t="s">
        <v>91</v>
      </c>
    </row>
    <row r="5" spans="1:12" ht="15.75" x14ac:dyDescent="0.25">
      <c r="A5" s="8" t="s">
        <v>6</v>
      </c>
      <c r="B5" s="8" t="s">
        <v>6</v>
      </c>
      <c r="G5" s="12" t="s">
        <v>76</v>
      </c>
      <c r="H5" s="12"/>
      <c r="J5" t="s">
        <v>94</v>
      </c>
    </row>
    <row r="6" spans="1:12" ht="15.75" x14ac:dyDescent="0.25">
      <c r="A6" s="3">
        <v>8.73</v>
      </c>
      <c r="B6" s="3">
        <v>40.284999999999997</v>
      </c>
      <c r="F6" t="s">
        <v>92</v>
      </c>
      <c r="J6" t="s">
        <v>95</v>
      </c>
    </row>
    <row r="7" spans="1:12" ht="15.75" x14ac:dyDescent="0.25">
      <c r="A7" s="3">
        <v>8.7799999999999994</v>
      </c>
      <c r="B7" s="3">
        <v>39.423000000000002</v>
      </c>
      <c r="F7" s="26" t="s">
        <v>93</v>
      </c>
      <c r="G7">
        <v>3.87</v>
      </c>
    </row>
    <row r="8" spans="1:12" ht="15.75" x14ac:dyDescent="0.25">
      <c r="A8" s="3">
        <v>9.25</v>
      </c>
      <c r="B8" s="3">
        <v>47.389000000000003</v>
      </c>
    </row>
    <row r="9" spans="1:12" ht="15.75" x14ac:dyDescent="0.25">
      <c r="A9" s="3">
        <v>9.5399999999999991</v>
      </c>
      <c r="B9" s="3">
        <v>45.707000000000001</v>
      </c>
      <c r="F9" s="26" t="s">
        <v>96</v>
      </c>
      <c r="G9">
        <v>7.83</v>
      </c>
    </row>
    <row r="10" spans="1:12" ht="15.75" x14ac:dyDescent="0.25">
      <c r="A10" s="3">
        <v>10.29</v>
      </c>
      <c r="B10" s="3">
        <v>47.710999999999999</v>
      </c>
    </row>
    <row r="11" spans="1:12" ht="15.75" x14ac:dyDescent="0.25">
      <c r="A11" s="3">
        <v>11.22</v>
      </c>
      <c r="B11" s="3">
        <v>52.5</v>
      </c>
    </row>
    <row r="12" spans="1:12" ht="15.75" x14ac:dyDescent="0.25">
      <c r="A12" s="3">
        <v>12.92</v>
      </c>
      <c r="B12" s="3">
        <v>53.726999999999997</v>
      </c>
      <c r="G12" t="s">
        <v>97</v>
      </c>
      <c r="L12" t="s">
        <v>242</v>
      </c>
    </row>
    <row r="13" spans="1:12" ht="15.75" x14ac:dyDescent="0.25">
      <c r="A13" s="3">
        <v>13.99</v>
      </c>
      <c r="B13" s="3">
        <v>64.388999999999996</v>
      </c>
      <c r="G13" t="s">
        <v>98</v>
      </c>
      <c r="L13" t="s">
        <v>243</v>
      </c>
    </row>
    <row r="14" spans="1:12" x14ac:dyDescent="0.25">
      <c r="G14" t="s">
        <v>99</v>
      </c>
    </row>
    <row r="15" spans="1:12" x14ac:dyDescent="0.25">
      <c r="H15" t="s">
        <v>100</v>
      </c>
      <c r="I15" t="s">
        <v>101</v>
      </c>
    </row>
    <row r="16" spans="1:12" x14ac:dyDescent="0.25">
      <c r="H16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2030-E2E8-4EED-AAFF-5F81824340E6}">
  <dimension ref="A1:M10"/>
  <sheetViews>
    <sheetView topLeftCell="E3" workbookViewId="0">
      <selection activeCell="Q15" sqref="Q15"/>
    </sheetView>
  </sheetViews>
  <sheetFormatPr defaultRowHeight="15" x14ac:dyDescent="0.25"/>
  <cols>
    <col min="1" max="1" width="17.42578125" customWidth="1"/>
    <col min="2" max="2" width="15.7109375" customWidth="1"/>
    <col min="7" max="8" width="8.7109375" customWidth="1"/>
  </cols>
  <sheetData>
    <row r="1" spans="1:13" ht="15.75" x14ac:dyDescent="0.25">
      <c r="A1" s="1" t="s">
        <v>2</v>
      </c>
    </row>
    <row r="3" spans="1:13" ht="15.75" x14ac:dyDescent="0.25">
      <c r="A3" s="8" t="s">
        <v>5</v>
      </c>
      <c r="B3" s="8" t="s">
        <v>4</v>
      </c>
      <c r="E3" t="s">
        <v>84</v>
      </c>
    </row>
    <row r="4" spans="1:13" ht="26.25" x14ac:dyDescent="0.4">
      <c r="A4" s="8" t="s">
        <v>10</v>
      </c>
      <c r="B4" s="8" t="s">
        <v>11</v>
      </c>
      <c r="D4" s="11" t="s">
        <v>104</v>
      </c>
      <c r="F4" t="s">
        <v>86</v>
      </c>
    </row>
    <row r="5" spans="1:13" ht="15.75" x14ac:dyDescent="0.25">
      <c r="A5" s="3">
        <v>10.29</v>
      </c>
      <c r="B5" s="3">
        <v>47.710999999999999</v>
      </c>
    </row>
    <row r="6" spans="1:13" ht="15.75" x14ac:dyDescent="0.25">
      <c r="A6" s="3">
        <v>11.22</v>
      </c>
      <c r="B6" s="3">
        <v>52.5</v>
      </c>
      <c r="J6" t="s">
        <v>36</v>
      </c>
      <c r="K6">
        <v>0.94715945417299663</v>
      </c>
    </row>
    <row r="7" spans="1:13" ht="15.75" x14ac:dyDescent="0.25">
      <c r="A7" s="3">
        <v>12.92</v>
      </c>
      <c r="B7" s="3">
        <v>53.726999999999997</v>
      </c>
      <c r="I7" s="12" t="s">
        <v>85</v>
      </c>
      <c r="J7" s="12">
        <f>K6^2</f>
        <v>0.89711103162928885</v>
      </c>
      <c r="K7" s="12" t="s">
        <v>89</v>
      </c>
      <c r="L7" s="12"/>
    </row>
    <row r="8" spans="1:13" ht="15.75" x14ac:dyDescent="0.25">
      <c r="A8" s="3">
        <v>13.99</v>
      </c>
      <c r="B8" s="3">
        <v>64.388999999999996</v>
      </c>
    </row>
    <row r="9" spans="1:13" x14ac:dyDescent="0.25">
      <c r="F9" t="s">
        <v>87</v>
      </c>
      <c r="M9" t="s">
        <v>88</v>
      </c>
    </row>
    <row r="10" spans="1:13" x14ac:dyDescent="0.25">
      <c r="A10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DAE9-76DD-4910-BC51-9B93D130DB6D}">
  <dimension ref="I6:L15"/>
  <sheetViews>
    <sheetView topLeftCell="A5" workbookViewId="0">
      <selection activeCell="Q10" sqref="Q10"/>
    </sheetView>
  </sheetViews>
  <sheetFormatPr defaultRowHeight="15" x14ac:dyDescent="0.25"/>
  <sheetData>
    <row r="6" spans="9:12" ht="26.25" x14ac:dyDescent="0.4">
      <c r="I6" s="41"/>
      <c r="J6" s="41"/>
      <c r="K6" s="41"/>
      <c r="L6" s="41"/>
    </row>
    <row r="7" spans="9:12" ht="26.25" x14ac:dyDescent="0.4">
      <c r="I7" s="42"/>
      <c r="J7" s="42"/>
      <c r="K7" s="42"/>
      <c r="L7" s="41"/>
    </row>
    <row r="8" spans="9:12" ht="26.25" x14ac:dyDescent="0.4">
      <c r="I8" s="44" t="s">
        <v>0</v>
      </c>
      <c r="J8" s="44"/>
      <c r="K8" s="44"/>
      <c r="L8" s="44"/>
    </row>
    <row r="9" spans="9:12" ht="26.25" x14ac:dyDescent="0.4">
      <c r="I9" s="42"/>
      <c r="J9" s="42"/>
      <c r="K9" s="42"/>
      <c r="L9" s="41"/>
    </row>
    <row r="10" spans="9:12" ht="26.25" x14ac:dyDescent="0.4">
      <c r="I10" s="44"/>
      <c r="J10" s="44"/>
      <c r="K10" s="44"/>
      <c r="L10" s="44"/>
    </row>
    <row r="11" spans="9:12" ht="26.25" x14ac:dyDescent="0.4">
      <c r="I11" s="42"/>
      <c r="J11" s="42"/>
      <c r="K11" s="42"/>
      <c r="L11" s="41"/>
    </row>
    <row r="12" spans="9:12" ht="26.25" x14ac:dyDescent="0.4">
      <c r="I12" s="44" t="s">
        <v>1</v>
      </c>
      <c r="J12" s="44"/>
      <c r="K12" s="44"/>
      <c r="L12" s="44"/>
    </row>
    <row r="13" spans="9:12" ht="26.25" x14ac:dyDescent="0.4">
      <c r="I13" s="41"/>
      <c r="J13" s="41"/>
      <c r="K13" s="41"/>
      <c r="L13" s="41"/>
    </row>
    <row r="14" spans="9:12" ht="26.25" x14ac:dyDescent="0.4">
      <c r="I14" s="44" t="s">
        <v>240</v>
      </c>
      <c r="J14" s="44"/>
      <c r="K14" s="44"/>
      <c r="L14" s="44"/>
    </row>
    <row r="15" spans="9:12" ht="26.25" x14ac:dyDescent="0.4">
      <c r="I15" s="41"/>
      <c r="J15" s="41"/>
      <c r="K15" s="41"/>
      <c r="L15" s="41"/>
    </row>
  </sheetData>
  <mergeCells count="4">
    <mergeCell ref="I8:L8"/>
    <mergeCell ref="I10:L10"/>
    <mergeCell ref="I12:L12"/>
    <mergeCell ref="I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</dc:creator>
  <cp:lastModifiedBy>Oksana Goljevacki</cp:lastModifiedBy>
  <dcterms:created xsi:type="dcterms:W3CDTF">2023-06-15T07:52:19Z</dcterms:created>
  <dcterms:modified xsi:type="dcterms:W3CDTF">2024-11-03T09:21:36Z</dcterms:modified>
</cp:coreProperties>
</file>