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ADB1CCE4-8FAE-44DE-A50A-D482F038E30C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Contacts" sheetId="20" r:id="rId1"/>
    <sheet name="Sheet1" sheetId="22" r:id="rId2"/>
    <sheet name="Input" sheetId="14" r:id="rId3"/>
    <sheet name="View_Print" sheetId="15" r:id="rId4"/>
    <sheet name="Log" sheetId="13" r:id="rId5"/>
    <sheet name="Update" sheetId="16" r:id="rId6"/>
    <sheet name="Data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7" i="15" l="1"/>
  <c r="M171" i="15"/>
  <c r="H161" i="15"/>
  <c r="K159" i="15"/>
  <c r="J154" i="15"/>
  <c r="K153" i="15"/>
  <c r="I148" i="15"/>
  <c r="C146" i="15"/>
  <c r="O141" i="15"/>
  <c r="I140" i="15"/>
  <c r="M136" i="15"/>
  <c r="C136" i="15"/>
  <c r="D133" i="15"/>
  <c r="F132" i="15"/>
  <c r="H130" i="15"/>
  <c r="N129" i="15"/>
  <c r="P127" i="15"/>
  <c r="J127" i="15"/>
  <c r="L125" i="15"/>
  <c r="N124" i="15"/>
  <c r="P122" i="15"/>
  <c r="E122" i="15"/>
  <c r="G120" i="15"/>
  <c r="A120" i="15"/>
  <c r="C118" i="15"/>
  <c r="E117" i="15"/>
  <c r="G115" i="15"/>
  <c r="M114" i="15"/>
  <c r="O112" i="15"/>
  <c r="I112" i="15"/>
  <c r="K110" i="15"/>
  <c r="M109" i="15"/>
  <c r="O107" i="15"/>
  <c r="D107" i="15"/>
  <c r="F105" i="15"/>
  <c r="Q104" i="15"/>
  <c r="B103" i="15"/>
  <c r="D102" i="15"/>
  <c r="K100" i="15"/>
  <c r="O99" i="15"/>
  <c r="G98" i="15"/>
  <c r="E98" i="15"/>
  <c r="N96" i="15"/>
  <c r="A96" i="15"/>
  <c r="J94" i="15"/>
  <c r="Q93" i="15"/>
  <c r="F92" i="15"/>
  <c r="D92" i="15"/>
  <c r="M90" i="15"/>
  <c r="Q89" i="15"/>
  <c r="I88" i="15"/>
  <c r="P87" i="15"/>
  <c r="H86" i="15"/>
  <c r="C86" i="15"/>
  <c r="L84" i="15"/>
  <c r="B84" i="15"/>
  <c r="H82" i="15"/>
  <c r="O81" i="15"/>
  <c r="G80" i="15"/>
  <c r="B80" i="15"/>
  <c r="A79" i="15"/>
  <c r="J78" i="15"/>
  <c r="I77" i="15"/>
  <c r="A77" i="15"/>
  <c r="P75" i="15"/>
  <c r="N75" i="15"/>
  <c r="M74" i="15"/>
  <c r="E74" i="15"/>
  <c r="C73" i="15"/>
  <c r="L72" i="15"/>
  <c r="K71" i="15"/>
  <c r="I71" i="15"/>
  <c r="H70" i="15"/>
  <c r="A70" i="15"/>
  <c r="B69" i="15"/>
  <c r="L68" i="15"/>
  <c r="M67" i="15"/>
  <c r="K67" i="15"/>
  <c r="P66" i="15"/>
  <c r="M66" i="15"/>
  <c r="D66" i="15"/>
  <c r="Q65" i="15"/>
  <c r="G65" i="15"/>
  <c r="E65" i="15"/>
  <c r="K64" i="15"/>
  <c r="H64" i="15"/>
  <c r="P63" i="15"/>
  <c r="L63" i="15"/>
  <c r="C63" i="15"/>
  <c r="Q62" i="15"/>
  <c r="H62" i="15"/>
  <c r="D62" i="15"/>
  <c r="K61" i="15"/>
  <c r="I61" i="15"/>
  <c r="O60" i="15"/>
  <c r="L60" i="15"/>
  <c r="C60" i="15"/>
  <c r="P59" i="15"/>
  <c r="G59" i="15"/>
  <c r="D59" i="15"/>
  <c r="L58" i="15"/>
  <c r="H58" i="15"/>
  <c r="O57" i="15"/>
  <c r="M57" i="15"/>
  <c r="B57" i="15"/>
  <c r="P56" i="15"/>
  <c r="H56" i="15"/>
  <c r="F56" i="15"/>
  <c r="O55" i="15"/>
  <c r="K55" i="15"/>
  <c r="C55" i="15"/>
  <c r="A55" i="15"/>
  <c r="J54" i="15"/>
  <c r="H54" i="15"/>
  <c r="Q53" i="15"/>
  <c r="M53" i="15"/>
  <c r="L52" i="15"/>
  <c r="A52" i="15"/>
  <c r="J51" i="15"/>
  <c r="H51" i="15"/>
  <c r="Q50" i="15"/>
  <c r="N50" i="15"/>
  <c r="G50" i="15"/>
  <c r="D50" i="15"/>
  <c r="M49" i="15"/>
  <c r="K49" i="15"/>
  <c r="Q48" i="15"/>
  <c r="O48" i="15"/>
  <c r="F48" i="15"/>
  <c r="A48" i="15"/>
  <c r="K47" i="15"/>
  <c r="H47" i="15"/>
  <c r="Q46" i="15"/>
  <c r="O46" i="15"/>
  <c r="H46" i="15"/>
  <c r="E46" i="15"/>
  <c r="P45" i="15"/>
  <c r="M45" i="15"/>
  <c r="N44" i="15"/>
  <c r="L44" i="15"/>
  <c r="M43" i="15"/>
  <c r="K43" i="15"/>
  <c r="M42" i="15"/>
  <c r="K42" i="15"/>
  <c r="C42" i="15"/>
  <c r="A42" i="15"/>
  <c r="K41" i="15"/>
  <c r="Q40" i="15"/>
  <c r="J40" i="15"/>
  <c r="G40" i="15"/>
  <c r="A40" i="15"/>
  <c r="O39" i="15"/>
  <c r="H39" i="15"/>
  <c r="F39" i="15"/>
  <c r="P38" i="15"/>
  <c r="N38" i="15"/>
  <c r="G38" i="15"/>
  <c r="E38" i="15"/>
  <c r="O37" i="15"/>
  <c r="M37" i="15"/>
  <c r="F37" i="15"/>
  <c r="D37" i="15"/>
  <c r="M36" i="15"/>
  <c r="J36" i="15"/>
  <c r="D36" i="15"/>
  <c r="A36" i="15"/>
  <c r="K35" i="15"/>
  <c r="I35" i="15"/>
  <c r="B35" i="15"/>
  <c r="Q34" i="15"/>
  <c r="J34" i="15"/>
  <c r="H34" i="15"/>
  <c r="L33" i="15"/>
  <c r="J33" i="15"/>
  <c r="N32" i="15"/>
  <c r="L32" i="15"/>
  <c r="P31" i="15"/>
  <c r="M31" i="15"/>
  <c r="A31" i="15"/>
  <c r="P30" i="15"/>
  <c r="J30" i="15"/>
  <c r="H30" i="15"/>
  <c r="M29" i="15"/>
  <c r="K29" i="15"/>
  <c r="P28" i="15"/>
  <c r="N28" i="15"/>
  <c r="H28" i="15"/>
  <c r="Q27" i="15"/>
  <c r="K27" i="15"/>
  <c r="I27" i="15"/>
  <c r="N26" i="15"/>
  <c r="L26" i="15"/>
  <c r="Q25" i="15"/>
  <c r="O25" i="15"/>
  <c r="I25" i="15"/>
  <c r="G25" i="15"/>
  <c r="P24" i="15"/>
  <c r="N24" i="15"/>
  <c r="H24" i="15"/>
  <c r="Q23" i="15"/>
  <c r="K23" i="15"/>
  <c r="I23" i="15"/>
  <c r="O22" i="15"/>
  <c r="M22" i="15"/>
  <c r="A22" i="15"/>
  <c r="P21" i="15"/>
  <c r="A21" i="15"/>
  <c r="P20" i="15"/>
  <c r="J20" i="15"/>
  <c r="H20" i="15"/>
  <c r="Q19" i="15"/>
  <c r="O19" i="15"/>
  <c r="I19" i="15"/>
  <c r="G19" i="15"/>
  <c r="A19" i="15"/>
  <c r="P18" i="15"/>
  <c r="J18" i="15"/>
  <c r="F18" i="15"/>
  <c r="O17" i="15"/>
  <c r="M17" i="15"/>
  <c r="E17" i="15"/>
  <c r="A17" i="15"/>
  <c r="L16" i="15"/>
  <c r="J16" i="15"/>
  <c r="A16" i="15"/>
  <c r="P15" i="15"/>
  <c r="J15" i="15"/>
  <c r="H15" i="15"/>
  <c r="A15" i="15"/>
  <c r="P14" i="15"/>
  <c r="J14" i="15"/>
  <c r="H14" i="15"/>
  <c r="B14" i="15"/>
  <c r="Q13" i="15"/>
  <c r="K13" i="15"/>
  <c r="I13" i="15"/>
  <c r="C13" i="15"/>
  <c r="A13" i="15"/>
  <c r="L12" i="15"/>
  <c r="J12" i="15"/>
  <c r="B12" i="15"/>
  <c r="Q11" i="15"/>
  <c r="K11" i="15"/>
  <c r="I11" i="15"/>
  <c r="C11" i="15"/>
  <c r="A11" i="15"/>
  <c r="L10" i="15"/>
  <c r="J10" i="15"/>
  <c r="Q9" i="15"/>
  <c r="O9" i="15"/>
  <c r="G9" i="15"/>
  <c r="E9" i="15"/>
  <c r="N8" i="15"/>
  <c r="L8" i="15"/>
  <c r="B8" i="15"/>
  <c r="Q7" i="15"/>
  <c r="K7" i="15"/>
  <c r="I7" i="15"/>
  <c r="C7" i="15"/>
  <c r="A7" i="15"/>
  <c r="L6" i="15"/>
  <c r="J6" i="15"/>
  <c r="Q5" i="15"/>
  <c r="O5" i="15"/>
  <c r="I5" i="15"/>
  <c r="G5" i="15"/>
  <c r="A5" i="15"/>
  <c r="P4" i="15"/>
  <c r="J4" i="15"/>
  <c r="F4" i="15"/>
  <c r="O3" i="15"/>
  <c r="M3" i="15"/>
  <c r="M2" i="15"/>
  <c r="A1" i="15"/>
  <c r="B1" i="20"/>
  <c r="B1" i="15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23" i="14"/>
  <c r="F48" i="22"/>
  <c r="H47" i="22" s="1"/>
  <c r="B48" i="22"/>
  <c r="E43" i="22"/>
  <c r="J33" i="22"/>
  <c r="J32" i="22"/>
  <c r="J31" i="22"/>
  <c r="J30" i="22"/>
  <c r="J29" i="22"/>
  <c r="J28" i="22"/>
  <c r="J27" i="22"/>
  <c r="J36" i="22" s="1"/>
  <c r="J39" i="22" s="1"/>
  <c r="A25" i="22"/>
  <c r="G18" i="22"/>
  <c r="G17" i="22"/>
  <c r="B17" i="22"/>
  <c r="B16" i="22"/>
  <c r="B15" i="22"/>
  <c r="B12" i="22"/>
  <c r="G10" i="22"/>
  <c r="B10" i="22"/>
  <c r="G9" i="22"/>
  <c r="B9" i="22"/>
  <c r="B4" i="22"/>
  <c r="A3" i="22"/>
  <c r="F4" i="22" s="1"/>
  <c r="E43" i="14"/>
  <c r="F48" i="14"/>
  <c r="H47" i="14" s="1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Q200" i="15" l="1"/>
  <c r="I200" i="15"/>
  <c r="A200" i="15"/>
  <c r="J199" i="15"/>
  <c r="B199" i="15"/>
  <c r="K198" i="15"/>
  <c r="C198" i="15"/>
  <c r="L197" i="15"/>
  <c r="D197" i="15"/>
  <c r="M196" i="15"/>
  <c r="E196" i="15"/>
  <c r="N195" i="15"/>
  <c r="F195" i="15"/>
  <c r="O194" i="15"/>
  <c r="G194" i="15"/>
  <c r="P193" i="15"/>
  <c r="H193" i="15"/>
  <c r="Q192" i="15"/>
  <c r="I192" i="15"/>
  <c r="A192" i="15"/>
  <c r="J191" i="15"/>
  <c r="B191" i="15"/>
  <c r="K190" i="15"/>
  <c r="C190" i="15"/>
  <c r="L189" i="15"/>
  <c r="D189" i="15"/>
  <c r="M188" i="15"/>
  <c r="E188" i="15"/>
  <c r="N187" i="15"/>
  <c r="F187" i="15"/>
  <c r="O186" i="15"/>
  <c r="G186" i="15"/>
  <c r="P185" i="15"/>
  <c r="H185" i="15"/>
  <c r="Q184" i="15"/>
  <c r="I184" i="15"/>
  <c r="A184" i="15"/>
  <c r="J183" i="15"/>
  <c r="B183" i="15"/>
  <c r="K182" i="15"/>
  <c r="C182" i="15"/>
  <c r="L181" i="15"/>
  <c r="D181" i="15"/>
  <c r="M180" i="15"/>
  <c r="E180" i="15"/>
  <c r="N179" i="15"/>
  <c r="F179" i="15"/>
  <c r="O178" i="15"/>
  <c r="G178" i="15"/>
  <c r="P177" i="15"/>
  <c r="H177" i="15"/>
  <c r="Q176" i="15"/>
  <c r="I176" i="15"/>
  <c r="A176" i="15"/>
  <c r="P200" i="15"/>
  <c r="H200" i="15"/>
  <c r="Q199" i="15"/>
  <c r="I199" i="15"/>
  <c r="A199" i="15"/>
  <c r="J198" i="15"/>
  <c r="B198" i="15"/>
  <c r="K197" i="15"/>
  <c r="C197" i="15"/>
  <c r="L196" i="15"/>
  <c r="D196" i="15"/>
  <c r="M195" i="15"/>
  <c r="E195" i="15"/>
  <c r="N194" i="15"/>
  <c r="F194" i="15"/>
  <c r="O193" i="15"/>
  <c r="G193" i="15"/>
  <c r="P192" i="15"/>
  <c r="H192" i="15"/>
  <c r="Q191" i="15"/>
  <c r="I191" i="15"/>
  <c r="A191" i="15"/>
  <c r="J190" i="15"/>
  <c r="B190" i="15"/>
  <c r="K189" i="15"/>
  <c r="C189" i="15"/>
  <c r="L188" i="15"/>
  <c r="D188" i="15"/>
  <c r="M187" i="15"/>
  <c r="E187" i="15"/>
  <c r="N186" i="15"/>
  <c r="F186" i="15"/>
  <c r="O185" i="15"/>
  <c r="G185" i="15"/>
  <c r="P184" i="15"/>
  <c r="H184" i="15"/>
  <c r="Q183" i="15"/>
  <c r="I183" i="15"/>
  <c r="A183" i="15"/>
  <c r="J182" i="15"/>
  <c r="B182" i="15"/>
  <c r="K181" i="15"/>
  <c r="C181" i="15"/>
  <c r="L180" i="15"/>
  <c r="D180" i="15"/>
  <c r="M179" i="15"/>
  <c r="E179" i="15"/>
  <c r="N178" i="15"/>
  <c r="F178" i="15"/>
  <c r="O177" i="15"/>
  <c r="G177" i="15"/>
  <c r="P176" i="15"/>
  <c r="H176" i="15"/>
  <c r="Q175" i="15"/>
  <c r="O200" i="15"/>
  <c r="G200" i="15"/>
  <c r="P199" i="15"/>
  <c r="H199" i="15"/>
  <c r="Q198" i="15"/>
  <c r="I198" i="15"/>
  <c r="A198" i="15"/>
  <c r="J197" i="15"/>
  <c r="B197" i="15"/>
  <c r="K196" i="15"/>
  <c r="C196" i="15"/>
  <c r="L195" i="15"/>
  <c r="D195" i="15"/>
  <c r="M194" i="15"/>
  <c r="E194" i="15"/>
  <c r="N193" i="15"/>
  <c r="F193" i="15"/>
  <c r="O192" i="15"/>
  <c r="G192" i="15"/>
  <c r="P191" i="15"/>
  <c r="H191" i="15"/>
  <c r="Q190" i="15"/>
  <c r="I190" i="15"/>
  <c r="A190" i="15"/>
  <c r="J189" i="15"/>
  <c r="B189" i="15"/>
  <c r="K188" i="15"/>
  <c r="C188" i="15"/>
  <c r="L187" i="15"/>
  <c r="D187" i="15"/>
  <c r="M186" i="15"/>
  <c r="E186" i="15"/>
  <c r="N185" i="15"/>
  <c r="F185" i="15"/>
  <c r="O184" i="15"/>
  <c r="G184" i="15"/>
  <c r="P183" i="15"/>
  <c r="H183" i="15"/>
  <c r="Q182" i="15"/>
  <c r="I182" i="15"/>
  <c r="A182" i="15"/>
  <c r="J181" i="15"/>
  <c r="B181" i="15"/>
  <c r="K180" i="15"/>
  <c r="C180" i="15"/>
  <c r="L179" i="15"/>
  <c r="D179" i="15"/>
  <c r="M178" i="15"/>
  <c r="E178" i="15"/>
  <c r="N177" i="15"/>
  <c r="F177" i="15"/>
  <c r="O176" i="15"/>
  <c r="G176" i="15"/>
  <c r="P175" i="15"/>
  <c r="H175" i="15"/>
  <c r="Q174" i="15"/>
  <c r="I174" i="15"/>
  <c r="A174" i="15"/>
  <c r="J173" i="15"/>
  <c r="B173" i="15"/>
  <c r="K172" i="15"/>
  <c r="C172" i="15"/>
  <c r="L171" i="15"/>
  <c r="D171" i="15"/>
  <c r="M170" i="15"/>
  <c r="E170" i="15"/>
  <c r="N169" i="15"/>
  <c r="F169" i="15"/>
  <c r="O168" i="15"/>
  <c r="G168" i="15"/>
  <c r="P167" i="15"/>
  <c r="H167" i="15"/>
  <c r="Q166" i="15"/>
  <c r="I166" i="15"/>
  <c r="A166" i="15"/>
  <c r="J165" i="15"/>
  <c r="B165" i="15"/>
  <c r="K164" i="15"/>
  <c r="C164" i="15"/>
  <c r="L163" i="15"/>
  <c r="D163" i="15"/>
  <c r="M162" i="15"/>
  <c r="E162" i="15"/>
  <c r="N161" i="15"/>
  <c r="F161" i="15"/>
  <c r="N200" i="15"/>
  <c r="F200" i="15"/>
  <c r="O199" i="15"/>
  <c r="G199" i="15"/>
  <c r="P198" i="15"/>
  <c r="H198" i="15"/>
  <c r="Q197" i="15"/>
  <c r="I197" i="15"/>
  <c r="A197" i="15"/>
  <c r="J196" i="15"/>
  <c r="B196" i="15"/>
  <c r="K195" i="15"/>
  <c r="C195" i="15"/>
  <c r="L194" i="15"/>
  <c r="D194" i="15"/>
  <c r="M193" i="15"/>
  <c r="E193" i="15"/>
  <c r="N192" i="15"/>
  <c r="F192" i="15"/>
  <c r="O191" i="15"/>
  <c r="G191" i="15"/>
  <c r="P190" i="15"/>
  <c r="H190" i="15"/>
  <c r="Q189" i="15"/>
  <c r="I189" i="15"/>
  <c r="A189" i="15"/>
  <c r="J188" i="15"/>
  <c r="B188" i="15"/>
  <c r="K187" i="15"/>
  <c r="C187" i="15"/>
  <c r="L186" i="15"/>
  <c r="D186" i="15"/>
  <c r="M185" i="15"/>
  <c r="E185" i="15"/>
  <c r="N184" i="15"/>
  <c r="F184" i="15"/>
  <c r="O183" i="15"/>
  <c r="G183" i="15"/>
  <c r="P182" i="15"/>
  <c r="H182" i="15"/>
  <c r="Q181" i="15"/>
  <c r="I181" i="15"/>
  <c r="A181" i="15"/>
  <c r="J180" i="15"/>
  <c r="B180" i="15"/>
  <c r="K179" i="15"/>
  <c r="C179" i="15"/>
  <c r="L178" i="15"/>
  <c r="D178" i="15"/>
  <c r="M177" i="15"/>
  <c r="E177" i="15"/>
  <c r="N176" i="15"/>
  <c r="F176" i="15"/>
  <c r="O175" i="15"/>
  <c r="G175" i="15"/>
  <c r="P174" i="15"/>
  <c r="H174" i="15"/>
  <c r="Q173" i="15"/>
  <c r="I173" i="15"/>
  <c r="A173" i="15"/>
  <c r="J172" i="15"/>
  <c r="B172" i="15"/>
  <c r="K171" i="15"/>
  <c r="C171" i="15"/>
  <c r="L170" i="15"/>
  <c r="D170" i="15"/>
  <c r="M169" i="15"/>
  <c r="E169" i="15"/>
  <c r="N168" i="15"/>
  <c r="F168" i="15"/>
  <c r="O167" i="15"/>
  <c r="G167" i="15"/>
  <c r="P166" i="15"/>
  <c r="H166" i="15"/>
  <c r="Q165" i="15"/>
  <c r="I165" i="15"/>
  <c r="A165" i="15"/>
  <c r="J164" i="15"/>
  <c r="B164" i="15"/>
  <c r="K163" i="15"/>
  <c r="C163" i="15"/>
  <c r="L162" i="15"/>
  <c r="D162" i="15"/>
  <c r="M161" i="15"/>
  <c r="E161" i="15"/>
  <c r="M200" i="15"/>
  <c r="E200" i="15"/>
  <c r="N199" i="15"/>
  <c r="F199" i="15"/>
  <c r="O198" i="15"/>
  <c r="G198" i="15"/>
  <c r="P197" i="15"/>
  <c r="H197" i="15"/>
  <c r="Q196" i="15"/>
  <c r="I196" i="15"/>
  <c r="A196" i="15"/>
  <c r="J195" i="15"/>
  <c r="B195" i="15"/>
  <c r="K194" i="15"/>
  <c r="C194" i="15"/>
  <c r="L193" i="15"/>
  <c r="D193" i="15"/>
  <c r="M192" i="15"/>
  <c r="E192" i="15"/>
  <c r="N191" i="15"/>
  <c r="F191" i="15"/>
  <c r="O190" i="15"/>
  <c r="G190" i="15"/>
  <c r="P189" i="15"/>
  <c r="H189" i="15"/>
  <c r="Q188" i="15"/>
  <c r="I188" i="15"/>
  <c r="A188" i="15"/>
  <c r="J187" i="15"/>
  <c r="B187" i="15"/>
  <c r="K186" i="15"/>
  <c r="C186" i="15"/>
  <c r="L185" i="15"/>
  <c r="D185" i="15"/>
  <c r="M184" i="15"/>
  <c r="E184" i="15"/>
  <c r="N183" i="15"/>
  <c r="F183" i="15"/>
  <c r="O182" i="15"/>
  <c r="G182" i="15"/>
  <c r="P181" i="15"/>
  <c r="H181" i="15"/>
  <c r="Q180" i="15"/>
  <c r="I180" i="15"/>
  <c r="A180" i="15"/>
  <c r="J179" i="15"/>
  <c r="B179" i="15"/>
  <c r="K178" i="15"/>
  <c r="C178" i="15"/>
  <c r="L177" i="15"/>
  <c r="D177" i="15"/>
  <c r="M176" i="15"/>
  <c r="E176" i="15"/>
  <c r="N175" i="15"/>
  <c r="F175" i="15"/>
  <c r="O174" i="15"/>
  <c r="G174" i="15"/>
  <c r="P173" i="15"/>
  <c r="H173" i="15"/>
  <c r="Q172" i="15"/>
  <c r="I172" i="15"/>
  <c r="A172" i="15"/>
  <c r="J171" i="15"/>
  <c r="B171" i="15"/>
  <c r="K170" i="15"/>
  <c r="C170" i="15"/>
  <c r="L169" i="15"/>
  <c r="D169" i="15"/>
  <c r="M168" i="15"/>
  <c r="E168" i="15"/>
  <c r="N167" i="15"/>
  <c r="F167" i="15"/>
  <c r="O166" i="15"/>
  <c r="G166" i="15"/>
  <c r="P165" i="15"/>
  <c r="H165" i="15"/>
  <c r="Q164" i="15"/>
  <c r="I164" i="15"/>
  <c r="A164" i="15"/>
  <c r="J163" i="15"/>
  <c r="B163" i="15"/>
  <c r="K162" i="15"/>
  <c r="C162" i="15"/>
  <c r="L161" i="15"/>
  <c r="D161" i="15"/>
  <c r="K200" i="15"/>
  <c r="C200" i="15"/>
  <c r="L199" i="15"/>
  <c r="D199" i="15"/>
  <c r="M198" i="15"/>
  <c r="E198" i="15"/>
  <c r="N197" i="15"/>
  <c r="F197" i="15"/>
  <c r="O196" i="15"/>
  <c r="G196" i="15"/>
  <c r="P195" i="15"/>
  <c r="H195" i="15"/>
  <c r="Q194" i="15"/>
  <c r="I194" i="15"/>
  <c r="A194" i="15"/>
  <c r="J193" i="15"/>
  <c r="B193" i="15"/>
  <c r="K192" i="15"/>
  <c r="C192" i="15"/>
  <c r="L191" i="15"/>
  <c r="D191" i="15"/>
  <c r="M190" i="15"/>
  <c r="E190" i="15"/>
  <c r="N189" i="15"/>
  <c r="F189" i="15"/>
  <c r="O188" i="15"/>
  <c r="G188" i="15"/>
  <c r="P187" i="15"/>
  <c r="H187" i="15"/>
  <c r="Q186" i="15"/>
  <c r="I186" i="15"/>
  <c r="A186" i="15"/>
  <c r="J185" i="15"/>
  <c r="B185" i="15"/>
  <c r="K184" i="15"/>
  <c r="C184" i="15"/>
  <c r="L183" i="15"/>
  <c r="D183" i="15"/>
  <c r="M182" i="15"/>
  <c r="E182" i="15"/>
  <c r="N181" i="15"/>
  <c r="F181" i="15"/>
  <c r="O180" i="15"/>
  <c r="G180" i="15"/>
  <c r="P179" i="15"/>
  <c r="H179" i="15"/>
  <c r="Q178" i="15"/>
  <c r="I178" i="15"/>
  <c r="A178" i="15"/>
  <c r="J177" i="15"/>
  <c r="B177" i="15"/>
  <c r="K176" i="15"/>
  <c r="C176" i="15"/>
  <c r="L175" i="15"/>
  <c r="D175" i="15"/>
  <c r="M174" i="15"/>
  <c r="E174" i="15"/>
  <c r="N173" i="15"/>
  <c r="F173" i="15"/>
  <c r="O172" i="15"/>
  <c r="G172" i="15"/>
  <c r="P171" i="15"/>
  <c r="H171" i="15"/>
  <c r="Q170" i="15"/>
  <c r="I170" i="15"/>
  <c r="A170" i="15"/>
  <c r="J169" i="15"/>
  <c r="B169" i="15"/>
  <c r="K168" i="15"/>
  <c r="C168" i="15"/>
  <c r="L167" i="15"/>
  <c r="D167" i="15"/>
  <c r="M166" i="15"/>
  <c r="E166" i="15"/>
  <c r="N165" i="15"/>
  <c r="F165" i="15"/>
  <c r="O164" i="15"/>
  <c r="G164" i="15"/>
  <c r="P163" i="15"/>
  <c r="H163" i="15"/>
  <c r="Q162" i="15"/>
  <c r="I162" i="15"/>
  <c r="A162" i="15"/>
  <c r="J161" i="15"/>
  <c r="B161" i="15"/>
  <c r="L200" i="15"/>
  <c r="N198" i="15"/>
  <c r="P196" i="15"/>
  <c r="A195" i="15"/>
  <c r="C193" i="15"/>
  <c r="E191" i="15"/>
  <c r="G189" i="15"/>
  <c r="I187" i="15"/>
  <c r="K185" i="15"/>
  <c r="M183" i="15"/>
  <c r="O181" i="15"/>
  <c r="Q179" i="15"/>
  <c r="B178" i="15"/>
  <c r="D176" i="15"/>
  <c r="B175" i="15"/>
  <c r="C174" i="15"/>
  <c r="D173" i="15"/>
  <c r="E172" i="15"/>
  <c r="F171" i="15"/>
  <c r="G170" i="15"/>
  <c r="H169" i="15"/>
  <c r="I168" i="15"/>
  <c r="J167" i="15"/>
  <c r="K166" i="15"/>
  <c r="L165" i="15"/>
  <c r="M164" i="15"/>
  <c r="N163" i="15"/>
  <c r="O162" i="15"/>
  <c r="P161" i="15"/>
  <c r="Q160" i="15"/>
  <c r="I160" i="15"/>
  <c r="A160" i="15"/>
  <c r="J159" i="15"/>
  <c r="B159" i="15"/>
  <c r="K158" i="15"/>
  <c r="C158" i="15"/>
  <c r="L157" i="15"/>
  <c r="D157" i="15"/>
  <c r="M156" i="15"/>
  <c r="E156" i="15"/>
  <c r="N155" i="15"/>
  <c r="F155" i="15"/>
  <c r="O154" i="15"/>
  <c r="G154" i="15"/>
  <c r="P153" i="15"/>
  <c r="H153" i="15"/>
  <c r="Q152" i="15"/>
  <c r="I152" i="15"/>
  <c r="A152" i="15"/>
  <c r="J151" i="15"/>
  <c r="B151" i="15"/>
  <c r="K150" i="15"/>
  <c r="C150" i="15"/>
  <c r="L149" i="15"/>
  <c r="D149" i="15"/>
  <c r="M148" i="15"/>
  <c r="E148" i="15"/>
  <c r="N147" i="15"/>
  <c r="F147" i="15"/>
  <c r="O146" i="15"/>
  <c r="G146" i="15"/>
  <c r="P145" i="15"/>
  <c r="H145" i="15"/>
  <c r="Q144" i="15"/>
  <c r="I144" i="15"/>
  <c r="A144" i="15"/>
  <c r="J143" i="15"/>
  <c r="B143" i="15"/>
  <c r="K142" i="15"/>
  <c r="C142" i="15"/>
  <c r="L141" i="15"/>
  <c r="D141" i="15"/>
  <c r="M140" i="15"/>
  <c r="E140" i="15"/>
  <c r="N139" i="15"/>
  <c r="F139" i="15"/>
  <c r="O138" i="15"/>
  <c r="G138" i="15"/>
  <c r="P137" i="15"/>
  <c r="H137" i="15"/>
  <c r="Q136" i="15"/>
  <c r="I136" i="15"/>
  <c r="A136" i="15"/>
  <c r="J135" i="15"/>
  <c r="B135" i="15"/>
  <c r="J200" i="15"/>
  <c r="L198" i="15"/>
  <c r="N196" i="15"/>
  <c r="P194" i="15"/>
  <c r="A193" i="15"/>
  <c r="C191" i="15"/>
  <c r="E189" i="15"/>
  <c r="G187" i="15"/>
  <c r="I185" i="15"/>
  <c r="K183" i="15"/>
  <c r="M181" i="15"/>
  <c r="O179" i="15"/>
  <c r="Q177" i="15"/>
  <c r="B176" i="15"/>
  <c r="A175" i="15"/>
  <c r="B174" i="15"/>
  <c r="C173" i="15"/>
  <c r="D172" i="15"/>
  <c r="E171" i="15"/>
  <c r="F170" i="15"/>
  <c r="G169" i="15"/>
  <c r="H168" i="15"/>
  <c r="I167" i="15"/>
  <c r="J166" i="15"/>
  <c r="K165" i="15"/>
  <c r="L164" i="15"/>
  <c r="M163" i="15"/>
  <c r="N162" i="15"/>
  <c r="O161" i="15"/>
  <c r="P160" i="15"/>
  <c r="H160" i="15"/>
  <c r="Q159" i="15"/>
  <c r="I159" i="15"/>
  <c r="A159" i="15"/>
  <c r="J158" i="15"/>
  <c r="B158" i="15"/>
  <c r="K157" i="15"/>
  <c r="C157" i="15"/>
  <c r="L156" i="15"/>
  <c r="D156" i="15"/>
  <c r="M155" i="15"/>
  <c r="E155" i="15"/>
  <c r="N154" i="15"/>
  <c r="F154" i="15"/>
  <c r="O153" i="15"/>
  <c r="G153" i="15"/>
  <c r="P152" i="15"/>
  <c r="H152" i="15"/>
  <c r="Q151" i="15"/>
  <c r="I151" i="15"/>
  <c r="A151" i="15"/>
  <c r="J150" i="15"/>
  <c r="B150" i="15"/>
  <c r="K149" i="15"/>
  <c r="C149" i="15"/>
  <c r="L148" i="15"/>
  <c r="D148" i="15"/>
  <c r="M147" i="15"/>
  <c r="E147" i="15"/>
  <c r="N146" i="15"/>
  <c r="F146" i="15"/>
  <c r="O145" i="15"/>
  <c r="G145" i="15"/>
  <c r="P144" i="15"/>
  <c r="H144" i="15"/>
  <c r="Q143" i="15"/>
  <c r="I143" i="15"/>
  <c r="A143" i="15"/>
  <c r="J142" i="15"/>
  <c r="B142" i="15"/>
  <c r="K141" i="15"/>
  <c r="C141" i="15"/>
  <c r="L140" i="15"/>
  <c r="D140" i="15"/>
  <c r="M139" i="15"/>
  <c r="E139" i="15"/>
  <c r="N138" i="15"/>
  <c r="F138" i="15"/>
  <c r="O137" i="15"/>
  <c r="G137" i="15"/>
  <c r="P136" i="15"/>
  <c r="H136" i="15"/>
  <c r="Q135" i="15"/>
  <c r="I135" i="15"/>
  <c r="A135" i="15"/>
  <c r="D200" i="15"/>
  <c r="F198" i="15"/>
  <c r="H196" i="15"/>
  <c r="J194" i="15"/>
  <c r="L192" i="15"/>
  <c r="N190" i="15"/>
  <c r="P188" i="15"/>
  <c r="A187" i="15"/>
  <c r="C185" i="15"/>
  <c r="E183" i="15"/>
  <c r="G181" i="15"/>
  <c r="I179" i="15"/>
  <c r="K177" i="15"/>
  <c r="M175" i="15"/>
  <c r="N174" i="15"/>
  <c r="O173" i="15"/>
  <c r="P172" i="15"/>
  <c r="Q171" i="15"/>
  <c r="A171" i="15"/>
  <c r="B170" i="15"/>
  <c r="C169" i="15"/>
  <c r="D168" i="15"/>
  <c r="E167" i="15"/>
  <c r="F166" i="15"/>
  <c r="G165" i="15"/>
  <c r="H164" i="15"/>
  <c r="I163" i="15"/>
  <c r="J162" i="15"/>
  <c r="K161" i="15"/>
  <c r="O160" i="15"/>
  <c r="G160" i="15"/>
  <c r="P159" i="15"/>
  <c r="H159" i="15"/>
  <c r="Q158" i="15"/>
  <c r="I158" i="15"/>
  <c r="A158" i="15"/>
  <c r="J157" i="15"/>
  <c r="B157" i="15"/>
  <c r="K156" i="15"/>
  <c r="C156" i="15"/>
  <c r="L155" i="15"/>
  <c r="D155" i="15"/>
  <c r="M154" i="15"/>
  <c r="E154" i="15"/>
  <c r="N153" i="15"/>
  <c r="F153" i="15"/>
  <c r="O152" i="15"/>
  <c r="G152" i="15"/>
  <c r="P151" i="15"/>
  <c r="H151" i="15"/>
  <c r="Q150" i="15"/>
  <c r="I150" i="15"/>
  <c r="A150" i="15"/>
  <c r="J149" i="15"/>
  <c r="B149" i="15"/>
  <c r="K148" i="15"/>
  <c r="C148" i="15"/>
  <c r="L147" i="15"/>
  <c r="D147" i="15"/>
  <c r="M146" i="15"/>
  <c r="E146" i="15"/>
  <c r="N145" i="15"/>
  <c r="F145" i="15"/>
  <c r="O144" i="15"/>
  <c r="G144" i="15"/>
  <c r="P143" i="15"/>
  <c r="H143" i="15"/>
  <c r="Q142" i="15"/>
  <c r="I142" i="15"/>
  <c r="A142" i="15"/>
  <c r="J141" i="15"/>
  <c r="B141" i="15"/>
  <c r="K140" i="15"/>
  <c r="C140" i="15"/>
  <c r="L139" i="15"/>
  <c r="D139" i="15"/>
  <c r="M138" i="15"/>
  <c r="E138" i="15"/>
  <c r="N137" i="15"/>
  <c r="F137" i="15"/>
  <c r="O136" i="15"/>
  <c r="G136" i="15"/>
  <c r="P135" i="15"/>
  <c r="H135" i="15"/>
  <c r="Q134" i="15"/>
  <c r="I134" i="15"/>
  <c r="A134" i="15"/>
  <c r="J133" i="15"/>
  <c r="B200" i="15"/>
  <c r="D198" i="15"/>
  <c r="F196" i="15"/>
  <c r="H194" i="15"/>
  <c r="J192" i="15"/>
  <c r="L190" i="15"/>
  <c r="N188" i="15"/>
  <c r="P186" i="15"/>
  <c r="A185" i="15"/>
  <c r="C183" i="15"/>
  <c r="E181" i="15"/>
  <c r="G179" i="15"/>
  <c r="I177" i="15"/>
  <c r="K175" i="15"/>
  <c r="L174" i="15"/>
  <c r="M173" i="15"/>
  <c r="N172" i="15"/>
  <c r="O171" i="15"/>
  <c r="P170" i="15"/>
  <c r="Q169" i="15"/>
  <c r="A169" i="15"/>
  <c r="B168" i="15"/>
  <c r="C167" i="15"/>
  <c r="D166" i="15"/>
  <c r="E165" i="15"/>
  <c r="F164" i="15"/>
  <c r="G163" i="15"/>
  <c r="H162" i="15"/>
  <c r="I161" i="15"/>
  <c r="N160" i="15"/>
  <c r="F160" i="15"/>
  <c r="O159" i="15"/>
  <c r="G159" i="15"/>
  <c r="P158" i="15"/>
  <c r="H158" i="15"/>
  <c r="Q157" i="15"/>
  <c r="I157" i="15"/>
  <c r="A157" i="15"/>
  <c r="J156" i="15"/>
  <c r="B156" i="15"/>
  <c r="K155" i="15"/>
  <c r="C155" i="15"/>
  <c r="L154" i="15"/>
  <c r="D154" i="15"/>
  <c r="M153" i="15"/>
  <c r="E153" i="15"/>
  <c r="N152" i="15"/>
  <c r="F152" i="15"/>
  <c r="O151" i="15"/>
  <c r="G151" i="15"/>
  <c r="P150" i="15"/>
  <c r="H150" i="15"/>
  <c r="Q149" i="15"/>
  <c r="I149" i="15"/>
  <c r="A149" i="15"/>
  <c r="J148" i="15"/>
  <c r="B148" i="15"/>
  <c r="K147" i="15"/>
  <c r="C147" i="15"/>
  <c r="L146" i="15"/>
  <c r="D146" i="15"/>
  <c r="M145" i="15"/>
  <c r="E145" i="15"/>
  <c r="N144" i="15"/>
  <c r="F144" i="15"/>
  <c r="O143" i="15"/>
  <c r="G143" i="15"/>
  <c r="P142" i="15"/>
  <c r="H142" i="15"/>
  <c r="Q141" i="15"/>
  <c r="I141" i="15"/>
  <c r="A141" i="15"/>
  <c r="J140" i="15"/>
  <c r="B140" i="15"/>
  <c r="K139" i="15"/>
  <c r="C139" i="15"/>
  <c r="L138" i="15"/>
  <c r="D138" i="15"/>
  <c r="M137" i="15"/>
  <c r="E137" i="15"/>
  <c r="N136" i="15"/>
  <c r="F136" i="15"/>
  <c r="O135" i="15"/>
  <c r="G135" i="15"/>
  <c r="P134" i="15"/>
  <c r="H134" i="15"/>
  <c r="Q133" i="15"/>
  <c r="I133" i="15"/>
  <c r="E199" i="15"/>
  <c r="G197" i="15"/>
  <c r="I195" i="15"/>
  <c r="K193" i="15"/>
  <c r="M191" i="15"/>
  <c r="O189" i="15"/>
  <c r="Q187" i="15"/>
  <c r="B186" i="15"/>
  <c r="D184" i="15"/>
  <c r="F182" i="15"/>
  <c r="H180" i="15"/>
  <c r="J178" i="15"/>
  <c r="L176" i="15"/>
  <c r="E175" i="15"/>
  <c r="F174" i="15"/>
  <c r="G173" i="15"/>
  <c r="H172" i="15"/>
  <c r="I171" i="15"/>
  <c r="J170" i="15"/>
  <c r="K169" i="15"/>
  <c r="L168" i="15"/>
  <c r="M167" i="15"/>
  <c r="N166" i="15"/>
  <c r="O165" i="15"/>
  <c r="P164" i="15"/>
  <c r="Q163" i="15"/>
  <c r="A163" i="15"/>
  <c r="B162" i="15"/>
  <c r="C161" i="15"/>
  <c r="K160" i="15"/>
  <c r="C160" i="15"/>
  <c r="L159" i="15"/>
  <c r="D159" i="15"/>
  <c r="M158" i="15"/>
  <c r="E158" i="15"/>
  <c r="N157" i="15"/>
  <c r="F157" i="15"/>
  <c r="O156" i="15"/>
  <c r="G156" i="15"/>
  <c r="P155" i="15"/>
  <c r="H155" i="15"/>
  <c r="Q154" i="15"/>
  <c r="I154" i="15"/>
  <c r="A154" i="15"/>
  <c r="J153" i="15"/>
  <c r="B153" i="15"/>
  <c r="K152" i="15"/>
  <c r="C152" i="15"/>
  <c r="L151" i="15"/>
  <c r="D151" i="15"/>
  <c r="M150" i="15"/>
  <c r="E150" i="15"/>
  <c r="N149" i="15"/>
  <c r="F149" i="15"/>
  <c r="O148" i="15"/>
  <c r="G148" i="15"/>
  <c r="P147" i="15"/>
  <c r="H147" i="15"/>
  <c r="Q146" i="15"/>
  <c r="I146" i="15"/>
  <c r="A146" i="15"/>
  <c r="J145" i="15"/>
  <c r="B145" i="15"/>
  <c r="K144" i="15"/>
  <c r="C144" i="15"/>
  <c r="M199" i="15"/>
  <c r="G195" i="15"/>
  <c r="D190" i="15"/>
  <c r="L184" i="15"/>
  <c r="F180" i="15"/>
  <c r="I175" i="15"/>
  <c r="M172" i="15"/>
  <c r="H170" i="15"/>
  <c r="Q167" i="15"/>
  <c r="D165" i="15"/>
  <c r="P162" i="15"/>
  <c r="L160" i="15"/>
  <c r="F159" i="15"/>
  <c r="D158" i="15"/>
  <c r="P156" i="15"/>
  <c r="J155" i="15"/>
  <c r="H154" i="15"/>
  <c r="C153" i="15"/>
  <c r="N151" i="15"/>
  <c r="L150" i="15"/>
  <c r="G149" i="15"/>
  <c r="A148" i="15"/>
  <c r="P146" i="15"/>
  <c r="K145" i="15"/>
  <c r="E144" i="15"/>
  <c r="E143" i="15"/>
  <c r="F142" i="15"/>
  <c r="G141" i="15"/>
  <c r="H140" i="15"/>
  <c r="I139" i="15"/>
  <c r="J138" i="15"/>
  <c r="K137" i="15"/>
  <c r="L136" i="15"/>
  <c r="M135" i="15"/>
  <c r="N134" i="15"/>
  <c r="D134" i="15"/>
  <c r="K133" i="15"/>
  <c r="A133" i="15"/>
  <c r="J132" i="15"/>
  <c r="B132" i="15"/>
  <c r="K131" i="15"/>
  <c r="C131" i="15"/>
  <c r="L130" i="15"/>
  <c r="D130" i="15"/>
  <c r="M129" i="15"/>
  <c r="E129" i="15"/>
  <c r="N128" i="15"/>
  <c r="F128" i="15"/>
  <c r="O127" i="15"/>
  <c r="G127" i="15"/>
  <c r="P126" i="15"/>
  <c r="H126" i="15"/>
  <c r="Q125" i="15"/>
  <c r="I125" i="15"/>
  <c r="A125" i="15"/>
  <c r="J124" i="15"/>
  <c r="B124" i="15"/>
  <c r="K123" i="15"/>
  <c r="C123" i="15"/>
  <c r="L122" i="15"/>
  <c r="D122" i="15"/>
  <c r="M121" i="15"/>
  <c r="E121" i="15"/>
  <c r="N120" i="15"/>
  <c r="F120" i="15"/>
  <c r="O119" i="15"/>
  <c r="G119" i="15"/>
  <c r="P118" i="15"/>
  <c r="H118" i="15"/>
  <c r="Q117" i="15"/>
  <c r="I117" i="15"/>
  <c r="A117" i="15"/>
  <c r="J116" i="15"/>
  <c r="B116" i="15"/>
  <c r="K115" i="15"/>
  <c r="C115" i="15"/>
  <c r="L114" i="15"/>
  <c r="D114" i="15"/>
  <c r="M113" i="15"/>
  <c r="E113" i="15"/>
  <c r="N112" i="15"/>
  <c r="F112" i="15"/>
  <c r="O111" i="15"/>
  <c r="G111" i="15"/>
  <c r="P110" i="15"/>
  <c r="H110" i="15"/>
  <c r="Q109" i="15"/>
  <c r="I109" i="15"/>
  <c r="A109" i="15"/>
  <c r="J108" i="15"/>
  <c r="B108" i="15"/>
  <c r="K107" i="15"/>
  <c r="C107" i="15"/>
  <c r="L106" i="15"/>
  <c r="D106" i="15"/>
  <c r="M105" i="15"/>
  <c r="E105" i="15"/>
  <c r="N104" i="15"/>
  <c r="F104" i="15"/>
  <c r="O103" i="15"/>
  <c r="G103" i="15"/>
  <c r="P102" i="15"/>
  <c r="H102" i="15"/>
  <c r="Q101" i="15"/>
  <c r="I101" i="15"/>
  <c r="K199" i="15"/>
  <c r="B194" i="15"/>
  <c r="M189" i="15"/>
  <c r="J184" i="15"/>
  <c r="A179" i="15"/>
  <c r="C175" i="15"/>
  <c r="L172" i="15"/>
  <c r="P169" i="15"/>
  <c r="K167" i="15"/>
  <c r="C165" i="15"/>
  <c r="G162" i="15"/>
  <c r="J160" i="15"/>
  <c r="E159" i="15"/>
  <c r="P157" i="15"/>
  <c r="N156" i="15"/>
  <c r="I155" i="15"/>
  <c r="C154" i="15"/>
  <c r="A153" i="15"/>
  <c r="M151" i="15"/>
  <c r="G150" i="15"/>
  <c r="E149" i="15"/>
  <c r="Q147" i="15"/>
  <c r="K146" i="15"/>
  <c r="I145" i="15"/>
  <c r="D144" i="15"/>
  <c r="D143" i="15"/>
  <c r="E142" i="15"/>
  <c r="F141" i="15"/>
  <c r="G140" i="15"/>
  <c r="H139" i="15"/>
  <c r="I138" i="15"/>
  <c r="J137" i="15"/>
  <c r="K136" i="15"/>
  <c r="L135" i="15"/>
  <c r="M134" i="15"/>
  <c r="C134" i="15"/>
  <c r="H133" i="15"/>
  <c r="Q132" i="15"/>
  <c r="I132" i="15"/>
  <c r="A132" i="15"/>
  <c r="J131" i="15"/>
  <c r="B131" i="15"/>
  <c r="K130" i="15"/>
  <c r="C130" i="15"/>
  <c r="L129" i="15"/>
  <c r="D129" i="15"/>
  <c r="M128" i="15"/>
  <c r="E128" i="15"/>
  <c r="N127" i="15"/>
  <c r="F127" i="15"/>
  <c r="O126" i="15"/>
  <c r="G126" i="15"/>
  <c r="P125" i="15"/>
  <c r="H125" i="15"/>
  <c r="Q124" i="15"/>
  <c r="I124" i="15"/>
  <c r="A124" i="15"/>
  <c r="J123" i="15"/>
  <c r="B123" i="15"/>
  <c r="K122" i="15"/>
  <c r="C122" i="15"/>
  <c r="L121" i="15"/>
  <c r="D121" i="15"/>
  <c r="M120" i="15"/>
  <c r="E120" i="15"/>
  <c r="N119" i="15"/>
  <c r="F119" i="15"/>
  <c r="O118" i="15"/>
  <c r="G118" i="15"/>
  <c r="P117" i="15"/>
  <c r="H117" i="15"/>
  <c r="Q116" i="15"/>
  <c r="I116" i="15"/>
  <c r="A116" i="15"/>
  <c r="J115" i="15"/>
  <c r="B115" i="15"/>
  <c r="K114" i="15"/>
  <c r="C114" i="15"/>
  <c r="L113" i="15"/>
  <c r="D113" i="15"/>
  <c r="M112" i="15"/>
  <c r="E112" i="15"/>
  <c r="N111" i="15"/>
  <c r="F111" i="15"/>
  <c r="O110" i="15"/>
  <c r="G110" i="15"/>
  <c r="P109" i="15"/>
  <c r="H109" i="15"/>
  <c r="Q108" i="15"/>
  <c r="I108" i="15"/>
  <c r="A108" i="15"/>
  <c r="J107" i="15"/>
  <c r="B107" i="15"/>
  <c r="K106" i="15"/>
  <c r="C106" i="15"/>
  <c r="L105" i="15"/>
  <c r="D105" i="15"/>
  <c r="M104" i="15"/>
  <c r="E104" i="15"/>
  <c r="N103" i="15"/>
  <c r="F103" i="15"/>
  <c r="O102" i="15"/>
  <c r="G102" i="15"/>
  <c r="P101" i="15"/>
  <c r="H101" i="15"/>
  <c r="Q100" i="15"/>
  <c r="I100" i="15"/>
  <c r="A100" i="15"/>
  <c r="J99" i="15"/>
  <c r="B99" i="15"/>
  <c r="K98" i="15"/>
  <c r="C98" i="15"/>
  <c r="L97" i="15"/>
  <c r="D97" i="15"/>
  <c r="M96" i="15"/>
  <c r="E96" i="15"/>
  <c r="N95" i="15"/>
  <c r="F95" i="15"/>
  <c r="O94" i="15"/>
  <c r="G94" i="15"/>
  <c r="P93" i="15"/>
  <c r="H93" i="15"/>
  <c r="Q92" i="15"/>
  <c r="I92" i="15"/>
  <c r="A92" i="15"/>
  <c r="J91" i="15"/>
  <c r="B91" i="15"/>
  <c r="K90" i="15"/>
  <c r="C90" i="15"/>
  <c r="L89" i="15"/>
  <c r="D89" i="15"/>
  <c r="M88" i="15"/>
  <c r="E88" i="15"/>
  <c r="N87" i="15"/>
  <c r="F87" i="15"/>
  <c r="O86" i="15"/>
  <c r="G86" i="15"/>
  <c r="P85" i="15"/>
  <c r="H85" i="15"/>
  <c r="Q84" i="15"/>
  <c r="I84" i="15"/>
  <c r="A84" i="15"/>
  <c r="J83" i="15"/>
  <c r="B83" i="15"/>
  <c r="K82" i="15"/>
  <c r="C82" i="15"/>
  <c r="L81" i="15"/>
  <c r="D81" i="15"/>
  <c r="M80" i="15"/>
  <c r="E80" i="15"/>
  <c r="N79" i="15"/>
  <c r="F79" i="15"/>
  <c r="O78" i="15"/>
  <c r="G78" i="15"/>
  <c r="P77" i="15"/>
  <c r="H77" i="15"/>
  <c r="Q76" i="15"/>
  <c r="I76" i="15"/>
  <c r="A76" i="15"/>
  <c r="J75" i="15"/>
  <c r="B75" i="15"/>
  <c r="K74" i="15"/>
  <c r="C74" i="15"/>
  <c r="L73" i="15"/>
  <c r="D73" i="15"/>
  <c r="M72" i="15"/>
  <c r="E72" i="15"/>
  <c r="N71" i="15"/>
  <c r="F71" i="15"/>
  <c r="O70" i="15"/>
  <c r="C199" i="15"/>
  <c r="Q193" i="15"/>
  <c r="H188" i="15"/>
  <c r="B184" i="15"/>
  <c r="P178" i="15"/>
  <c r="K174" i="15"/>
  <c r="F172" i="15"/>
  <c r="O169" i="15"/>
  <c r="B167" i="15"/>
  <c r="N164" i="15"/>
  <c r="F162" i="15"/>
  <c r="E160" i="15"/>
  <c r="C159" i="15"/>
  <c r="O157" i="15"/>
  <c r="I156" i="15"/>
  <c r="G155" i="15"/>
  <c r="B154" i="15"/>
  <c r="M152" i="15"/>
  <c r="K151" i="15"/>
  <c r="F150" i="15"/>
  <c r="Q148" i="15"/>
  <c r="O147" i="15"/>
  <c r="J146" i="15"/>
  <c r="D145" i="15"/>
  <c r="B144" i="15"/>
  <c r="C143" i="15"/>
  <c r="D142" i="15"/>
  <c r="E141" i="15"/>
  <c r="F140" i="15"/>
  <c r="G139" i="15"/>
  <c r="H138" i="15"/>
  <c r="I137" i="15"/>
  <c r="J136" i="15"/>
  <c r="K135" i="15"/>
  <c r="L134" i="15"/>
  <c r="B134" i="15"/>
  <c r="G133" i="15"/>
  <c r="P132" i="15"/>
  <c r="H132" i="15"/>
  <c r="Q131" i="15"/>
  <c r="I131" i="15"/>
  <c r="A131" i="15"/>
  <c r="J130" i="15"/>
  <c r="B130" i="15"/>
  <c r="K129" i="15"/>
  <c r="C129" i="15"/>
  <c r="L128" i="15"/>
  <c r="D128" i="15"/>
  <c r="M127" i="15"/>
  <c r="E127" i="15"/>
  <c r="N126" i="15"/>
  <c r="F126" i="15"/>
  <c r="O125" i="15"/>
  <c r="G125" i="15"/>
  <c r="P124" i="15"/>
  <c r="H124" i="15"/>
  <c r="Q123" i="15"/>
  <c r="I123" i="15"/>
  <c r="A123" i="15"/>
  <c r="J122" i="15"/>
  <c r="B122" i="15"/>
  <c r="K121" i="15"/>
  <c r="C121" i="15"/>
  <c r="L120" i="15"/>
  <c r="D120" i="15"/>
  <c r="M119" i="15"/>
  <c r="E119" i="15"/>
  <c r="N118" i="15"/>
  <c r="F118" i="15"/>
  <c r="O117" i="15"/>
  <c r="G117" i="15"/>
  <c r="P116" i="15"/>
  <c r="H116" i="15"/>
  <c r="Q115" i="15"/>
  <c r="I115" i="15"/>
  <c r="A115" i="15"/>
  <c r="J114" i="15"/>
  <c r="B114" i="15"/>
  <c r="K113" i="15"/>
  <c r="C113" i="15"/>
  <c r="L112" i="15"/>
  <c r="D112" i="15"/>
  <c r="M111" i="15"/>
  <c r="E111" i="15"/>
  <c r="N110" i="15"/>
  <c r="F110" i="15"/>
  <c r="O109" i="15"/>
  <c r="G109" i="15"/>
  <c r="P108" i="15"/>
  <c r="H108" i="15"/>
  <c r="Q107" i="15"/>
  <c r="I107" i="15"/>
  <c r="A107" i="15"/>
  <c r="J106" i="15"/>
  <c r="B106" i="15"/>
  <c r="K105" i="15"/>
  <c r="C105" i="15"/>
  <c r="L104" i="15"/>
  <c r="D104" i="15"/>
  <c r="M103" i="15"/>
  <c r="E103" i="15"/>
  <c r="N102" i="15"/>
  <c r="F102" i="15"/>
  <c r="O101" i="15"/>
  <c r="G101" i="15"/>
  <c r="P100" i="15"/>
  <c r="H100" i="15"/>
  <c r="Q99" i="15"/>
  <c r="I99" i="15"/>
  <c r="A99" i="15"/>
  <c r="J98" i="15"/>
  <c r="B98" i="15"/>
  <c r="K97" i="15"/>
  <c r="C97" i="15"/>
  <c r="L96" i="15"/>
  <c r="D96" i="15"/>
  <c r="M95" i="15"/>
  <c r="E95" i="15"/>
  <c r="N94" i="15"/>
  <c r="F94" i="15"/>
  <c r="O93" i="15"/>
  <c r="G93" i="15"/>
  <c r="P92" i="15"/>
  <c r="H92" i="15"/>
  <c r="Q91" i="15"/>
  <c r="I91" i="15"/>
  <c r="A91" i="15"/>
  <c r="J90" i="15"/>
  <c r="B90" i="15"/>
  <c r="K89" i="15"/>
  <c r="C89" i="15"/>
  <c r="L88" i="15"/>
  <c r="D88" i="15"/>
  <c r="M87" i="15"/>
  <c r="E87" i="15"/>
  <c r="N86" i="15"/>
  <c r="F86" i="15"/>
  <c r="O85" i="15"/>
  <c r="G85" i="15"/>
  <c r="P84" i="15"/>
  <c r="H84" i="15"/>
  <c r="Q83" i="15"/>
  <c r="I83" i="15"/>
  <c r="A83" i="15"/>
  <c r="J82" i="15"/>
  <c r="B82" i="15"/>
  <c r="K81" i="15"/>
  <c r="C81" i="15"/>
  <c r="L80" i="15"/>
  <c r="D80" i="15"/>
  <c r="O197" i="15"/>
  <c r="I193" i="15"/>
  <c r="F188" i="15"/>
  <c r="N182" i="15"/>
  <c r="H178" i="15"/>
  <c r="J174" i="15"/>
  <c r="N171" i="15"/>
  <c r="I169" i="15"/>
  <c r="A167" i="15"/>
  <c r="E164" i="15"/>
  <c r="Q161" i="15"/>
  <c r="D160" i="15"/>
  <c r="O158" i="15"/>
  <c r="M157" i="15"/>
  <c r="H156" i="15"/>
  <c r="B155" i="15"/>
  <c r="Q153" i="15"/>
  <c r="L152" i="15"/>
  <c r="F151" i="15"/>
  <c r="D150" i="15"/>
  <c r="P148" i="15"/>
  <c r="J147" i="15"/>
  <c r="H146" i="15"/>
  <c r="C145" i="15"/>
  <c r="N143" i="15"/>
  <c r="O142" i="15"/>
  <c r="P141" i="15"/>
  <c r="Q140" i="15"/>
  <c r="A140" i="15"/>
  <c r="B139" i="15"/>
  <c r="C138" i="15"/>
  <c r="D137" i="15"/>
  <c r="E136" i="15"/>
  <c r="F135" i="15"/>
  <c r="K134" i="15"/>
  <c r="P133" i="15"/>
  <c r="F133" i="15"/>
  <c r="O132" i="15"/>
  <c r="G132" i="15"/>
  <c r="P131" i="15"/>
  <c r="H131" i="15"/>
  <c r="Q130" i="15"/>
  <c r="I130" i="15"/>
  <c r="A130" i="15"/>
  <c r="J129" i="15"/>
  <c r="B129" i="15"/>
  <c r="K128" i="15"/>
  <c r="C128" i="15"/>
  <c r="L127" i="15"/>
  <c r="D127" i="15"/>
  <c r="M126" i="15"/>
  <c r="E126" i="15"/>
  <c r="N125" i="15"/>
  <c r="F125" i="15"/>
  <c r="O124" i="15"/>
  <c r="G124" i="15"/>
  <c r="P123" i="15"/>
  <c r="H123" i="15"/>
  <c r="Q122" i="15"/>
  <c r="I122" i="15"/>
  <c r="A122" i="15"/>
  <c r="J121" i="15"/>
  <c r="B121" i="15"/>
  <c r="K120" i="15"/>
  <c r="C120" i="15"/>
  <c r="L119" i="15"/>
  <c r="D119" i="15"/>
  <c r="M118" i="15"/>
  <c r="E118" i="15"/>
  <c r="N117" i="15"/>
  <c r="F117" i="15"/>
  <c r="O116" i="15"/>
  <c r="G116" i="15"/>
  <c r="P115" i="15"/>
  <c r="H115" i="15"/>
  <c r="Q114" i="15"/>
  <c r="I114" i="15"/>
  <c r="A114" i="15"/>
  <c r="J113" i="15"/>
  <c r="B113" i="15"/>
  <c r="K112" i="15"/>
  <c r="C112" i="15"/>
  <c r="L111" i="15"/>
  <c r="D111" i="15"/>
  <c r="M110" i="15"/>
  <c r="E110" i="15"/>
  <c r="N109" i="15"/>
  <c r="F109" i="15"/>
  <c r="O108" i="15"/>
  <c r="G108" i="15"/>
  <c r="P107" i="15"/>
  <c r="H107" i="15"/>
  <c r="Q106" i="15"/>
  <c r="I106" i="15"/>
  <c r="A106" i="15"/>
  <c r="J105" i="15"/>
  <c r="B105" i="15"/>
  <c r="K104" i="15"/>
  <c r="C104" i="15"/>
  <c r="L103" i="15"/>
  <c r="D103" i="15"/>
  <c r="M102" i="15"/>
  <c r="E102" i="15"/>
  <c r="N101" i="15"/>
  <c r="F101" i="15"/>
  <c r="O100" i="15"/>
  <c r="G100" i="15"/>
  <c r="P99" i="15"/>
  <c r="H99" i="15"/>
  <c r="Q98" i="15"/>
  <c r="I98" i="15"/>
  <c r="A98" i="15"/>
  <c r="J97" i="15"/>
  <c r="B97" i="15"/>
  <c r="K96" i="15"/>
  <c r="C96" i="15"/>
  <c r="L95" i="15"/>
  <c r="D95" i="15"/>
  <c r="M94" i="15"/>
  <c r="E94" i="15"/>
  <c r="N93" i="15"/>
  <c r="F93" i="15"/>
  <c r="O92" i="15"/>
  <c r="G92" i="15"/>
  <c r="P91" i="15"/>
  <c r="H91" i="15"/>
  <c r="Q90" i="15"/>
  <c r="I90" i="15"/>
  <c r="A90" i="15"/>
  <c r="J89" i="15"/>
  <c r="B89" i="15"/>
  <c r="K88" i="15"/>
  <c r="C88" i="15"/>
  <c r="L87" i="15"/>
  <c r="D87" i="15"/>
  <c r="M86" i="15"/>
  <c r="E86" i="15"/>
  <c r="N85" i="15"/>
  <c r="F85" i="15"/>
  <c r="O84" i="15"/>
  <c r="G84" i="15"/>
  <c r="P83" i="15"/>
  <c r="H83" i="15"/>
  <c r="Q82" i="15"/>
  <c r="I82" i="15"/>
  <c r="A82" i="15"/>
  <c r="J81" i="15"/>
  <c r="B81" i="15"/>
  <c r="K80" i="15"/>
  <c r="C80" i="15"/>
  <c r="Q195" i="15"/>
  <c r="K191" i="15"/>
  <c r="M197" i="15"/>
  <c r="H186" i="15"/>
  <c r="J176" i="15"/>
  <c r="O170" i="15"/>
  <c r="B166" i="15"/>
  <c r="A161" i="15"/>
  <c r="G158" i="15"/>
  <c r="Q155" i="15"/>
  <c r="I153" i="15"/>
  <c r="O150" i="15"/>
  <c r="H148" i="15"/>
  <c r="Q145" i="15"/>
  <c r="K143" i="15"/>
  <c r="M141" i="15"/>
  <c r="O139" i="15"/>
  <c r="Q137" i="15"/>
  <c r="B136" i="15"/>
  <c r="F134" i="15"/>
  <c r="C133" i="15"/>
  <c r="D132" i="15"/>
  <c r="E131" i="15"/>
  <c r="F130" i="15"/>
  <c r="G129" i="15"/>
  <c r="H128" i="15"/>
  <c r="I127" i="15"/>
  <c r="J126" i="15"/>
  <c r="K125" i="15"/>
  <c r="L124" i="15"/>
  <c r="M123" i="15"/>
  <c r="N122" i="15"/>
  <c r="O121" i="15"/>
  <c r="P120" i="15"/>
  <c r="Q119" i="15"/>
  <c r="A119" i="15"/>
  <c r="B118" i="15"/>
  <c r="C117" i="15"/>
  <c r="D116" i="15"/>
  <c r="E115" i="15"/>
  <c r="F114" i="15"/>
  <c r="G113" i="15"/>
  <c r="H112" i="15"/>
  <c r="I111" i="15"/>
  <c r="J110" i="15"/>
  <c r="K109" i="15"/>
  <c r="L108" i="15"/>
  <c r="M107" i="15"/>
  <c r="N106" i="15"/>
  <c r="O105" i="15"/>
  <c r="P104" i="15"/>
  <c r="Q103" i="15"/>
  <c r="A103" i="15"/>
  <c r="B102" i="15"/>
  <c r="C101" i="15"/>
  <c r="F100" i="15"/>
  <c r="L99" i="15"/>
  <c r="O98" i="15"/>
  <c r="D98" i="15"/>
  <c r="G97" i="15"/>
  <c r="J96" i="15"/>
  <c r="P95" i="15"/>
  <c r="B95" i="15"/>
  <c r="H94" i="15"/>
  <c r="K93" i="15"/>
  <c r="N92" i="15"/>
  <c r="C92" i="15"/>
  <c r="F91" i="15"/>
  <c r="L90" i="15"/>
  <c r="O89" i="15"/>
  <c r="A89" i="15"/>
  <c r="G88" i="15"/>
  <c r="J87" i="15"/>
  <c r="P86" i="15"/>
  <c r="B86" i="15"/>
  <c r="E85" i="15"/>
  <c r="K84" i="15"/>
  <c r="N83" i="15"/>
  <c r="C83" i="15"/>
  <c r="F82" i="15"/>
  <c r="I81" i="15"/>
  <c r="O80" i="15"/>
  <c r="A80" i="15"/>
  <c r="I79" i="15"/>
  <c r="Q78" i="15"/>
  <c r="H78" i="15"/>
  <c r="O77" i="15"/>
  <c r="F77" i="15"/>
  <c r="N76" i="15"/>
  <c r="E76" i="15"/>
  <c r="M75" i="15"/>
  <c r="D75" i="15"/>
  <c r="L74" i="15"/>
  <c r="B74" i="15"/>
  <c r="J73" i="15"/>
  <c r="A73" i="15"/>
  <c r="I72" i="15"/>
  <c r="Q71" i="15"/>
  <c r="H71" i="15"/>
  <c r="P70" i="15"/>
  <c r="G70" i="15"/>
  <c r="P69" i="15"/>
  <c r="H69" i="15"/>
  <c r="Q68" i="15"/>
  <c r="I68" i="15"/>
  <c r="A68" i="15"/>
  <c r="J67" i="15"/>
  <c r="B67" i="15"/>
  <c r="K66" i="15"/>
  <c r="C66" i="15"/>
  <c r="L65" i="15"/>
  <c r="D65" i="15"/>
  <c r="M64" i="15"/>
  <c r="E64" i="15"/>
  <c r="N63" i="15"/>
  <c r="F63" i="15"/>
  <c r="O62" i="15"/>
  <c r="G62" i="15"/>
  <c r="P61" i="15"/>
  <c r="H61" i="15"/>
  <c r="Q60" i="15"/>
  <c r="I60" i="15"/>
  <c r="A60" i="15"/>
  <c r="J59" i="15"/>
  <c r="B59" i="15"/>
  <c r="K58" i="15"/>
  <c r="C58" i="15"/>
  <c r="L57" i="15"/>
  <c r="D57" i="15"/>
  <c r="M56" i="15"/>
  <c r="E56" i="15"/>
  <c r="N55" i="15"/>
  <c r="F55" i="15"/>
  <c r="O54" i="15"/>
  <c r="G54" i="15"/>
  <c r="P53" i="15"/>
  <c r="O52" i="15"/>
  <c r="O51" i="15"/>
  <c r="G51" i="15"/>
  <c r="O50" i="15"/>
  <c r="F50" i="15"/>
  <c r="N49" i="15"/>
  <c r="C49" i="15"/>
  <c r="K48" i="15"/>
  <c r="O47" i="15"/>
  <c r="F47" i="15"/>
  <c r="N46" i="15"/>
  <c r="F46" i="15"/>
  <c r="O45" i="15"/>
  <c r="O44" i="15"/>
  <c r="O43" i="15"/>
  <c r="P42" i="15"/>
  <c r="G42" i="15"/>
  <c r="P41" i="15"/>
  <c r="P40" i="15"/>
  <c r="H40" i="15"/>
  <c r="Q39" i="15"/>
  <c r="I39" i="15"/>
  <c r="A39" i="15"/>
  <c r="J38" i="15"/>
  <c r="B38" i="15"/>
  <c r="K37" i="15"/>
  <c r="C37" i="15"/>
  <c r="K36" i="15"/>
  <c r="C36" i="15"/>
  <c r="L35" i="15"/>
  <c r="D35" i="15"/>
  <c r="M34" i="15"/>
  <c r="P33" i="15"/>
  <c r="H33" i="15"/>
  <c r="K32" i="15"/>
  <c r="N31" i="15"/>
  <c r="E197" i="15"/>
  <c r="Q185" i="15"/>
  <c r="J175" i="15"/>
  <c r="N170" i="15"/>
  <c r="M165" i="15"/>
  <c r="M160" i="15"/>
  <c r="F158" i="15"/>
  <c r="O155" i="15"/>
  <c r="D153" i="15"/>
  <c r="N150" i="15"/>
  <c r="F148" i="15"/>
  <c r="L145" i="15"/>
  <c r="F143" i="15"/>
  <c r="H141" i="15"/>
  <c r="J139" i="15"/>
  <c r="L137" i="15"/>
  <c r="N135" i="15"/>
  <c r="E134" i="15"/>
  <c r="B133" i="15"/>
  <c r="C132" i="15"/>
  <c r="D131" i="15"/>
  <c r="E130" i="15"/>
  <c r="F129" i="15"/>
  <c r="G128" i="15"/>
  <c r="H127" i="15"/>
  <c r="I126" i="15"/>
  <c r="J125" i="15"/>
  <c r="K124" i="15"/>
  <c r="L123" i="15"/>
  <c r="M122" i="15"/>
  <c r="N121" i="15"/>
  <c r="O120" i="15"/>
  <c r="P119" i="15"/>
  <c r="Q118" i="15"/>
  <c r="A118" i="15"/>
  <c r="B117" i="15"/>
  <c r="C116" i="15"/>
  <c r="D115" i="15"/>
  <c r="E114" i="15"/>
  <c r="F113" i="15"/>
  <c r="G112" i="15"/>
  <c r="H111" i="15"/>
  <c r="I110" i="15"/>
  <c r="J109" i="15"/>
  <c r="K108" i="15"/>
  <c r="L107" i="15"/>
  <c r="M106" i="15"/>
  <c r="N105" i="15"/>
  <c r="O104" i="15"/>
  <c r="P103" i="15"/>
  <c r="Q102" i="15"/>
  <c r="A102" i="15"/>
  <c r="B101" i="15"/>
  <c r="E100" i="15"/>
  <c r="K99" i="15"/>
  <c r="N98" i="15"/>
  <c r="Q97" i="15"/>
  <c r="F97" i="15"/>
  <c r="I96" i="15"/>
  <c r="O95" i="15"/>
  <c r="A95" i="15"/>
  <c r="D94" i="15"/>
  <c r="J93" i="15"/>
  <c r="M92" i="15"/>
  <c r="B92" i="15"/>
  <c r="E91" i="15"/>
  <c r="H90" i="15"/>
  <c r="N89" i="15"/>
  <c r="Q88" i="15"/>
  <c r="F88" i="15"/>
  <c r="I87" i="15"/>
  <c r="L86" i="15"/>
  <c r="A86" i="15"/>
  <c r="D85" i="15"/>
  <c r="J84" i="15"/>
  <c r="M83" i="15"/>
  <c r="P82" i="15"/>
  <c r="E82" i="15"/>
  <c r="H81" i="15"/>
  <c r="N80" i="15"/>
  <c r="Q79" i="15"/>
  <c r="H79" i="15"/>
  <c r="P78" i="15"/>
  <c r="F78" i="15"/>
  <c r="N77" i="15"/>
  <c r="E77" i="15"/>
  <c r="M76" i="15"/>
  <c r="D76" i="15"/>
  <c r="L75" i="15"/>
  <c r="C75" i="15"/>
  <c r="J74" i="15"/>
  <c r="A74" i="15"/>
  <c r="I73" i="15"/>
  <c r="Q72" i="15"/>
  <c r="H72" i="15"/>
  <c r="P71" i="15"/>
  <c r="G71" i="15"/>
  <c r="N70" i="15"/>
  <c r="F70" i="15"/>
  <c r="O69" i="15"/>
  <c r="G69" i="15"/>
  <c r="P68" i="15"/>
  <c r="H68" i="15"/>
  <c r="Q67" i="15"/>
  <c r="I67" i="15"/>
  <c r="A67" i="15"/>
  <c r="J66" i="15"/>
  <c r="B66" i="15"/>
  <c r="K65" i="15"/>
  <c r="C65" i="15"/>
  <c r="L64" i="15"/>
  <c r="D64" i="15"/>
  <c r="M63" i="15"/>
  <c r="E63" i="15"/>
  <c r="N62" i="15"/>
  <c r="F62" i="15"/>
  <c r="O61" i="15"/>
  <c r="G61" i="15"/>
  <c r="P60" i="15"/>
  <c r="H60" i="15"/>
  <c r="Q59" i="15"/>
  <c r="I59" i="15"/>
  <c r="A59" i="15"/>
  <c r="J58" i="15"/>
  <c r="B58" i="15"/>
  <c r="K57" i="15"/>
  <c r="C57" i="15"/>
  <c r="L56" i="15"/>
  <c r="D56" i="15"/>
  <c r="M55" i="15"/>
  <c r="E55" i="15"/>
  <c r="N54" i="15"/>
  <c r="F54" i="15"/>
  <c r="O53" i="15"/>
  <c r="N52" i="15"/>
  <c r="N51" i="15"/>
  <c r="O195" i="15"/>
  <c r="L182" i="15"/>
  <c r="D174" i="15"/>
  <c r="Q168" i="15"/>
  <c r="D164" i="15"/>
  <c r="B160" i="15"/>
  <c r="H157" i="15"/>
  <c r="A155" i="15"/>
  <c r="J152" i="15"/>
  <c r="P149" i="15"/>
  <c r="I147" i="15"/>
  <c r="A145" i="15"/>
  <c r="N142" i="15"/>
  <c r="P140" i="15"/>
  <c r="A139" i="15"/>
  <c r="C137" i="15"/>
  <c r="E135" i="15"/>
  <c r="O133" i="15"/>
  <c r="N132" i="15"/>
  <c r="O131" i="15"/>
  <c r="P130" i="15"/>
  <c r="Q129" i="15"/>
  <c r="A129" i="15"/>
  <c r="B128" i="15"/>
  <c r="C127" i="15"/>
  <c r="D126" i="15"/>
  <c r="E125" i="15"/>
  <c r="F124" i="15"/>
  <c r="G123" i="15"/>
  <c r="H122" i="15"/>
  <c r="I121" i="15"/>
  <c r="J120" i="15"/>
  <c r="K119" i="15"/>
  <c r="L118" i="15"/>
  <c r="M117" i="15"/>
  <c r="N116" i="15"/>
  <c r="O115" i="15"/>
  <c r="P114" i="15"/>
  <c r="Q113" i="15"/>
  <c r="A113" i="15"/>
  <c r="B112" i="15"/>
  <c r="C111" i="15"/>
  <c r="D110" i="15"/>
  <c r="E109" i="15"/>
  <c r="F108" i="15"/>
  <c r="G107" i="15"/>
  <c r="H106" i="15"/>
  <c r="I105" i="15"/>
  <c r="J104" i="15"/>
  <c r="K103" i="15"/>
  <c r="L102" i="15"/>
  <c r="M101" i="15"/>
  <c r="A101" i="15"/>
  <c r="D100" i="15"/>
  <c r="G99" i="15"/>
  <c r="M98" i="15"/>
  <c r="P97" i="15"/>
  <c r="E97" i="15"/>
  <c r="H96" i="15"/>
  <c r="K95" i="15"/>
  <c r="Q94" i="15"/>
  <c r="C94" i="15"/>
  <c r="I93" i="15"/>
  <c r="L92" i="15"/>
  <c r="O91" i="15"/>
  <c r="D91" i="15"/>
  <c r="G90" i="15"/>
  <c r="M89" i="15"/>
  <c r="P88" i="15"/>
  <c r="B88" i="15"/>
  <c r="H87" i="15"/>
  <c r="K86" i="15"/>
  <c r="Q85" i="15"/>
  <c r="C85" i="15"/>
  <c r="F84" i="15"/>
  <c r="L83" i="15"/>
  <c r="O82" i="15"/>
  <c r="D82" i="15"/>
  <c r="G81" i="15"/>
  <c r="J80" i="15"/>
  <c r="P79" i="15"/>
  <c r="G79" i="15"/>
  <c r="N78" i="15"/>
  <c r="E78" i="15"/>
  <c r="M77" i="15"/>
  <c r="D77" i="15"/>
  <c r="L76" i="15"/>
  <c r="C76" i="15"/>
  <c r="K75" i="15"/>
  <c r="A75" i="15"/>
  <c r="I74" i="15"/>
  <c r="Q73" i="15"/>
  <c r="H73" i="15"/>
  <c r="P72" i="15"/>
  <c r="G72" i="15"/>
  <c r="O71" i="15"/>
  <c r="E71" i="15"/>
  <c r="M70" i="15"/>
  <c r="E70" i="15"/>
  <c r="N69" i="15"/>
  <c r="F69" i="15"/>
  <c r="O68" i="15"/>
  <c r="G68" i="15"/>
  <c r="P67" i="15"/>
  <c r="H67" i="15"/>
  <c r="D192" i="15"/>
  <c r="D182" i="15"/>
  <c r="L173" i="15"/>
  <c r="P168" i="15"/>
  <c r="O163" i="15"/>
  <c r="N159" i="15"/>
  <c r="G157" i="15"/>
  <c r="P154" i="15"/>
  <c r="E152" i="15"/>
  <c r="O149" i="15"/>
  <c r="G147" i="15"/>
  <c r="M144" i="15"/>
  <c r="M142" i="15"/>
  <c r="O140" i="15"/>
  <c r="Q138" i="15"/>
  <c r="B137" i="15"/>
  <c r="D135" i="15"/>
  <c r="N133" i="15"/>
  <c r="M132" i="15"/>
  <c r="N131" i="15"/>
  <c r="O130" i="15"/>
  <c r="P129" i="15"/>
  <c r="Q128" i="15"/>
  <c r="A128" i="15"/>
  <c r="B127" i="15"/>
  <c r="C126" i="15"/>
  <c r="D125" i="15"/>
  <c r="E124" i="15"/>
  <c r="F123" i="15"/>
  <c r="G122" i="15"/>
  <c r="H121" i="15"/>
  <c r="I120" i="15"/>
  <c r="J119" i="15"/>
  <c r="K118" i="15"/>
  <c r="L117" i="15"/>
  <c r="M116" i="15"/>
  <c r="N115" i="15"/>
  <c r="O114" i="15"/>
  <c r="P113" i="15"/>
  <c r="Q112" i="15"/>
  <c r="A112" i="15"/>
  <c r="B111" i="15"/>
  <c r="C110" i="15"/>
  <c r="D109" i="15"/>
  <c r="E108" i="15"/>
  <c r="F107" i="15"/>
  <c r="G106" i="15"/>
  <c r="H105" i="15"/>
  <c r="I104" i="15"/>
  <c r="J103" i="15"/>
  <c r="K102" i="15"/>
  <c r="L101" i="15"/>
  <c r="N100" i="15"/>
  <c r="C100" i="15"/>
  <c r="F99" i="15"/>
  <c r="L98" i="15"/>
  <c r="O97" i="15"/>
  <c r="A97" i="15"/>
  <c r="G96" i="15"/>
  <c r="J95" i="15"/>
  <c r="P94" i="15"/>
  <c r="B94" i="15"/>
  <c r="E93" i="15"/>
  <c r="K92" i="15"/>
  <c r="N91" i="15"/>
  <c r="C91" i="15"/>
  <c r="F90" i="15"/>
  <c r="I89" i="15"/>
  <c r="O88" i="15"/>
  <c r="A88" i="15"/>
  <c r="G87" i="15"/>
  <c r="J86" i="15"/>
  <c r="M85" i="15"/>
  <c r="B85" i="15"/>
  <c r="E84" i="15"/>
  <c r="K83" i="15"/>
  <c r="N82" i="15"/>
  <c r="Q81" i="15"/>
  <c r="F81" i="15"/>
  <c r="I80" i="15"/>
  <c r="O79" i="15"/>
  <c r="E79" i="15"/>
  <c r="M78" i="15"/>
  <c r="D78" i="15"/>
  <c r="L77" i="15"/>
  <c r="C77" i="15"/>
  <c r="K76" i="15"/>
  <c r="B76" i="15"/>
  <c r="I75" i="15"/>
  <c r="Q74" i="15"/>
  <c r="H74" i="15"/>
  <c r="P73" i="15"/>
  <c r="G73" i="15"/>
  <c r="O72" i="15"/>
  <c r="F72" i="15"/>
  <c r="M71" i="15"/>
  <c r="D71" i="15"/>
  <c r="L70" i="15"/>
  <c r="D70" i="15"/>
  <c r="M69" i="15"/>
  <c r="E69" i="15"/>
  <c r="N68" i="15"/>
  <c r="F68" i="15"/>
  <c r="O67" i="15"/>
  <c r="B192" i="15"/>
  <c r="P180" i="15"/>
  <c r="K173" i="15"/>
  <c r="J168" i="15"/>
  <c r="F163" i="15"/>
  <c r="M159" i="15"/>
  <c r="E157" i="15"/>
  <c r="K154" i="15"/>
  <c r="D152" i="15"/>
  <c r="M149" i="15"/>
  <c r="B147" i="15"/>
  <c r="L144" i="15"/>
  <c r="L142" i="15"/>
  <c r="N140" i="15"/>
  <c r="P138" i="15"/>
  <c r="A137" i="15"/>
  <c r="C135" i="15"/>
  <c r="M133" i="15"/>
  <c r="L132" i="15"/>
  <c r="M131" i="15"/>
  <c r="N130" i="15"/>
  <c r="O129" i="15"/>
  <c r="P128" i="15"/>
  <c r="Q127" i="15"/>
  <c r="A127" i="15"/>
  <c r="B126" i="15"/>
  <c r="C125" i="15"/>
  <c r="D124" i="15"/>
  <c r="E123" i="15"/>
  <c r="F122" i="15"/>
  <c r="G121" i="15"/>
  <c r="H120" i="15"/>
  <c r="I119" i="15"/>
  <c r="J118" i="15"/>
  <c r="K117" i="15"/>
  <c r="L116" i="15"/>
  <c r="M115" i="15"/>
  <c r="N114" i="15"/>
  <c r="O113" i="15"/>
  <c r="P112" i="15"/>
  <c r="Q111" i="15"/>
  <c r="A111" i="15"/>
  <c r="B110" i="15"/>
  <c r="C109" i="15"/>
  <c r="D108" i="15"/>
  <c r="E107" i="15"/>
  <c r="F106" i="15"/>
  <c r="G105" i="15"/>
  <c r="H104" i="15"/>
  <c r="I103" i="15"/>
  <c r="J102" i="15"/>
  <c r="K101" i="15"/>
  <c r="M100" i="15"/>
  <c r="B100" i="15"/>
  <c r="E99" i="15"/>
  <c r="H98" i="15"/>
  <c r="N97" i="15"/>
  <c r="Q96" i="15"/>
  <c r="F96" i="15"/>
  <c r="I95" i="15"/>
  <c r="L94" i="15"/>
  <c r="A94" i="15"/>
  <c r="D93" i="15"/>
  <c r="J92" i="15"/>
  <c r="M91" i="15"/>
  <c r="P90" i="15"/>
  <c r="E90" i="15"/>
  <c r="H89" i="15"/>
  <c r="N88" i="15"/>
  <c r="Q87" i="15"/>
  <c r="C87" i="15"/>
  <c r="I86" i="15"/>
  <c r="L85" i="15"/>
  <c r="A85" i="15"/>
  <c r="D84" i="15"/>
  <c r="G83" i="15"/>
  <c r="M82" i="15"/>
  <c r="P81" i="15"/>
  <c r="E81" i="15"/>
  <c r="H80" i="15"/>
  <c r="M79" i="15"/>
  <c r="D79" i="15"/>
  <c r="L78" i="15"/>
  <c r="C78" i="15"/>
  <c r="K77" i="15"/>
  <c r="B77" i="15"/>
  <c r="J76" i="15"/>
  <c r="Q75" i="15"/>
  <c r="H75" i="15"/>
  <c r="P74" i="15"/>
  <c r="G74" i="15"/>
  <c r="O73" i="15"/>
  <c r="F73" i="15"/>
  <c r="N72" i="15"/>
  <c r="D72" i="15"/>
  <c r="L71" i="15"/>
  <c r="C71" i="15"/>
  <c r="K70" i="15"/>
  <c r="C70" i="15"/>
  <c r="L69" i="15"/>
  <c r="D69" i="15"/>
  <c r="M68" i="15"/>
  <c r="E68" i="15"/>
  <c r="N67" i="15"/>
  <c r="F67" i="15"/>
  <c r="O66" i="15"/>
  <c r="G66" i="15"/>
  <c r="P65" i="15"/>
  <c r="H65" i="15"/>
  <c r="Q64" i="15"/>
  <c r="I64" i="15"/>
  <c r="A64" i="15"/>
  <c r="J63" i="15"/>
  <c r="B63" i="15"/>
  <c r="K62" i="15"/>
  <c r="C62" i="15"/>
  <c r="L61" i="15"/>
  <c r="D61" i="15"/>
  <c r="M60" i="15"/>
  <c r="E60" i="15"/>
  <c r="N59" i="15"/>
  <c r="F59" i="15"/>
  <c r="O58" i="15"/>
  <c r="G58" i="15"/>
  <c r="P57" i="15"/>
  <c r="H57" i="15"/>
  <c r="Q56" i="15"/>
  <c r="N3" i="15"/>
  <c r="I4" i="15"/>
  <c r="Q4" i="15"/>
  <c r="H5" i="15"/>
  <c r="P5" i="15"/>
  <c r="K6" i="15"/>
  <c r="B7" i="15"/>
  <c r="J7" i="15"/>
  <c r="A8" i="15"/>
  <c r="M8" i="15"/>
  <c r="F9" i="15"/>
  <c r="P9" i="15"/>
  <c r="K10" i="15"/>
  <c r="B11" i="15"/>
  <c r="J11" i="15"/>
  <c r="A12" i="15"/>
  <c r="K12" i="15"/>
  <c r="B13" i="15"/>
  <c r="J13" i="15"/>
  <c r="A14" i="15"/>
  <c r="I14" i="15"/>
  <c r="Q14" i="15"/>
  <c r="I15" i="15"/>
  <c r="Q15" i="15"/>
  <c r="K16" i="15"/>
  <c r="B17" i="15"/>
  <c r="N17" i="15"/>
  <c r="G18" i="15"/>
  <c r="Q18" i="15"/>
  <c r="H19" i="15"/>
  <c r="P19" i="15"/>
  <c r="I20" i="15"/>
  <c r="Q20" i="15"/>
  <c r="Q21" i="15"/>
  <c r="N22" i="15"/>
  <c r="J23" i="15"/>
  <c r="A24" i="15"/>
  <c r="O24" i="15"/>
  <c r="H25" i="15"/>
  <c r="P25" i="15"/>
  <c r="M26" i="15"/>
  <c r="J27" i="15"/>
  <c r="A28" i="15"/>
  <c r="O28" i="15"/>
  <c r="L29" i="15"/>
  <c r="I30" i="15"/>
  <c r="Q30" i="15"/>
  <c r="O31" i="15"/>
  <c r="M32" i="15"/>
  <c r="K33" i="15"/>
  <c r="I34" i="15"/>
  <c r="A35" i="15"/>
  <c r="J35" i="15"/>
  <c r="B36" i="15"/>
  <c r="L36" i="15"/>
  <c r="E37" i="15"/>
  <c r="N37" i="15"/>
  <c r="F38" i="15"/>
  <c r="O38" i="15"/>
  <c r="G39" i="15"/>
  <c r="P39" i="15"/>
  <c r="I40" i="15"/>
  <c r="A41" i="15"/>
  <c r="B42" i="15"/>
  <c r="L42" i="15"/>
  <c r="L43" i="15"/>
  <c r="M44" i="15"/>
  <c r="N45" i="15"/>
  <c r="G46" i="15"/>
  <c r="P46" i="15"/>
  <c r="J47" i="15"/>
  <c r="B48" i="15"/>
  <c r="P48" i="15"/>
  <c r="L49" i="15"/>
  <c r="E50" i="15"/>
  <c r="P50" i="15"/>
  <c r="I51" i="15"/>
  <c r="K52" i="15"/>
  <c r="N53" i="15"/>
  <c r="I54" i="15"/>
  <c r="B55" i="15"/>
  <c r="L55" i="15"/>
  <c r="G56" i="15"/>
  <c r="A57" i="15"/>
  <c r="N57" i="15"/>
  <c r="I58" i="15"/>
  <c r="E59" i="15"/>
  <c r="B60" i="15"/>
  <c r="N60" i="15"/>
  <c r="J61" i="15"/>
  <c r="E62" i="15"/>
  <c r="A63" i="15"/>
  <c r="O63" i="15"/>
  <c r="J64" i="15"/>
  <c r="F65" i="15"/>
  <c r="A66" i="15"/>
  <c r="N66" i="15"/>
  <c r="L67" i="15"/>
  <c r="A69" i="15"/>
  <c r="B70" i="15"/>
  <c r="J71" i="15"/>
  <c r="B73" i="15"/>
  <c r="F74" i="15"/>
  <c r="O75" i="15"/>
  <c r="G77" i="15"/>
  <c r="K78" i="15"/>
  <c r="F80" i="15"/>
  <c r="G82" i="15"/>
  <c r="C84" i="15"/>
  <c r="D86" i="15"/>
  <c r="H88" i="15"/>
  <c r="D90" i="15"/>
  <c r="E92" i="15"/>
  <c r="I94" i="15"/>
  <c r="B96" i="15"/>
  <c r="F98" i="15"/>
  <c r="J100" i="15"/>
  <c r="I102" i="15"/>
  <c r="A105" i="15"/>
  <c r="N107" i="15"/>
  <c r="A110" i="15"/>
  <c r="J112" i="15"/>
  <c r="F115" i="15"/>
  <c r="J117" i="15"/>
  <c r="B120" i="15"/>
  <c r="O122" i="15"/>
  <c r="B125" i="15"/>
  <c r="K127" i="15"/>
  <c r="G130" i="15"/>
  <c r="K132" i="15"/>
  <c r="D136" i="15"/>
  <c r="N141" i="15"/>
  <c r="A147" i="15"/>
  <c r="L153" i="15"/>
  <c r="G161" i="15"/>
  <c r="E173" i="15"/>
  <c r="N2" i="15"/>
  <c r="P3" i="15"/>
  <c r="K4" i="15"/>
  <c r="B5" i="15"/>
  <c r="J5" i="15"/>
  <c r="A6" i="15"/>
  <c r="M6" i="15"/>
  <c r="D7" i="15"/>
  <c r="L7" i="15"/>
  <c r="E8" i="15"/>
  <c r="O8" i="15"/>
  <c r="J9" i="15"/>
  <c r="A10" i="15"/>
  <c r="M10" i="15"/>
  <c r="D11" i="15"/>
  <c r="L11" i="15"/>
  <c r="E12" i="15"/>
  <c r="M12" i="15"/>
  <c r="D13" i="15"/>
  <c r="L13" i="15"/>
  <c r="C14" i="15"/>
  <c r="K14" i="15"/>
  <c r="B15" i="15"/>
  <c r="K15" i="15"/>
  <c r="B16" i="15"/>
  <c r="M16" i="15"/>
  <c r="F17" i="15"/>
  <c r="P17" i="15"/>
  <c r="K18" i="15"/>
  <c r="B19" i="15"/>
  <c r="J19" i="15"/>
  <c r="A20" i="15"/>
  <c r="K20" i="15"/>
  <c r="K21" i="15"/>
  <c r="H22" i="15"/>
  <c r="P22" i="15"/>
  <c r="L23" i="15"/>
  <c r="I24" i="15"/>
  <c r="Q24" i="15"/>
  <c r="J25" i="15"/>
  <c r="A26" i="15"/>
  <c r="O26" i="15"/>
  <c r="L27" i="15"/>
  <c r="I28" i="15"/>
  <c r="Q28" i="15"/>
  <c r="N29" i="15"/>
  <c r="K30" i="15"/>
  <c r="H31" i="15"/>
  <c r="Q31" i="15"/>
  <c r="O32" i="15"/>
  <c r="M33" i="15"/>
  <c r="K34" i="15"/>
  <c r="C35" i="15"/>
  <c r="M35" i="15"/>
  <c r="E36" i="15"/>
  <c r="N36" i="15"/>
  <c r="G37" i="15"/>
  <c r="P37" i="15"/>
  <c r="H38" i="15"/>
  <c r="Q38" i="15"/>
  <c r="J39" i="15"/>
  <c r="B40" i="15"/>
  <c r="K40" i="15"/>
  <c r="L41" i="15"/>
  <c r="D42" i="15"/>
  <c r="N42" i="15"/>
  <c r="N43" i="15"/>
  <c r="P44" i="15"/>
  <c r="Q45" i="15"/>
  <c r="I46" i="15"/>
  <c r="A47" i="15"/>
  <c r="L47" i="15"/>
  <c r="H48" i="15"/>
  <c r="A49" i="15"/>
  <c r="O49" i="15"/>
  <c r="H50" i="15"/>
  <c r="A51" i="15"/>
  <c r="K51" i="15"/>
  <c r="M52" i="15"/>
  <c r="A54" i="15"/>
  <c r="K54" i="15"/>
  <c r="D55" i="15"/>
  <c r="P55" i="15"/>
  <c r="I56" i="15"/>
  <c r="E57" i="15"/>
  <c r="Q57" i="15"/>
  <c r="M58" i="15"/>
  <c r="H59" i="15"/>
  <c r="D60" i="15"/>
  <c r="A61" i="15"/>
  <c r="M61" i="15"/>
  <c r="I62" i="15"/>
  <c r="D63" i="15"/>
  <c r="Q63" i="15"/>
  <c r="N64" i="15"/>
  <c r="I65" i="15"/>
  <c r="E66" i="15"/>
  <c r="Q66" i="15"/>
  <c r="B68" i="15"/>
  <c r="C69" i="15"/>
  <c r="I70" i="15"/>
  <c r="A72" i="15"/>
  <c r="E73" i="15"/>
  <c r="N74" i="15"/>
  <c r="F76" i="15"/>
  <c r="J77" i="15"/>
  <c r="B79" i="15"/>
  <c r="P80" i="15"/>
  <c r="L82" i="15"/>
  <c r="M84" i="15"/>
  <c r="Q86" i="15"/>
  <c r="J88" i="15"/>
  <c r="N90" i="15"/>
  <c r="A93" i="15"/>
  <c r="K94" i="15"/>
  <c r="O96" i="15"/>
  <c r="P98" i="15"/>
  <c r="L100" i="15"/>
  <c r="C103" i="15"/>
  <c r="P105" i="15"/>
  <c r="C108" i="15"/>
  <c r="L110" i="15"/>
  <c r="H113" i="15"/>
  <c r="L115" i="15"/>
  <c r="D118" i="15"/>
  <c r="Q120" i="15"/>
  <c r="D123" i="15"/>
  <c r="M125" i="15"/>
  <c r="I128" i="15"/>
  <c r="M130" i="15"/>
  <c r="E133" i="15"/>
  <c r="A138" i="15"/>
  <c r="G142" i="15"/>
  <c r="N148" i="15"/>
  <c r="A156" i="15"/>
  <c r="E163" i="15"/>
  <c r="C177" i="15"/>
  <c r="O2" i="15"/>
  <c r="Q3" i="15"/>
  <c r="L4" i="15"/>
  <c r="C5" i="15"/>
  <c r="K5" i="15"/>
  <c r="D6" i="15"/>
  <c r="N6" i="15"/>
  <c r="E7" i="15"/>
  <c r="M7" i="15"/>
  <c r="F8" i="15"/>
  <c r="P8" i="15"/>
  <c r="K9" i="15"/>
  <c r="B10" i="15"/>
  <c r="N10" i="15"/>
  <c r="E11" i="15"/>
  <c r="M11" i="15"/>
  <c r="F12" i="15"/>
  <c r="N12" i="15"/>
  <c r="E13" i="15"/>
  <c r="M13" i="15"/>
  <c r="D14" i="15"/>
  <c r="L14" i="15"/>
  <c r="D15" i="15"/>
  <c r="L15" i="15"/>
  <c r="D16" i="15"/>
  <c r="N16" i="15"/>
  <c r="G17" i="15"/>
  <c r="Q17" i="15"/>
  <c r="L18" i="15"/>
  <c r="C19" i="15"/>
  <c r="K19" i="15"/>
  <c r="C20" i="15"/>
  <c r="L20" i="15"/>
  <c r="L21" i="15"/>
  <c r="I22" i="15"/>
  <c r="Q22" i="15"/>
  <c r="M23" i="15"/>
  <c r="J24" i="15"/>
  <c r="A25" i="15"/>
  <c r="K25" i="15"/>
  <c r="H26" i="15"/>
  <c r="P26" i="15"/>
  <c r="M27" i="15"/>
  <c r="J28" i="15"/>
  <c r="A29" i="15"/>
  <c r="O29" i="15"/>
  <c r="L30" i="15"/>
  <c r="I31" i="15"/>
  <c r="A32" i="15"/>
  <c r="P32" i="15"/>
  <c r="N33" i="15"/>
  <c r="L34" i="15"/>
  <c r="E35" i="15"/>
  <c r="N35" i="15"/>
  <c r="F36" i="15"/>
  <c r="O36" i="15"/>
  <c r="H37" i="15"/>
  <c r="Q37" i="15"/>
  <c r="I38" i="15"/>
  <c r="B39" i="15"/>
  <c r="K39" i="15"/>
  <c r="C40" i="15"/>
  <c r="L40" i="15"/>
  <c r="M41" i="15"/>
  <c r="E42" i="15"/>
  <c r="O42" i="15"/>
  <c r="P43" i="15"/>
  <c r="Q44" i="15"/>
  <c r="A46" i="15"/>
  <c r="J46" i="15"/>
  <c r="C47" i="15"/>
  <c r="M47" i="15"/>
  <c r="J48" i="15"/>
  <c r="D49" i="15"/>
  <c r="P49" i="15"/>
  <c r="J50" i="15"/>
  <c r="C51" i="15"/>
  <c r="L51" i="15"/>
  <c r="P52" i="15"/>
  <c r="B54" i="15"/>
  <c r="L54" i="15"/>
  <c r="G55" i="15"/>
  <c r="Q55" i="15"/>
  <c r="J56" i="15"/>
  <c r="F57" i="15"/>
  <c r="A58" i="15"/>
  <c r="N58" i="15"/>
  <c r="K59" i="15"/>
  <c r="F60" i="15"/>
  <c r="B61" i="15"/>
  <c r="N61" i="15"/>
  <c r="J62" i="15"/>
  <c r="G63" i="15"/>
  <c r="B64" i="15"/>
  <c r="O64" i="15"/>
  <c r="J65" i="15"/>
  <c r="F66" i="15"/>
  <c r="C67" i="15"/>
  <c r="C68" i="15"/>
  <c r="I69" i="15"/>
  <c r="J70" i="15"/>
  <c r="B72" i="15"/>
  <c r="K73" i="15"/>
  <c r="O74" i="15"/>
  <c r="G76" i="15"/>
  <c r="Q77" i="15"/>
  <c r="C79" i="15"/>
  <c r="Q80" i="15"/>
  <c r="D83" i="15"/>
  <c r="N84" i="15"/>
  <c r="A87" i="15"/>
  <c r="E89" i="15"/>
  <c r="O90" i="15"/>
  <c r="B93" i="15"/>
  <c r="C95" i="15"/>
  <c r="P96" i="15"/>
  <c r="C99" i="15"/>
  <c r="D101" i="15"/>
  <c r="H103" i="15"/>
  <c r="Q105" i="15"/>
  <c r="M108" i="15"/>
  <c r="Q110" i="15"/>
  <c r="I113" i="15"/>
  <c r="E116" i="15"/>
  <c r="I118" i="15"/>
  <c r="A121" i="15"/>
  <c r="N123" i="15"/>
  <c r="A126" i="15"/>
  <c r="J128" i="15"/>
  <c r="F131" i="15"/>
  <c r="L133" i="15"/>
  <c r="B138" i="15"/>
  <c r="L143" i="15"/>
  <c r="H149" i="15"/>
  <c r="F156" i="15"/>
  <c r="C166" i="15"/>
  <c r="N180" i="15"/>
  <c r="A3" i="15"/>
  <c r="A4" i="15"/>
  <c r="M4" i="15"/>
  <c r="D5" i="15"/>
  <c r="L5" i="15"/>
  <c r="E6" i="15"/>
  <c r="O6" i="15"/>
  <c r="F7" i="15"/>
  <c r="N7" i="15"/>
  <c r="G8" i="15"/>
  <c r="Q8" i="15"/>
  <c r="L9" i="15"/>
  <c r="E10" i="15"/>
  <c r="O10" i="15"/>
  <c r="F11" i="15"/>
  <c r="N11" i="15"/>
  <c r="G12" i="15"/>
  <c r="O12" i="15"/>
  <c r="F13" i="15"/>
  <c r="N13" i="15"/>
  <c r="E14" i="15"/>
  <c r="M14" i="15"/>
  <c r="E15" i="15"/>
  <c r="M15" i="15"/>
  <c r="E16" i="15"/>
  <c r="O16" i="15"/>
  <c r="J17" i="15"/>
  <c r="A18" i="15"/>
  <c r="M18" i="15"/>
  <c r="D19" i="15"/>
  <c r="L19" i="15"/>
  <c r="D20" i="15"/>
  <c r="M20" i="15"/>
  <c r="M21" i="15"/>
  <c r="J22" i="15"/>
  <c r="A23" i="15"/>
  <c r="N23" i="15"/>
  <c r="K24" i="15"/>
  <c r="D25" i="15"/>
  <c r="L25" i="15"/>
  <c r="I26" i="15"/>
  <c r="Q26" i="15"/>
  <c r="N27" i="15"/>
  <c r="K28" i="15"/>
  <c r="H29" i="15"/>
  <c r="P29" i="15"/>
  <c r="M30" i="15"/>
  <c r="J31" i="15"/>
  <c r="H32" i="15"/>
  <c r="Q32" i="15"/>
  <c r="O33" i="15"/>
  <c r="N34" i="15"/>
  <c r="F35" i="15"/>
  <c r="O35" i="15"/>
  <c r="G36" i="15"/>
  <c r="P36" i="15"/>
  <c r="I37" i="15"/>
  <c r="A38" i="15"/>
  <c r="K38" i="15"/>
  <c r="C39" i="15"/>
  <c r="L39" i="15"/>
  <c r="D40" i="15"/>
  <c r="M40" i="15"/>
  <c r="N41" i="15"/>
  <c r="F42" i="15"/>
  <c r="Q42" i="15"/>
  <c r="Q43" i="15"/>
  <c r="A45" i="15"/>
  <c r="B46" i="15"/>
  <c r="K46" i="15"/>
  <c r="D47" i="15"/>
  <c r="N47" i="15"/>
  <c r="L48" i="15"/>
  <c r="E49" i="15"/>
  <c r="Q49" i="15"/>
  <c r="K50" i="15"/>
  <c r="D51" i="15"/>
  <c r="M51" i="15"/>
  <c r="Q52" i="15"/>
  <c r="C54" i="15"/>
  <c r="M54" i="15"/>
  <c r="H55" i="15"/>
  <c r="A56" i="15"/>
  <c r="K56" i="15"/>
  <c r="G57" i="15"/>
  <c r="D58" i="15"/>
  <c r="P58" i="15"/>
  <c r="L59" i="15"/>
  <c r="G60" i="15"/>
  <c r="C61" i="15"/>
  <c r="Q61" i="15"/>
  <c r="L62" i="15"/>
  <c r="H63" i="15"/>
  <c r="C64" i="15"/>
  <c r="P64" i="15"/>
  <c r="M65" i="15"/>
  <c r="H66" i="15"/>
  <c r="D67" i="15"/>
  <c r="D68" i="15"/>
  <c r="J69" i="15"/>
  <c r="Q70" i="15"/>
  <c r="C72" i="15"/>
  <c r="M73" i="15"/>
  <c r="E75" i="15"/>
  <c r="H76" i="15"/>
  <c r="A78" i="15"/>
  <c r="J79" i="15"/>
  <c r="A81" i="15"/>
  <c r="E83" i="15"/>
  <c r="I85" i="15"/>
  <c r="B87" i="15"/>
  <c r="F89" i="15"/>
  <c r="G91" i="15"/>
  <c r="C93" i="15"/>
  <c r="G95" i="15"/>
  <c r="H97" i="15"/>
  <c r="D99" i="15"/>
  <c r="E101" i="15"/>
  <c r="A104" i="15"/>
  <c r="E106" i="15"/>
  <c r="N108" i="15"/>
  <c r="J111" i="15"/>
  <c r="N113" i="15"/>
  <c r="F116" i="15"/>
  <c r="B119" i="15"/>
  <c r="F121" i="15"/>
  <c r="O123" i="15"/>
  <c r="K126" i="15"/>
  <c r="O128" i="15"/>
  <c r="G131" i="15"/>
  <c r="G134" i="15"/>
  <c r="K138" i="15"/>
  <c r="M143" i="15"/>
  <c r="C151" i="15"/>
  <c r="Q156" i="15"/>
  <c r="L166" i="15"/>
  <c r="J186" i="15"/>
  <c r="K3" i="15"/>
  <c r="B4" i="15"/>
  <c r="N4" i="15"/>
  <c r="E5" i="15"/>
  <c r="M5" i="15"/>
  <c r="F6" i="15"/>
  <c r="P6" i="15"/>
  <c r="G7" i="15"/>
  <c r="O7" i="15"/>
  <c r="J8" i="15"/>
  <c r="A9" i="15"/>
  <c r="M9" i="15"/>
  <c r="F10" i="15"/>
  <c r="P10" i="15"/>
  <c r="G11" i="15"/>
  <c r="O11" i="15"/>
  <c r="H12" i="15"/>
  <c r="P12" i="15"/>
  <c r="G13" i="15"/>
  <c r="O13" i="15"/>
  <c r="F14" i="15"/>
  <c r="N14" i="15"/>
  <c r="F15" i="15"/>
  <c r="N15" i="15"/>
  <c r="F16" i="15"/>
  <c r="P16" i="15"/>
  <c r="K17" i="15"/>
  <c r="B18" i="15"/>
  <c r="N18" i="15"/>
  <c r="E19" i="15"/>
  <c r="M19" i="15"/>
  <c r="E20" i="15"/>
  <c r="N20" i="15"/>
  <c r="N21" i="15"/>
  <c r="K22" i="15"/>
  <c r="B23" i="15"/>
  <c r="O23" i="15"/>
  <c r="L24" i="15"/>
  <c r="E25" i="15"/>
  <c r="M25" i="15"/>
  <c r="J26" i="15"/>
  <c r="A27" i="15"/>
  <c r="O27" i="15"/>
  <c r="L28" i="15"/>
  <c r="I29" i="15"/>
  <c r="Q29" i="15"/>
  <c r="N30" i="15"/>
  <c r="K31" i="15"/>
  <c r="I32" i="15"/>
  <c r="A33" i="15"/>
  <c r="Q33" i="15"/>
  <c r="O34" i="15"/>
  <c r="G35" i="15"/>
  <c r="P35" i="15"/>
  <c r="H36" i="15"/>
  <c r="Q36" i="15"/>
  <c r="J37" i="15"/>
  <c r="C38" i="15"/>
  <c r="L38" i="15"/>
  <c r="D39" i="15"/>
  <c r="M39" i="15"/>
  <c r="E40" i="15"/>
  <c r="N40" i="15"/>
  <c r="O41" i="15"/>
  <c r="H42" i="15"/>
  <c r="A43" i="15"/>
  <c r="A44" i="15"/>
  <c r="K45" i="15"/>
  <c r="C46" i="15"/>
  <c r="L46" i="15"/>
  <c r="E47" i="15"/>
  <c r="P47" i="15"/>
  <c r="M48" i="15"/>
  <c r="H49" i="15"/>
  <c r="A50" i="15"/>
  <c r="L50" i="15"/>
  <c r="E51" i="15"/>
  <c r="P51" i="15"/>
  <c r="K53" i="15"/>
  <c r="D54" i="15"/>
  <c r="P54" i="15"/>
  <c r="I55" i="15"/>
  <c r="B56" i="15"/>
  <c r="N56" i="15"/>
  <c r="I57" i="15"/>
  <c r="E58" i="15"/>
  <c r="Q58" i="15"/>
  <c r="M59" i="15"/>
  <c r="J60" i="15"/>
  <c r="E61" i="15"/>
  <c r="A62" i="15"/>
  <c r="M62" i="15"/>
  <c r="I63" i="15"/>
  <c r="F64" i="15"/>
  <c r="A65" i="15"/>
  <c r="N65" i="15"/>
  <c r="I66" i="15"/>
  <c r="E67" i="15"/>
  <c r="J68" i="15"/>
  <c r="K69" i="15"/>
  <c r="A71" i="15"/>
  <c r="J72" i="15"/>
  <c r="N73" i="15"/>
  <c r="F75" i="15"/>
  <c r="O76" i="15"/>
  <c r="B78" i="15"/>
  <c r="K79" i="15"/>
  <c r="M81" i="15"/>
  <c r="F83" i="15"/>
  <c r="J85" i="15"/>
  <c r="K87" i="15"/>
  <c r="G89" i="15"/>
  <c r="K91" i="15"/>
  <c r="L93" i="15"/>
  <c r="H95" i="15"/>
  <c r="I97" i="15"/>
  <c r="M99" i="15"/>
  <c r="J101" i="15"/>
  <c r="B104" i="15"/>
  <c r="O106" i="15"/>
  <c r="B109" i="15"/>
  <c r="K111" i="15"/>
  <c r="G114" i="15"/>
  <c r="K116" i="15"/>
  <c r="C119" i="15"/>
  <c r="P121" i="15"/>
  <c r="C124" i="15"/>
  <c r="L126" i="15"/>
  <c r="H129" i="15"/>
  <c r="L131" i="15"/>
  <c r="J134" i="15"/>
  <c r="P139" i="15"/>
  <c r="J144" i="15"/>
  <c r="E151" i="15"/>
  <c r="L158" i="15"/>
  <c r="A168" i="15"/>
  <c r="O187" i="15"/>
  <c r="L3" i="15"/>
  <c r="E4" i="15"/>
  <c r="O4" i="15"/>
  <c r="F5" i="15"/>
  <c r="N5" i="15"/>
  <c r="I6" i="15"/>
  <c r="Q6" i="15"/>
  <c r="H7" i="15"/>
  <c r="P7" i="15"/>
  <c r="K8" i="15"/>
  <c r="B9" i="15"/>
  <c r="N9" i="15"/>
  <c r="G10" i="15"/>
  <c r="Q10" i="15"/>
  <c r="H11" i="15"/>
  <c r="P11" i="15"/>
  <c r="I12" i="15"/>
  <c r="Q12" i="15"/>
  <c r="H13" i="15"/>
  <c r="P13" i="15"/>
  <c r="G14" i="15"/>
  <c r="O14" i="15"/>
  <c r="G15" i="15"/>
  <c r="O15" i="15"/>
  <c r="G16" i="15"/>
  <c r="Q16" i="15"/>
  <c r="L17" i="15"/>
  <c r="E18" i="15"/>
  <c r="O18" i="15"/>
  <c r="F19" i="15"/>
  <c r="N19" i="15"/>
  <c r="F20" i="15"/>
  <c r="O20" i="15"/>
  <c r="O21" i="15"/>
  <c r="L22" i="15"/>
  <c r="H23" i="15"/>
  <c r="P23" i="15"/>
  <c r="M24" i="15"/>
  <c r="F25" i="15"/>
  <c r="N25" i="15"/>
  <c r="K26" i="15"/>
  <c r="H27" i="15"/>
  <c r="P27" i="15"/>
  <c r="M28" i="15"/>
  <c r="J29" i="15"/>
  <c r="A30" i="15"/>
  <c r="O30" i="15"/>
  <c r="L31" i="15"/>
  <c r="J32" i="15"/>
  <c r="I33" i="15"/>
  <c r="A34" i="15"/>
  <c r="P34" i="15"/>
  <c r="H35" i="15"/>
  <c r="Q35" i="15"/>
  <c r="I36" i="15"/>
  <c r="A37" i="15"/>
  <c r="L37" i="15"/>
  <c r="D38" i="15"/>
  <c r="M38" i="15"/>
  <c r="E39" i="15"/>
  <c r="N39" i="15"/>
  <c r="F40" i="15"/>
  <c r="O40" i="15"/>
  <c r="Q41" i="15"/>
  <c r="I42" i="15"/>
  <c r="E43" i="15"/>
  <c r="K44" i="15"/>
  <c r="L45" i="15"/>
  <c r="D46" i="15"/>
  <c r="M46" i="15"/>
  <c r="G47" i="15"/>
  <c r="Q47" i="15"/>
  <c r="N48" i="15"/>
  <c r="J49" i="15"/>
  <c r="C50" i="15"/>
  <c r="M50" i="15"/>
  <c r="F51" i="15"/>
  <c r="Q51" i="15"/>
  <c r="L53" i="15"/>
  <c r="E54" i="15"/>
  <c r="Q54" i="15"/>
  <c r="J55" i="15"/>
  <c r="C56" i="15"/>
  <c r="O56" i="15"/>
  <c r="J57" i="15"/>
  <c r="F58" i="15"/>
  <c r="C59" i="15"/>
  <c r="O59" i="15"/>
  <c r="K60" i="15"/>
  <c r="F61" i="15"/>
  <c r="B62" i="15"/>
  <c r="P62" i="15"/>
  <c r="K63" i="15"/>
  <c r="G64" i="15"/>
  <c r="B65" i="15"/>
  <c r="O65" i="15"/>
  <c r="L66" i="15"/>
  <c r="G67" i="15"/>
  <c r="K68" i="15"/>
  <c r="Q69" i="15"/>
  <c r="B71" i="15"/>
  <c r="K72" i="15"/>
  <c r="D74" i="15"/>
  <c r="G75" i="15"/>
  <c r="P76" i="15"/>
  <c r="I78" i="15"/>
  <c r="L79" i="15"/>
  <c r="N81" i="15"/>
  <c r="O83" i="15"/>
  <c r="K85" i="15"/>
  <c r="O87" i="15"/>
  <c r="P89" i="15"/>
  <c r="L91" i="15"/>
  <c r="M93" i="15"/>
  <c r="Q95" i="15"/>
  <c r="M97" i="15"/>
  <c r="N99" i="15"/>
  <c r="C102" i="15"/>
  <c r="G104" i="15"/>
  <c r="P106" i="15"/>
  <c r="L109" i="15"/>
  <c r="P111" i="15"/>
  <c r="H114" i="15"/>
  <c r="D117" i="15"/>
  <c r="H119" i="15"/>
  <c r="Q121" i="15"/>
  <c r="M124" i="15"/>
  <c r="Q126" i="15"/>
  <c r="I129" i="15"/>
  <c r="E132" i="15"/>
  <c r="O134" i="15"/>
  <c r="Q139" i="15"/>
  <c r="B146" i="15"/>
  <c r="B152" i="15"/>
  <c r="N158" i="15"/>
  <c r="G171" i="15"/>
  <c r="F190" i="15"/>
  <c r="W1" i="17"/>
  <c r="X1" i="17"/>
  <c r="V1" i="17"/>
</calcChain>
</file>

<file path=xl/sharedStrings.xml><?xml version="1.0" encoding="utf-8"?>
<sst xmlns="http://schemas.openxmlformats.org/spreadsheetml/2006/main" count="210" uniqueCount="104">
  <si>
    <t>Log 8</t>
  </si>
  <si>
    <t>Log 9</t>
  </si>
  <si>
    <t>Log 10</t>
  </si>
  <si>
    <t>Log 11</t>
  </si>
  <si>
    <t>Log 12</t>
  </si>
  <si>
    <t>Update 3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</si>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</sst>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\-0;;@"/>
    <numFmt numFmtId="165" formatCode="#,##0;\-#,##0;;@"/>
  </numFmts>
  <fonts count="5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3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53" fillId="0" borderId="33" xfId="42" applyNumberFormat="1" applyFont="1" applyBorder="1" applyAlignment="1">
      <alignment horizontal="center" vertical="center" wrapText="1"/>
    </xf>
    <xf numFmtId="165" fontId="45" fillId="0" borderId="29" xfId="0" applyNumberFormat="1" applyFont="1" applyBorder="1" applyAlignment="1">
      <alignment horizontal="left" vertical="center"/>
    </xf>
    <xf numFmtId="165" fontId="24" fillId="0" borderId="23" xfId="0" applyNumberFormat="1" applyFont="1" applyBorder="1"/>
    <xf numFmtId="0" fontId="0" fillId="0" borderId="24" xfId="0" applyBorder="1"/>
    <xf numFmtId="0" fontId="0" fillId="0" borderId="25" xfId="0" applyBorder="1"/>
    <xf numFmtId="165" fontId="23" fillId="0" borderId="23" xfId="0" applyNumberFormat="1" applyFont="1" applyBorder="1"/>
    <xf numFmtId="165" fontId="26" fillId="0" borderId="28" xfId="0" applyNumberFormat="1" applyFont="1" applyBorder="1" applyProtection="1">
      <protection locked="0"/>
    </xf>
    <xf numFmtId="0" fontId="0" fillId="0" borderId="0" xfId="0"/>
    <xf numFmtId="0" fontId="0" fillId="0" borderId="27" xfId="0" applyBorder="1"/>
    <xf numFmtId="165" fontId="26" fillId="0" borderId="10" xfId="0" applyNumberFormat="1" applyFont="1" applyBorder="1" applyProtection="1">
      <protection locked="0"/>
    </xf>
    <xf numFmtId="0" fontId="0" fillId="0" borderId="10" xfId="0" applyBorder="1"/>
    <xf numFmtId="0" fontId="0" fillId="0" borderId="22" xfId="0" applyBorder="1"/>
    <xf numFmtId="165" fontId="23" fillId="0" borderId="28" xfId="0" applyNumberFormat="1" applyFon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23" fillId="0" borderId="21" xfId="0" applyNumberFormat="1" applyFon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23" fillId="0" borderId="0" xfId="0" applyNumberFormat="1" applyFont="1"/>
    <xf numFmtId="165" fontId="0" fillId="0" borderId="21" xfId="0" applyNumberFormat="1" applyBorder="1"/>
    <xf numFmtId="165" fontId="0" fillId="0" borderId="24" xfId="0" applyNumberFormat="1" applyBorder="1"/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/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43" xfId="0" applyNumberFormat="1" applyBorder="1"/>
    <xf numFmtId="165" fontId="0" fillId="0" borderId="28" xfId="0" applyNumberFormat="1" applyBorder="1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 shrinkToFit="1"/>
    </xf>
    <xf numFmtId="0" fontId="52" fillId="0" borderId="0" xfId="42" applyFont="1" applyFill="1" applyAlignment="1">
      <alignment horizontal="center" vertical="center"/>
    </xf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  <xf numFmtId="165" fontId="0" fillId="0" borderId="0" xfId="0" applyNumberFormat="1" applyBorder="1"/>
    <xf numFmtId="164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1" defaultTableStyle="TableStyleMedium2" defaultPivotStyle="PivotStyleLight16">
    <tableStyle name="Table Style 1" pivot="0" count="0" xr9:uid="{58A91627-45B0-48D2-AE55-D8795B9079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PURCHASE ORDER NUMBER:" dataDxfId="14">
      <calculatedColumnFormula>Data!#REF!</calculatedColumnFormula>
    </tableColumn>
    <tableColumn id="2" xr3:uid="{8124D179-A79B-4BBA-85AA-AE868B3BD964}" name="To:" dataDxfId="13">
      <calculatedColumnFormula>Data!#REF!</calculatedColumnFormula>
    </tableColumn>
    <tableColumn id="3" xr3:uid="{8EBF04C7-F5A5-41F6-B822-05A114B738D6}" name="Delivery Required By:" dataDxfId="12">
      <calculatedColumnFormula>Data!#REF!</calculatedColumnFormula>
    </tableColumn>
    <tableColumn id="4" xr3:uid="{94207C95-B5B9-4D03-98C8-D235FD79E913}" name="GRAND TOTAL:" dataDxfId="11">
      <calculatedColumnFormula>Data!#REF!</calculatedColumnFormula>
    </tableColumn>
    <tableColumn id="5" xr3:uid="{BA4D55A0-3AD4-41AB-A885-E603AF47C013}" name="Date of Order:" dataDxfId="10">
      <calculatedColumnFormula>Data!#REF!</calculatedColumnFormula>
    </tableColumn>
    <tableColumn id="6" xr3:uid="{A0A02713-3D1B-42F5-B9B1-C2F7CAD1CD8A}" name="Cost Code:" dataDxfId="9">
      <calculatedColumnFormula>Data!#REF!</calculatedColumnFormula>
    </tableColumn>
    <tableColumn id="7" xr3:uid="{A0C26CD1-312A-48C1-91A6-98B392F4EE1A}" name="Attachments:" dataDxfId="8">
      <calculatedColumnFormula>Data!#REF!</calculatedColumnFormula>
    </tableColumn>
    <tableColumn id="8" xr3:uid="{FA4B2F40-DE43-4B63-8588-76A2ADEA0163}" name="Log 8" dataDxfId="7">
      <calculatedColumnFormula>Data!#REF!</calculatedColumnFormula>
    </tableColumn>
    <tableColumn id="9" xr3:uid="{ABCBA97B-7698-4BC6-B22D-C20F961586D9}" name="Log 9" dataDxfId="6">
      <calculatedColumnFormula>Data!#REF!</calculatedColumnFormula>
    </tableColumn>
    <tableColumn id="10" xr3:uid="{81D57D74-2E42-4EE5-81DF-CA9FB3B847A3}" name="Log 10" dataDxfId="5">
      <calculatedColumnFormula>Data!#REF!</calculatedColumnFormula>
    </tableColumn>
    <tableColumn id="11" xr3:uid="{7545434D-3178-4419-997B-B23FC4D4FC26}" name="Log 11" dataDxfId="4">
      <calculatedColumnFormula>Data!#REF!</calculatedColumnFormula>
    </tableColumn>
    <tableColumn id="12" xr3:uid="{DD6DC635-D4DB-40CC-BA98-BF5DC2398753}" name="Log 12" dataDxfId="3">
      <calculatedColumnFormula>Data!#REF!</calculatedColumnFormula>
    </tableColumn>
    <tableColumn id="13" xr3:uid="{5F4E349E-BA21-453D-B5DD-0ABFC7F4A743}" name="Date Signed:" dataDxfId="2">
      <calculatedColumnFormula>Data!#REF!</calculatedColumnFormula>
    </tableColumn>
    <tableColumn id="14" xr3:uid="{BE6612B1-CE1D-4959-B408-4E4D76914DD0}" name="Acknowledged By:" dataDxfId="1">
      <calculatedColumnFormula>Data!#REF!</calculatedColumnFormula>
    </tableColumn>
    <tableColumn id="15" xr3:uid="{195AD8A8-AA31-4707-93B4-888E58BEA118}" name="Update 3" dataDxfId="0">
      <calculatedColumnFormula>Data!#REF!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103" t="str">
        <f>HYPERLINK("https://datamateapp.github.io/Outlook.html", "Help")</f>
        <v>Help</v>
      </c>
      <c r="C1" s="82"/>
      <c r="D1" s="104" t="str">
        <f>F5</f>
        <v xml:space="preserve"> Project Name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57</v>
      </c>
      <c r="E3" s="92" t="s">
        <v>58</v>
      </c>
      <c r="F3" s="91" t="s">
        <v>59</v>
      </c>
      <c r="G3" s="92" t="s">
        <v>60</v>
      </c>
      <c r="H3" s="93" t="s">
        <v>61</v>
      </c>
      <c r="I3" s="92" t="s">
        <v>62</v>
      </c>
      <c r="J3" s="93" t="s">
        <v>63</v>
      </c>
      <c r="K3" s="93" t="s">
        <v>64</v>
      </c>
      <c r="L3" s="92" t="s">
        <v>65</v>
      </c>
      <c r="M3" s="93" t="s">
        <v>66</v>
      </c>
      <c r="N3" s="93" t="s">
        <v>67</v>
      </c>
      <c r="O3" s="93" t="s">
        <v>68</v>
      </c>
      <c r="P3" s="93" t="s">
        <v>69</v>
      </c>
      <c r="Q3" s="93" t="s">
        <v>70</v>
      </c>
      <c r="R3" s="94" t="s">
        <v>20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71</v>
      </c>
      <c r="E4" s="20"/>
      <c r="F4" s="20" t="s">
        <v>19</v>
      </c>
      <c r="G4" s="20"/>
      <c r="H4" s="20"/>
      <c r="I4" s="20"/>
      <c r="J4" s="20" t="s">
        <v>72</v>
      </c>
      <c r="K4" s="20" t="s">
        <v>73</v>
      </c>
      <c r="L4" s="20" t="s">
        <v>74</v>
      </c>
      <c r="M4" s="20" t="s">
        <v>75</v>
      </c>
      <c r="N4" s="20" t="s">
        <v>76</v>
      </c>
      <c r="O4" s="20">
        <v>62523</v>
      </c>
      <c r="P4" s="20"/>
      <c r="Q4" s="20"/>
      <c r="R4" s="42" t="s">
        <v>77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11</v>
      </c>
      <c r="G5" s="98"/>
      <c r="H5" s="98"/>
      <c r="I5" s="98"/>
      <c r="J5" s="98"/>
      <c r="K5" s="98"/>
      <c r="L5" s="98" t="s">
        <v>78</v>
      </c>
      <c r="M5" s="98" t="s">
        <v>75</v>
      </c>
      <c r="N5" s="98" t="s">
        <v>79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80</v>
      </c>
      <c r="E6" s="98" t="s">
        <v>81</v>
      </c>
      <c r="F6" s="98" t="s">
        <v>82</v>
      </c>
      <c r="G6" s="98" t="s">
        <v>81</v>
      </c>
      <c r="H6" s="98" t="s">
        <v>81</v>
      </c>
      <c r="I6" s="98" t="s">
        <v>81</v>
      </c>
      <c r="J6" s="98" t="s">
        <v>83</v>
      </c>
      <c r="K6" s="98" t="s">
        <v>84</v>
      </c>
      <c r="L6" s="98" t="s">
        <v>85</v>
      </c>
      <c r="M6" s="98" t="s">
        <v>75</v>
      </c>
      <c r="N6" s="98" t="s">
        <v>76</v>
      </c>
      <c r="O6" s="98">
        <v>62523</v>
      </c>
      <c r="P6" s="98" t="s">
        <v>81</v>
      </c>
      <c r="Q6" s="98" t="s">
        <v>81</v>
      </c>
      <c r="R6" s="99" t="s">
        <v>86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87</v>
      </c>
      <c r="E7" s="98" t="s">
        <v>81</v>
      </c>
      <c r="F7" s="98" t="s">
        <v>88</v>
      </c>
      <c r="G7" s="98" t="s">
        <v>81</v>
      </c>
      <c r="H7" s="98" t="s">
        <v>81</v>
      </c>
      <c r="I7" s="98" t="s">
        <v>81</v>
      </c>
      <c r="J7" s="98" t="s">
        <v>89</v>
      </c>
      <c r="K7" s="98" t="s">
        <v>90</v>
      </c>
      <c r="L7" s="98" t="s">
        <v>91</v>
      </c>
      <c r="M7" s="98" t="s">
        <v>75</v>
      </c>
      <c r="N7" s="98" t="s">
        <v>76</v>
      </c>
      <c r="O7" s="98">
        <v>62523</v>
      </c>
      <c r="P7" s="98" t="s">
        <v>81</v>
      </c>
      <c r="Q7" s="98" t="s">
        <v>81</v>
      </c>
      <c r="R7" s="99" t="s">
        <v>92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93</v>
      </c>
      <c r="E8" s="98" t="s">
        <v>81</v>
      </c>
      <c r="F8" s="98" t="s">
        <v>94</v>
      </c>
      <c r="G8" s="98" t="s">
        <v>81</v>
      </c>
      <c r="H8" s="98" t="s">
        <v>81</v>
      </c>
      <c r="I8" s="98" t="s">
        <v>81</v>
      </c>
      <c r="J8" s="98" t="s">
        <v>95</v>
      </c>
      <c r="K8" s="98" t="s">
        <v>96</v>
      </c>
      <c r="L8" s="98" t="s">
        <v>97</v>
      </c>
      <c r="M8" s="98" t="s">
        <v>75</v>
      </c>
      <c r="N8" s="98" t="s">
        <v>76</v>
      </c>
      <c r="O8" s="98">
        <v>62523</v>
      </c>
      <c r="P8" s="98" t="s">
        <v>81</v>
      </c>
      <c r="Q8" s="98" t="s">
        <v>81</v>
      </c>
      <c r="R8" s="99" t="s">
        <v>98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99</v>
      </c>
      <c r="E9" s="98" t="s">
        <v>81</v>
      </c>
      <c r="F9" s="98" t="s">
        <v>9</v>
      </c>
      <c r="G9" s="98" t="s">
        <v>81</v>
      </c>
      <c r="H9" s="98" t="s">
        <v>81</v>
      </c>
      <c r="I9" s="98" t="s">
        <v>81</v>
      </c>
      <c r="J9" s="98" t="s">
        <v>100</v>
      </c>
      <c r="K9" s="98" t="s">
        <v>101</v>
      </c>
      <c r="L9" s="98" t="s">
        <v>102</v>
      </c>
      <c r="M9" s="98" t="s">
        <v>75</v>
      </c>
      <c r="N9" s="98" t="s">
        <v>76</v>
      </c>
      <c r="O9" s="98">
        <v>62523</v>
      </c>
      <c r="P9" s="98" t="s">
        <v>81</v>
      </c>
      <c r="Q9" s="98" t="s">
        <v>81</v>
      </c>
      <c r="R9" s="99" t="s">
        <v>103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2:Q200"/>
  <sheetViews>
    <sheetView tabSelected="1" workbookViewId="0">
      <selection activeCell="A3" sqref="A3:J3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2" spans="1:17" x14ac:dyDescent="0.35">
      <c r="K2" s="182"/>
      <c r="L2" s="182"/>
      <c r="M2" s="182"/>
      <c r="N2" s="182"/>
      <c r="O2" s="182"/>
      <c r="P2" s="182"/>
      <c r="Q2" s="182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181"/>
      <c r="L3" s="181"/>
      <c r="M3" s="181"/>
      <c r="N3" s="181"/>
      <c r="O3" s="181"/>
      <c r="P3" s="182"/>
      <c r="Q3" s="10"/>
    </row>
    <row r="4" spans="1:17" ht="15.5" x14ac:dyDescent="0.35">
      <c r="A4" s="21"/>
      <c r="B4" s="165" t="str">
        <f>Contacts!L4</f>
        <v>1234 Construction Lane</v>
      </c>
      <c r="C4" s="113"/>
      <c r="D4" s="113"/>
      <c r="E4" s="22"/>
      <c r="F4" s="166" t="str">
        <f>VLOOKUP(A3,Contacts!C3:R2001, 11, FALSE) &amp; ", " &amp; VLOOKUP(A3,Contacts!C3:R2001, 12, FALSE) &amp; " " &amp; VLOOKUP(A3,Contacts!C3:R2001, 13, FALSE)</f>
        <v>Springfield, IL 62523</v>
      </c>
      <c r="G4" s="113"/>
      <c r="H4" s="113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7" t="s">
        <v>6</v>
      </c>
      <c r="B6" s="168"/>
      <c r="C6" s="168"/>
      <c r="D6" s="29">
        <v>1</v>
      </c>
      <c r="E6" s="30"/>
      <c r="F6" s="169" t="s">
        <v>7</v>
      </c>
      <c r="G6" s="170"/>
      <c r="H6" s="17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71" t="s">
        <v>9</v>
      </c>
      <c r="C8" s="171"/>
      <c r="D8" s="171"/>
      <c r="E8" s="30"/>
      <c r="F8" s="24" t="s">
        <v>10</v>
      </c>
      <c r="G8" s="171" t="s">
        <v>11</v>
      </c>
      <c r="H8" s="171"/>
      <c r="I8" s="17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8" t="str">
        <f>VLOOKUP(B8,Contacts!C3:R2001,10,FALSE)</f>
        <v>440 North Industrial Drive</v>
      </c>
      <c r="C9" s="128"/>
      <c r="D9" s="128"/>
      <c r="E9" s="30"/>
      <c r="F9" s="24"/>
      <c r="G9" s="128" t="str">
        <f>VLOOKUP(G8,Contacts!C3:W2001,10,FALSE)</f>
        <v>101 Enterprise Dr</v>
      </c>
      <c r="H9" s="128"/>
      <c r="I9" s="128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8" t="str">
        <f>VLOOKUP(B8,Contacts!C3:R2001, 11, FALSE) &amp; ", " &amp; VLOOKUP(B8,Contacts!C3:R2001, 12, FALSE) &amp; " " &amp; VLOOKUP(B8,Contacts!C3:R2001, 13, FALSE)</f>
        <v>Springfield, IL 62523</v>
      </c>
      <c r="C10" s="129"/>
      <c r="D10" s="129"/>
      <c r="E10" s="30"/>
      <c r="F10" s="24"/>
      <c r="G10" s="128" t="str">
        <f>VLOOKUP(G8,Contacts!C3:R2001, 11, FALSE) &amp; ", " &amp; VLOOKUP(G8,Contacts!C3:R2001, 12, FALSE) &amp; " " &amp; VLOOKUP(G8,Contacts!C3:R2001, 13, FALSE)</f>
        <v>Springfield, Illinois 62523</v>
      </c>
      <c r="H10" s="129"/>
      <c r="I10" s="129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28" t="str">
        <f>VLOOKUP(B8,Contacts!$C$3:$R2001,2,FALSE)</f>
        <v>Michael Jordan</v>
      </c>
      <c r="C12" s="129"/>
      <c r="D12" s="129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72" t="str">
        <f>VLOOKUP(B8,Contacts!$C$3:$CQ$4044,8,FALSE)</f>
        <v>(555) 555-1733</v>
      </c>
      <c r="C15" s="128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72" t="str">
        <f>VLOOKUP(B8,Contacts!$C$3:$CQ$4044,9,FALSE)</f>
        <v>(555) 555-9790</v>
      </c>
      <c r="C16" s="128"/>
      <c r="D16" s="35"/>
      <c r="E16" s="30"/>
      <c r="F16" s="24"/>
      <c r="G16" s="171" t="s">
        <v>19</v>
      </c>
      <c r="H16" s="171"/>
      <c r="I16" s="17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30" t="str">
        <f>VLOOKUP(B8,Contacts!$C$3:$CQ$4044,16,FALSE)</f>
        <v>mjordan@examplesupplier.com</v>
      </c>
      <c r="C17" s="110"/>
      <c r="D17" s="110"/>
      <c r="E17" s="30"/>
      <c r="F17" s="24"/>
      <c r="G17" s="128" t="str">
        <f>VLOOKUP(G16,Contacts!C3:W2009,10,FALSE)</f>
        <v>1234 Construction Lane</v>
      </c>
      <c r="H17" s="128"/>
      <c r="I17" s="128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30" t="s">
        <v>22</v>
      </c>
      <c r="C18" s="110"/>
      <c r="D18" s="110"/>
      <c r="E18" s="30"/>
      <c r="F18" s="24"/>
      <c r="G18" s="128" t="str">
        <f>VLOOKUP(G16,Contacts!C3:R2001, 11, FALSE) &amp; ", " &amp; VLOOKUP(G16,Contacts!C3:R2001, 12, FALSE) &amp; " " &amp; VLOOKUP(G16,Contacts!C3:R2001, 13, FALSE)</f>
        <v>Springfield, IL 62523</v>
      </c>
      <c r="H18" s="129"/>
      <c r="I18" s="129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31" t="s">
        <v>23</v>
      </c>
      <c r="B20" s="114"/>
      <c r="C20" s="34"/>
      <c r="D20" s="24"/>
      <c r="E20" s="38" t="s">
        <v>24</v>
      </c>
      <c r="F20" s="132" t="s">
        <v>25</v>
      </c>
      <c r="G20" s="107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05"/>
      <c r="B21" s="106"/>
      <c r="C21" s="106"/>
      <c r="D21" s="106"/>
      <c r="E21" s="106"/>
      <c r="F21" s="106"/>
      <c r="G21" s="106"/>
      <c r="H21" s="106"/>
      <c r="I21" s="106"/>
      <c r="J21" s="107"/>
      <c r="K21" s="24"/>
      <c r="L21" s="24"/>
      <c r="M21" s="24"/>
      <c r="N21" s="24"/>
      <c r="O21" s="24"/>
      <c r="Q21" s="10"/>
    </row>
    <row r="22" spans="1:17" x14ac:dyDescent="0.35">
      <c r="A22" s="108" t="s">
        <v>28</v>
      </c>
      <c r="B22" s="106"/>
      <c r="C22" s="106"/>
      <c r="D22" s="106"/>
      <c r="E22" s="106"/>
      <c r="F22" s="106"/>
      <c r="G22" s="107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57" t="s">
        <v>33</v>
      </c>
      <c r="C23" s="158"/>
      <c r="D23" s="158"/>
      <c r="E23" s="158"/>
      <c r="F23" s="158"/>
      <c r="G23" s="159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9" t="s">
        <v>34</v>
      </c>
      <c r="B24" s="110"/>
      <c r="C24" s="110"/>
      <c r="D24" s="110"/>
      <c r="E24" s="110"/>
      <c r="F24" s="110"/>
      <c r="G24" s="111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2" t="s">
        <v>36</v>
      </c>
      <c r="B26" s="113"/>
      <c r="C26" s="113"/>
      <c r="D26" s="113"/>
      <c r="E26" s="113"/>
      <c r="F26" s="113"/>
      <c r="G26" s="114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6"/>
      <c r="B27" s="117"/>
      <c r="C27" s="117"/>
      <c r="D27" s="117"/>
      <c r="E27" s="117"/>
      <c r="F27" s="117"/>
      <c r="G27" s="117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6"/>
      <c r="B28" s="117"/>
      <c r="C28" s="117"/>
      <c r="D28" s="117"/>
      <c r="E28" s="117"/>
      <c r="F28" s="117"/>
      <c r="G28" s="117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6"/>
      <c r="B29" s="117"/>
      <c r="C29" s="117"/>
      <c r="D29" s="117"/>
      <c r="E29" s="117"/>
      <c r="F29" s="117"/>
      <c r="G29" s="117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6"/>
      <c r="B30" s="117"/>
      <c r="C30" s="117"/>
      <c r="D30" s="117"/>
      <c r="E30" s="117"/>
      <c r="F30" s="117"/>
      <c r="G30" s="117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6"/>
      <c r="B31" s="117"/>
      <c r="C31" s="117"/>
      <c r="D31" s="117"/>
      <c r="E31" s="117"/>
      <c r="F31" s="117"/>
      <c r="G31" s="117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6"/>
      <c r="B32" s="117"/>
      <c r="C32" s="117"/>
      <c r="D32" s="117"/>
      <c r="E32" s="117"/>
      <c r="F32" s="117"/>
      <c r="G32" s="117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6"/>
      <c r="B33" s="117"/>
      <c r="C33" s="117"/>
      <c r="D33" s="117"/>
      <c r="E33" s="117"/>
      <c r="F33" s="117"/>
      <c r="G33" s="117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18"/>
      <c r="B34" s="119"/>
      <c r="C34" s="119"/>
      <c r="D34" s="119"/>
      <c r="E34" s="119"/>
      <c r="F34" s="119"/>
      <c r="G34" s="120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5" t="s">
        <v>38</v>
      </c>
      <c r="B37" s="110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9" t="s">
        <v>40</v>
      </c>
      <c r="B41" s="150"/>
      <c r="C41" s="150"/>
      <c r="D41" s="150"/>
      <c r="E41" s="150"/>
      <c r="F41" s="150"/>
      <c r="G41" s="142"/>
      <c r="H41" s="150"/>
      <c r="I41" s="142"/>
      <c r="J41" s="155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56"/>
      <c r="J42" s="156"/>
      <c r="K42" s="24"/>
      <c r="L42" s="24"/>
      <c r="M42" s="24"/>
      <c r="N42" s="24"/>
      <c r="O42" s="24"/>
      <c r="Q42" s="10"/>
    </row>
    <row r="43" spans="1:17" ht="15" thickTop="1" x14ac:dyDescent="0.35">
      <c r="A43" s="141" t="s">
        <v>44</v>
      </c>
      <c r="B43" s="142"/>
      <c r="C43" s="142"/>
      <c r="D43" s="142"/>
      <c r="E43" s="143" t="str">
        <f>Contacts!F4</f>
        <v>Your Company Name</v>
      </c>
      <c r="F43" s="143"/>
      <c r="G43" s="119"/>
      <c r="H43" s="142"/>
      <c r="I43" s="144"/>
      <c r="J43" s="145"/>
      <c r="K43" s="24"/>
      <c r="L43" s="24"/>
      <c r="M43" s="24"/>
      <c r="N43" s="24"/>
      <c r="O43" s="24"/>
      <c r="Q43" s="10"/>
    </row>
    <row r="44" spans="1:17" ht="15" thickBot="1" x14ac:dyDescent="0.4">
      <c r="A44" s="146" t="s">
        <v>35</v>
      </c>
      <c r="B44" s="147"/>
      <c r="C44" s="147"/>
      <c r="D44" s="147"/>
      <c r="E44" s="147"/>
      <c r="F44" s="147"/>
      <c r="G44" s="147"/>
      <c r="H44" s="147"/>
      <c r="I44" s="147"/>
      <c r="J44" s="148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9" t="s">
        <v>45</v>
      </c>
      <c r="B45" s="150"/>
      <c r="C45" s="150"/>
      <c r="D45" s="150"/>
      <c r="E45" s="150"/>
      <c r="F45" s="150"/>
      <c r="G45" s="150"/>
      <c r="H45" s="150"/>
      <c r="I45" s="150"/>
      <c r="J45" s="151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52" t="s">
        <v>46</v>
      </c>
      <c r="B47" s="110"/>
      <c r="C47" s="24"/>
      <c r="D47" s="18"/>
      <c r="E47" s="24"/>
      <c r="F47" s="24" t="s">
        <v>47</v>
      </c>
      <c r="G47" s="24"/>
      <c r="H47" s="153" t="str">
        <f>VLOOKUP(F48,Contacts!C3:R2001,2,FALSE)</f>
        <v>Your Name</v>
      </c>
      <c r="I47" s="154"/>
      <c r="J47" s="71"/>
      <c r="K47" s="24"/>
      <c r="L47" s="24"/>
      <c r="M47" s="24"/>
      <c r="N47" s="24"/>
      <c r="O47" s="24"/>
      <c r="Q47" s="10"/>
    </row>
    <row r="48" spans="1:17" ht="14.5" customHeight="1" x14ac:dyDescent="0.35">
      <c r="A48" s="60" t="s">
        <v>48</v>
      </c>
      <c r="B48" s="133" t="str">
        <f>B8</f>
        <v>Example Supplier/Vendor</v>
      </c>
      <c r="C48" s="134"/>
      <c r="D48" s="134"/>
      <c r="E48" s="134"/>
      <c r="F48" s="135" t="str">
        <f>Contacts!F4</f>
        <v>Your Company Name</v>
      </c>
      <c r="G48" s="136"/>
      <c r="H48" s="132"/>
      <c r="I48" s="106"/>
      <c r="J48" s="30"/>
      <c r="K48" s="24"/>
      <c r="L48" s="24"/>
      <c r="M48" s="24"/>
      <c r="N48" s="24"/>
      <c r="O48" s="24"/>
      <c r="Q48" s="10"/>
    </row>
    <row r="49" spans="1:17" x14ac:dyDescent="0.35">
      <c r="A49" s="115" t="s">
        <v>49</v>
      </c>
      <c r="B49" s="110"/>
      <c r="C49" s="24"/>
      <c r="D49" s="72"/>
      <c r="E49" s="24"/>
      <c r="F49" s="136"/>
      <c r="G49" s="136"/>
      <c r="H49" s="137"/>
      <c r="I49" s="138"/>
      <c r="J49" s="30"/>
      <c r="K49" s="24"/>
      <c r="L49" s="24"/>
      <c r="M49" s="24"/>
      <c r="N49" s="24"/>
      <c r="O49" s="24"/>
      <c r="Q49" s="10"/>
    </row>
    <row r="50" spans="1:17" x14ac:dyDescent="0.35">
      <c r="A50" s="115" t="s">
        <v>50</v>
      </c>
      <c r="B50" s="110"/>
      <c r="C50" s="24"/>
      <c r="D50" s="73"/>
      <c r="E50" s="24"/>
      <c r="F50" s="24"/>
      <c r="G50" s="24"/>
      <c r="H50" s="139" t="s">
        <v>51</v>
      </c>
      <c r="I50" s="140"/>
      <c r="J50" s="30"/>
      <c r="K50" s="24"/>
      <c r="L50" s="24"/>
      <c r="M50" s="24"/>
      <c r="N50" s="24"/>
      <c r="O50" s="24"/>
      <c r="Q50" s="10"/>
    </row>
    <row r="51" spans="1:17" x14ac:dyDescent="0.35">
      <c r="A51" s="121" t="s">
        <v>52</v>
      </c>
      <c r="B51" s="113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2" t="s">
        <v>53</v>
      </c>
      <c r="B52" s="123"/>
      <c r="C52" s="123"/>
      <c r="D52" s="123"/>
      <c r="E52" s="123"/>
      <c r="F52" s="123"/>
      <c r="G52" s="123"/>
      <c r="H52" s="123"/>
      <c r="I52" s="123"/>
      <c r="J52" s="124"/>
      <c r="K52" s="24"/>
      <c r="L52" s="24"/>
      <c r="M52" s="24"/>
      <c r="N52" s="24"/>
      <c r="O52" s="24"/>
      <c r="Q52" s="10"/>
    </row>
    <row r="53" spans="1:17" x14ac:dyDescent="0.35">
      <c r="A53" s="125"/>
      <c r="B53" s="126"/>
      <c r="C53" s="126"/>
      <c r="D53" s="126"/>
      <c r="E53" s="126"/>
      <c r="F53" s="126"/>
      <c r="G53" s="126"/>
      <c r="H53" s="126"/>
      <c r="I53" s="126"/>
      <c r="J53" s="127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G17:I17"/>
    <mergeCell ref="A3:J3"/>
    <mergeCell ref="B4:D4"/>
    <mergeCell ref="F4:H4"/>
    <mergeCell ref="A6:C6"/>
    <mergeCell ref="F6:H6"/>
    <mergeCell ref="B8:D8"/>
    <mergeCell ref="G8:I8"/>
    <mergeCell ref="B9:D9"/>
    <mergeCell ref="G9:I9"/>
    <mergeCell ref="B15:C15"/>
    <mergeCell ref="B16:C16"/>
    <mergeCell ref="G16:I16"/>
    <mergeCell ref="A41:J41"/>
    <mergeCell ref="I42:J42"/>
    <mergeCell ref="B23:G23"/>
    <mergeCell ref="A25:C25"/>
    <mergeCell ref="A27:G27"/>
    <mergeCell ref="A28:G28"/>
    <mergeCell ref="A29:G29"/>
    <mergeCell ref="A30:G30"/>
    <mergeCell ref="H50:I50"/>
    <mergeCell ref="A43:D43"/>
    <mergeCell ref="E43:J43"/>
    <mergeCell ref="A44:J44"/>
    <mergeCell ref="A45:J45"/>
    <mergeCell ref="A47:B47"/>
    <mergeCell ref="H47:I47"/>
    <mergeCell ref="A51:B51"/>
    <mergeCell ref="A52:J53"/>
    <mergeCell ref="B10:D10"/>
    <mergeCell ref="G10:I10"/>
    <mergeCell ref="B12:D12"/>
    <mergeCell ref="B17:D17"/>
    <mergeCell ref="B18:D18"/>
    <mergeCell ref="G18:I18"/>
    <mergeCell ref="A20:B20"/>
    <mergeCell ref="F20:G20"/>
    <mergeCell ref="B48:E48"/>
    <mergeCell ref="F48:G49"/>
    <mergeCell ref="H48:I48"/>
    <mergeCell ref="A49:B49"/>
    <mergeCell ref="H49:I49"/>
    <mergeCell ref="A50:B50"/>
    <mergeCell ref="A21:J21"/>
    <mergeCell ref="A22:G22"/>
    <mergeCell ref="A24:G24"/>
    <mergeCell ref="A26:G26"/>
    <mergeCell ref="A37:B37"/>
    <mergeCell ref="A31:G31"/>
    <mergeCell ref="A32:G32"/>
    <mergeCell ref="A33:G33"/>
    <mergeCell ref="A34:G34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0269E60F-E455-4A2A-B06B-30B07BFBA1D2}"/>
    <dataValidation allowBlank="1" showInputMessage="1" showErrorMessage="1" prompt="Enter a new purchase order number." sqref="D6" xr:uid="{8FB4B432-E7A0-4B7E-B9B1-539F0FDD120A}"/>
    <dataValidation allowBlank="1" showInputMessage="1" showErrorMessage="1" prompt="Enter a Phase Number" sqref="I6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0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5" t="str">
        <f>Contacts!L4</f>
        <v>1234 Construction Lane</v>
      </c>
      <c r="C4" s="113"/>
      <c r="D4" s="113"/>
      <c r="E4" s="22"/>
      <c r="F4" s="166" t="str">
        <f>VLOOKUP(A3,Contacts!C3:R2001, 11, FALSE) &amp; ", " &amp; VLOOKUP(A3,Contacts!C3:R2001, 12, FALSE) &amp; " " &amp; VLOOKUP(A3,Contacts!C3:R2001, 13, FALSE)</f>
        <v>Springfield, IL 62523</v>
      </c>
      <c r="G4" s="113"/>
      <c r="H4" s="113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7" t="s">
        <v>6</v>
      </c>
      <c r="B6" s="168"/>
      <c r="C6" s="168"/>
      <c r="D6" s="29"/>
      <c r="E6" s="30"/>
      <c r="F6" s="169" t="s">
        <v>7</v>
      </c>
      <c r="G6" s="170"/>
      <c r="H6" s="17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71" t="s">
        <v>9</v>
      </c>
      <c r="C8" s="171"/>
      <c r="D8" s="171"/>
      <c r="E8" s="30"/>
      <c r="F8" s="24" t="s">
        <v>10</v>
      </c>
      <c r="G8" s="171" t="s">
        <v>11</v>
      </c>
      <c r="H8" s="171"/>
      <c r="I8" s="17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8" t="str">
        <f>VLOOKUP(B8,Contacts!C3:R2001,10,FALSE)</f>
        <v>440 North Industrial Drive</v>
      </c>
      <c r="C9" s="128"/>
      <c r="D9" s="128"/>
      <c r="E9" s="30"/>
      <c r="F9" s="24"/>
      <c r="G9" s="128" t="str">
        <f>VLOOKUP(G8,Contacts!C3:W2001,10,FALSE)</f>
        <v>101 Enterprise Dr</v>
      </c>
      <c r="H9" s="128"/>
      <c r="I9" s="128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8" t="str">
        <f>VLOOKUP(B8,Contacts!C3:R2001, 11, FALSE) &amp; ", " &amp; VLOOKUP(B8,Contacts!C3:R2001, 12, FALSE) &amp; " " &amp; VLOOKUP(B8,Contacts!C3:R2001, 13, FALSE)</f>
        <v>Springfield, IL 62523</v>
      </c>
      <c r="C10" s="129"/>
      <c r="D10" s="129"/>
      <c r="E10" s="30"/>
      <c r="F10" s="24"/>
      <c r="G10" s="128" t="str">
        <f>VLOOKUP(G8,Contacts!C3:R2001, 11, FALSE) &amp; ", " &amp; VLOOKUP(G8,Contacts!C3:R2001, 12, FALSE) &amp; " " &amp; VLOOKUP(G8,Contacts!C3:R2001, 13, FALSE)</f>
        <v>Springfield, Illinois 62523</v>
      </c>
      <c r="H10" s="129"/>
      <c r="I10" s="129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28" t="str">
        <f>VLOOKUP(B8,Contacts!$C$3:$R2001,2,FALSE)</f>
        <v>Michael Jordan</v>
      </c>
      <c r="C12" s="129"/>
      <c r="D12" s="129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72" t="str">
        <f>VLOOKUP(B8,Contacts!$C$3:$CQ$4044,8,FALSE)</f>
        <v>(555) 555-1733</v>
      </c>
      <c r="C15" s="128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72" t="str">
        <f>VLOOKUP(B8,Contacts!$C$3:$CQ$4044,9,FALSE)</f>
        <v>(555) 555-9790</v>
      </c>
      <c r="C16" s="128"/>
      <c r="D16" s="35"/>
      <c r="E16" s="30"/>
      <c r="F16" s="24"/>
      <c r="G16" s="171" t="s">
        <v>19</v>
      </c>
      <c r="H16" s="171"/>
      <c r="I16" s="17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30" t="str">
        <f>VLOOKUP(B8,Contacts!$C$3:$CQ$4044,16,FALSE)</f>
        <v>mjordan@examplesupplier.com</v>
      </c>
      <c r="C17" s="110"/>
      <c r="D17" s="110"/>
      <c r="E17" s="30"/>
      <c r="F17" s="24"/>
      <c r="G17" s="128" t="str">
        <f>VLOOKUP(G16,Contacts!C3:W2009,10,FALSE)</f>
        <v>1234 Construction Lane</v>
      </c>
      <c r="H17" s="128"/>
      <c r="I17" s="128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30" t="s">
        <v>22</v>
      </c>
      <c r="C18" s="110"/>
      <c r="D18" s="110"/>
      <c r="E18" s="30"/>
      <c r="F18" s="24"/>
      <c r="G18" s="128" t="str">
        <f>VLOOKUP(G16,Contacts!C3:R2001, 11, FALSE) &amp; ", " &amp; VLOOKUP(G16,Contacts!C3:R2001, 12, FALSE) &amp; " " &amp; VLOOKUP(G16,Contacts!C3:R2001, 13, FALSE)</f>
        <v>Springfield, IL 62523</v>
      </c>
      <c r="H18" s="129"/>
      <c r="I18" s="129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31" t="s">
        <v>23</v>
      </c>
      <c r="B20" s="114"/>
      <c r="C20" s="34"/>
      <c r="D20" s="24"/>
      <c r="E20" s="38" t="s">
        <v>24</v>
      </c>
      <c r="F20" s="132" t="s">
        <v>25</v>
      </c>
      <c r="G20" s="107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05"/>
      <c r="B21" s="106"/>
      <c r="C21" s="106"/>
      <c r="D21" s="106"/>
      <c r="E21" s="106"/>
      <c r="F21" s="106"/>
      <c r="G21" s="106"/>
      <c r="H21" s="106"/>
      <c r="I21" s="106"/>
      <c r="J21" s="107"/>
      <c r="K21" s="24"/>
      <c r="L21" s="24"/>
      <c r="M21" s="24"/>
      <c r="N21" s="24"/>
      <c r="O21" s="24"/>
      <c r="Q21" s="10"/>
    </row>
    <row r="22" spans="1:17" x14ac:dyDescent="0.35">
      <c r="A22" s="108" t="s">
        <v>28</v>
      </c>
      <c r="B22" s="106"/>
      <c r="C22" s="106"/>
      <c r="D22" s="106"/>
      <c r="E22" s="106"/>
      <c r="F22" s="106"/>
      <c r="G22" s="107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57" t="str">
        <f>Contacts!F5</f>
        <v xml:space="preserve"> Project Name</v>
      </c>
      <c r="C23" s="158"/>
      <c r="D23" s="158"/>
      <c r="E23" s="158"/>
      <c r="F23" s="158"/>
      <c r="G23" s="159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9" t="s">
        <v>34</v>
      </c>
      <c r="B24" s="110"/>
      <c r="C24" s="110"/>
      <c r="D24" s="110"/>
      <c r="E24" s="110"/>
      <c r="F24" s="110"/>
      <c r="G24" s="111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2" t="s">
        <v>36</v>
      </c>
      <c r="B26" s="113"/>
      <c r="C26" s="113"/>
      <c r="D26" s="113"/>
      <c r="E26" s="113"/>
      <c r="F26" s="113"/>
      <c r="G26" s="114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6"/>
      <c r="B27" s="117"/>
      <c r="C27" s="117"/>
      <c r="D27" s="117"/>
      <c r="E27" s="117"/>
      <c r="F27" s="117"/>
      <c r="G27" s="117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6"/>
      <c r="B28" s="117"/>
      <c r="C28" s="117"/>
      <c r="D28" s="117"/>
      <c r="E28" s="117"/>
      <c r="F28" s="117"/>
      <c r="G28" s="117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6"/>
      <c r="B29" s="117"/>
      <c r="C29" s="117"/>
      <c r="D29" s="117"/>
      <c r="E29" s="117"/>
      <c r="F29" s="117"/>
      <c r="G29" s="117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6"/>
      <c r="B30" s="117"/>
      <c r="C30" s="117"/>
      <c r="D30" s="117"/>
      <c r="E30" s="117"/>
      <c r="F30" s="117"/>
      <c r="G30" s="117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6"/>
      <c r="B31" s="117"/>
      <c r="C31" s="117"/>
      <c r="D31" s="117"/>
      <c r="E31" s="117"/>
      <c r="F31" s="117"/>
      <c r="G31" s="117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6"/>
      <c r="B32" s="117"/>
      <c r="C32" s="117"/>
      <c r="D32" s="117"/>
      <c r="E32" s="117"/>
      <c r="F32" s="117"/>
      <c r="G32" s="117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6"/>
      <c r="B33" s="117"/>
      <c r="C33" s="117"/>
      <c r="D33" s="117"/>
      <c r="E33" s="117"/>
      <c r="F33" s="117"/>
      <c r="G33" s="117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18"/>
      <c r="B34" s="119"/>
      <c r="C34" s="119"/>
      <c r="D34" s="119"/>
      <c r="E34" s="119"/>
      <c r="F34" s="119"/>
      <c r="G34" s="120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5" t="s">
        <v>38</v>
      </c>
      <c r="B37" s="110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9" t="s">
        <v>40</v>
      </c>
      <c r="B41" s="150"/>
      <c r="C41" s="150"/>
      <c r="D41" s="150"/>
      <c r="E41" s="150"/>
      <c r="F41" s="150"/>
      <c r="G41" s="142"/>
      <c r="H41" s="150"/>
      <c r="I41" s="142"/>
      <c r="J41" s="155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56"/>
      <c r="J42" s="156"/>
      <c r="K42" s="24"/>
      <c r="L42" s="24"/>
      <c r="M42" s="24"/>
      <c r="N42" s="24"/>
      <c r="O42" s="24"/>
      <c r="Q42" s="10"/>
    </row>
    <row r="43" spans="1:17" ht="15" thickTop="1" x14ac:dyDescent="0.35">
      <c r="A43" s="141" t="s">
        <v>44</v>
      </c>
      <c r="B43" s="142"/>
      <c r="C43" s="142"/>
      <c r="D43" s="142"/>
      <c r="E43" s="143" t="str">
        <f>Contacts!F4</f>
        <v>Your Company Name</v>
      </c>
      <c r="F43" s="143"/>
      <c r="G43" s="119"/>
      <c r="H43" s="142"/>
      <c r="I43" s="144"/>
      <c r="J43" s="145"/>
      <c r="K43" s="24"/>
      <c r="L43" s="24"/>
      <c r="M43" s="24"/>
      <c r="N43" s="24"/>
      <c r="O43" s="24"/>
      <c r="Q43" s="10"/>
    </row>
    <row r="44" spans="1:17" ht="15" thickBot="1" x14ac:dyDescent="0.4">
      <c r="A44" s="146" t="s">
        <v>35</v>
      </c>
      <c r="B44" s="147"/>
      <c r="C44" s="147"/>
      <c r="D44" s="147"/>
      <c r="E44" s="147"/>
      <c r="F44" s="147"/>
      <c r="G44" s="147"/>
      <c r="H44" s="147"/>
      <c r="I44" s="147"/>
      <c r="J44" s="148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9" t="s">
        <v>45</v>
      </c>
      <c r="B45" s="150"/>
      <c r="C45" s="150"/>
      <c r="D45" s="150"/>
      <c r="E45" s="150"/>
      <c r="F45" s="150"/>
      <c r="G45" s="150"/>
      <c r="H45" s="150"/>
      <c r="I45" s="150"/>
      <c r="J45" s="151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52" t="s">
        <v>46</v>
      </c>
      <c r="B47" s="110"/>
      <c r="C47" s="24"/>
      <c r="D47" s="18"/>
      <c r="E47" s="24"/>
      <c r="F47" s="24" t="s">
        <v>47</v>
      </c>
      <c r="G47" s="24"/>
      <c r="H47" s="153" t="str">
        <f>VLOOKUP(F48,Contacts!C3:R2001,2,FALSE)</f>
        <v>Your Name</v>
      </c>
      <c r="I47" s="154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48</v>
      </c>
      <c r="B48" s="133" t="str">
        <f>B8</f>
        <v>Example Supplier/Vendor</v>
      </c>
      <c r="C48" s="134"/>
      <c r="D48" s="134"/>
      <c r="E48" s="134"/>
      <c r="F48" s="135" t="str">
        <f>Contacts!F4</f>
        <v>Your Company Name</v>
      </c>
      <c r="G48" s="136"/>
      <c r="H48" s="132"/>
      <c r="I48" s="106"/>
      <c r="J48" s="30"/>
      <c r="K48" s="24"/>
      <c r="L48" s="24"/>
      <c r="M48" s="24"/>
      <c r="N48" s="24"/>
      <c r="O48" s="24"/>
      <c r="Q48" s="10"/>
    </row>
    <row r="49" spans="1:17" x14ac:dyDescent="0.35">
      <c r="A49" s="115" t="s">
        <v>49</v>
      </c>
      <c r="B49" s="110"/>
      <c r="C49" s="24"/>
      <c r="D49" s="72"/>
      <c r="E49" s="24"/>
      <c r="F49" s="136"/>
      <c r="G49" s="136"/>
      <c r="H49" s="137"/>
      <c r="I49" s="138"/>
      <c r="J49" s="30"/>
      <c r="K49" s="24"/>
      <c r="L49" s="24"/>
      <c r="M49" s="24"/>
      <c r="N49" s="24"/>
      <c r="O49" s="24"/>
      <c r="Q49" s="10"/>
    </row>
    <row r="50" spans="1:17" x14ac:dyDescent="0.35">
      <c r="A50" s="115" t="s">
        <v>50</v>
      </c>
      <c r="B50" s="110"/>
      <c r="C50" s="24"/>
      <c r="D50" s="73"/>
      <c r="E50" s="24"/>
      <c r="F50" s="24"/>
      <c r="G50" s="24"/>
      <c r="H50" s="139" t="s">
        <v>51</v>
      </c>
      <c r="I50" s="140"/>
      <c r="J50" s="30"/>
      <c r="K50" s="24"/>
      <c r="L50" s="24"/>
      <c r="M50" s="24"/>
      <c r="N50" s="24"/>
      <c r="O50" s="24"/>
      <c r="Q50" s="10"/>
    </row>
    <row r="51" spans="1:17" x14ac:dyDescent="0.35">
      <c r="A51" s="121" t="s">
        <v>52</v>
      </c>
      <c r="B51" s="113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2" t="s">
        <v>53</v>
      </c>
      <c r="B52" s="123"/>
      <c r="C52" s="123"/>
      <c r="D52" s="123"/>
      <c r="E52" s="123"/>
      <c r="F52" s="123"/>
      <c r="G52" s="123"/>
      <c r="H52" s="123"/>
      <c r="I52" s="123"/>
      <c r="J52" s="124"/>
      <c r="K52" s="24"/>
      <c r="L52" s="24"/>
      <c r="M52" s="24"/>
      <c r="N52" s="24"/>
      <c r="O52" s="24"/>
      <c r="Q52" s="10"/>
    </row>
    <row r="53" spans="1:17" x14ac:dyDescent="0.35">
      <c r="A53" s="125"/>
      <c r="B53" s="126"/>
      <c r="C53" s="126"/>
      <c r="D53" s="126"/>
      <c r="E53" s="126"/>
      <c r="F53" s="126"/>
      <c r="G53" s="126"/>
      <c r="H53" s="126"/>
      <c r="I53" s="126"/>
      <c r="J53" s="127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F4:H4"/>
    <mergeCell ref="A3:J3"/>
    <mergeCell ref="A6:C6"/>
    <mergeCell ref="F6:H6"/>
    <mergeCell ref="B8:D8"/>
    <mergeCell ref="G8:I8"/>
    <mergeCell ref="B4:D4"/>
    <mergeCell ref="A22:G22"/>
    <mergeCell ref="A21:J21"/>
    <mergeCell ref="A20:B20"/>
    <mergeCell ref="B9:D9"/>
    <mergeCell ref="G9:I9"/>
    <mergeCell ref="F20:G20"/>
    <mergeCell ref="G18:I18"/>
    <mergeCell ref="G10:I10"/>
    <mergeCell ref="B10:D10"/>
    <mergeCell ref="B12:D12"/>
    <mergeCell ref="B17:D17"/>
    <mergeCell ref="B18:D18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24:G24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H50:I50"/>
    <mergeCell ref="H48:I48"/>
    <mergeCell ref="F48:G49"/>
    <mergeCell ref="A37:B37"/>
    <mergeCell ref="A26:G26"/>
    <mergeCell ref="A32:G32"/>
    <mergeCell ref="A30:G30"/>
    <mergeCell ref="A31:G31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00"/>
  <sheetViews>
    <sheetView workbookViewId="0">
      <selection activeCell="B2" sqref="B2:L2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ht="16" x14ac:dyDescent="0.35">
      <c r="A1" s="3">
        <f>View_Print!B2</f>
        <v>0</v>
      </c>
      <c r="B1" s="173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" t="e">
        <f>VLOOKUP(A1,Update!$A$1:$P$1000000,2,FALSE)</f>
        <v>#N/A</v>
      </c>
      <c r="N2" s="1" t="e">
        <f>VLOOKUP(A1,Update!$A$1:$P$1000000,3,FALSE)</f>
        <v>#N/A</v>
      </c>
      <c r="O2" s="1" t="e">
        <f>VLOOKUP(A1,Update!$A$1:$P$1000000,4,FALSE)</f>
        <v>#N/A</v>
      </c>
      <c r="P2" s="3"/>
      <c r="Q2" s="3"/>
    </row>
    <row r="3" spans="1:17" ht="25" x14ac:dyDescent="0.5">
      <c r="A3" s="162" t="e">
        <f>VLOOKUP(A1,Data!$A$1:$DZU$1000000,36,FALSE)</f>
        <v>#N/A</v>
      </c>
      <c r="B3" s="163"/>
      <c r="C3" s="163"/>
      <c r="D3" s="163"/>
      <c r="E3" s="163"/>
      <c r="F3" s="163"/>
      <c r="G3" s="163"/>
      <c r="H3" s="163"/>
      <c r="I3" s="163"/>
      <c r="J3" s="164"/>
      <c r="K3" s="1" t="e">
        <f>VLOOKUP(A1,Data!$A$1:$DZU$1000000,46,FALSE)</f>
        <v>#N/A</v>
      </c>
      <c r="L3" s="1" t="e">
        <f>VLOOKUP(A1,Data!$A$1:$DZU$1000000,47,FALSE)</f>
        <v>#N/A</v>
      </c>
      <c r="M3" s="1" t="e">
        <f>VLOOKUP(A1,Data!$A$1:$DZU$1000000,48,FALSE)</f>
        <v>#N/A</v>
      </c>
      <c r="N3" s="1" t="e">
        <f>VLOOKUP(A1,Data!$A$1:$DZU$1000000,49,FALSE)</f>
        <v>#N/A</v>
      </c>
      <c r="O3" s="1" t="e">
        <f>VLOOKUP(A1,Data!$A$1:$DZU$1000000,50,FALSE)</f>
        <v>#N/A</v>
      </c>
      <c r="P3" s="1" t="e">
        <f>VLOOKUP(A1,Data!$A$1:$DZU$1000000,51,FALSE)</f>
        <v>#N/A</v>
      </c>
      <c r="Q3" s="1" t="e">
        <f>VLOOKUP(A1,Data!$A$1:$DZU$1000000,52,FALSE)</f>
        <v>#N/A</v>
      </c>
    </row>
    <row r="4" spans="1:17" ht="15.5" x14ac:dyDescent="0.35">
      <c r="A4" s="21" t="e">
        <f>VLOOKUP(A1,Data!$A$1:$DZU$1000000,53,FALSE)</f>
        <v>#N/A</v>
      </c>
      <c r="B4" s="165" t="e">
        <f>VLOOKUP(A1,Data!$A$1:$DZU$1000000,54,FALSE)</f>
        <v>#N/A</v>
      </c>
      <c r="C4" s="113"/>
      <c r="D4" s="113"/>
      <c r="E4" s="22" t="e">
        <f>VLOOKUP(A1,Data!$A$1:$DZU$1000000,57,FALSE)</f>
        <v>#N/A</v>
      </c>
      <c r="F4" s="166" t="e">
        <f>VLOOKUP(A1,Data!$A$1:$DZU$1000000,58,FALSE)</f>
        <v>#N/A</v>
      </c>
      <c r="G4" s="113"/>
      <c r="H4" s="113"/>
      <c r="I4" s="22" t="e">
        <f>VLOOKUP(A1,Data!$A$1:$DZU$1000000,61,FALSE)</f>
        <v>#N/A</v>
      </c>
      <c r="J4" s="23" t="e">
        <f>VLOOKUP(A1,Data!$A$1:$DZU$1000000,62,FALSE)</f>
        <v>#N/A</v>
      </c>
      <c r="K4" s="1" t="e">
        <f>VLOOKUP(A1,Data!$A$1:$DZU$1000000,63,FALSE)</f>
        <v>#N/A</v>
      </c>
      <c r="L4" s="1" t="e">
        <f>VLOOKUP(A1,Data!$A$1:$DZU$1000000,64,FALSE)</f>
        <v>#N/A</v>
      </c>
      <c r="M4" s="1" t="e">
        <f>VLOOKUP(A1,Data!$A$1:$DZU$1000000,65,FALSE)</f>
        <v>#N/A</v>
      </c>
      <c r="N4" s="1" t="e">
        <f>VLOOKUP(A1,Data!$A$1:$DZU$1000000,66,FALSE)</f>
        <v>#N/A</v>
      </c>
      <c r="O4" s="1" t="e">
        <f>VLOOKUP(A1,Data!$A$1:$DZU$1000000,67,FALSE)</f>
        <v>#N/A</v>
      </c>
      <c r="P4" s="1" t="e">
        <f>VLOOKUP(A1,Data!$A$1:$DZU$1000000,68,FALSE)</f>
        <v>#N/A</v>
      </c>
      <c r="Q4" s="1" t="e">
        <f>VLOOKUP(A1,Data!$A$1:$DZU$1000000,69,FALSE)</f>
        <v>#N/A</v>
      </c>
    </row>
    <row r="5" spans="1:17" x14ac:dyDescent="0.35">
      <c r="A5" s="25" t="e">
        <f>VLOOKUP(A1,Data!$A$1:$DZU$1000000,70,FALSE)</f>
        <v>#N/A</v>
      </c>
      <c r="B5" s="26" t="e">
        <f>VLOOKUP(A1,Data!$A$1:$DZU$1000000,71,FALSE)</f>
        <v>#N/A</v>
      </c>
      <c r="C5" s="26" t="e">
        <f>VLOOKUP(A1,Data!$A$1:$DZU$1000000,72,FALSE)</f>
        <v>#N/A</v>
      </c>
      <c r="D5" s="27" t="e">
        <f>VLOOKUP(A1,Data!$A$1:$DZU$1000000,73,FALSE)</f>
        <v>#N/A</v>
      </c>
      <c r="E5" s="26" t="e">
        <f>VLOOKUP(A1,Data!$A$1:$DZU$1000000,74,FALSE)</f>
        <v>#N/A</v>
      </c>
      <c r="F5" s="26" t="e">
        <f>VLOOKUP(A1,Data!$A$1:$DZU$1000000,75,FALSE)</f>
        <v>#N/A</v>
      </c>
      <c r="G5" s="26" t="e">
        <f>VLOOKUP(A1,Data!$A$1:$DZU$1000000,76,FALSE)</f>
        <v>#N/A</v>
      </c>
      <c r="H5" s="26" t="e">
        <f>VLOOKUP(A1,Data!$A$1:$DZU$1000000,77,FALSE)</f>
        <v>#N/A</v>
      </c>
      <c r="I5" s="27" t="e">
        <f>VLOOKUP(A1,Data!$A$1:$DZU$1000000,78,FALSE)</f>
        <v>#N/A</v>
      </c>
      <c r="J5" s="28" t="e">
        <f>VLOOKUP(A1,Data!$A$1:$DZU$1000000,79,FALSE)</f>
        <v>#N/A</v>
      </c>
      <c r="K5" s="1" t="e">
        <f>VLOOKUP(A1,Data!$A$1:$DZU$1000000,80,FALSE)</f>
        <v>#N/A</v>
      </c>
      <c r="L5" s="1" t="e">
        <f>VLOOKUP(A1,Data!$A$1:$DZU$1000000,81,FALSE)</f>
        <v>#N/A</v>
      </c>
      <c r="M5" s="1" t="e">
        <f>VLOOKUP(A1,Data!$A$1:$DZU$1000000,82,FALSE)</f>
        <v>#N/A</v>
      </c>
      <c r="N5" s="1" t="e">
        <f>VLOOKUP(A1,Data!$A$1:$DZU$1000000,83,FALSE)</f>
        <v>#N/A</v>
      </c>
      <c r="O5" s="1" t="e">
        <f>VLOOKUP(A1,Data!$A$1:$DZU$1000000,84,FALSE)</f>
        <v>#N/A</v>
      </c>
      <c r="P5" s="1" t="e">
        <f>VLOOKUP(A1,Data!$A$1:$DZU$1000000,85,FALSE)</f>
        <v>#N/A</v>
      </c>
      <c r="Q5" s="1" t="e">
        <f>VLOOKUP(A1,Data!$A$1:$DZU$1000000,86,FALSE)</f>
        <v>#N/A</v>
      </c>
    </row>
    <row r="6" spans="1:17" ht="15.5" x14ac:dyDescent="0.35">
      <c r="A6" s="167" t="e">
        <f>VLOOKUP(A1,Data!$A$1:$DZU$1000000,87,FALSE)</f>
        <v>#N/A</v>
      </c>
      <c r="B6" s="168"/>
      <c r="C6" s="168"/>
      <c r="D6" s="29" t="e">
        <f>VLOOKUP(A1,Data!$A$1:$DZU$1000000,90,FALSE)</f>
        <v>#N/A</v>
      </c>
      <c r="E6" s="30" t="e">
        <f>VLOOKUP(A1,Data!$A$1:$DZU$1000000,91,FALSE)</f>
        <v>#N/A</v>
      </c>
      <c r="F6" s="169" t="e">
        <f>VLOOKUP(A1,Data!$A$1:$DZU$1000000,92,FALSE)</f>
        <v>#N/A</v>
      </c>
      <c r="G6" s="170"/>
      <c r="H6" s="170"/>
      <c r="I6" s="31" t="e">
        <f>VLOOKUP(A1,Data!$A$1:$DZU$1000000,95,FALSE)</f>
        <v>#N/A</v>
      </c>
      <c r="J6" s="30" t="e">
        <f>VLOOKUP(A1,Data!$A$1:$DZU$1000000,96,FALSE)</f>
        <v>#N/A</v>
      </c>
      <c r="K6" s="1" t="e">
        <f>VLOOKUP(A1,Data!$A$1:$DZU$1000000,97,FALSE)</f>
        <v>#N/A</v>
      </c>
      <c r="L6" s="1" t="e">
        <f>VLOOKUP(A1,Data!$A$1:$DZU$1000000,98,FALSE)</f>
        <v>#N/A</v>
      </c>
      <c r="M6" s="1" t="e">
        <f>VLOOKUP(A1,Data!$A$1:$DZU$1000000,99,FALSE)</f>
        <v>#N/A</v>
      </c>
      <c r="N6" s="1" t="e">
        <f>VLOOKUP(A1,Data!$A$1:$DZU$1000000,100,FALSE)</f>
        <v>#N/A</v>
      </c>
      <c r="O6" s="1" t="e">
        <f>VLOOKUP(A1,Data!$A$1:$DZU$1000000,101,FALSE)</f>
        <v>#N/A</v>
      </c>
      <c r="P6" s="1" t="e">
        <f>VLOOKUP(A1,Data!$A$1:$DZU$1000000,102,FALSE)</f>
        <v>#N/A</v>
      </c>
      <c r="Q6" s="1" t="e">
        <f>VLOOKUP(A1,Data!$A$1:$DZU$1000000,103,FALSE)</f>
        <v>#N/A</v>
      </c>
    </row>
    <row r="7" spans="1:17" x14ac:dyDescent="0.35">
      <c r="A7" s="32" t="e">
        <f>VLOOKUP(A1,Data!$A$1:$DZU$1000000,104,FALSE)</f>
        <v>#N/A</v>
      </c>
      <c r="B7" s="24" t="e">
        <f>VLOOKUP(A1,Data!$A$1:$DZU$1000000,105,FALSE)</f>
        <v>#N/A</v>
      </c>
      <c r="C7" s="24" t="e">
        <f>VLOOKUP(A1,Data!$A$1:$DZU$1000000,106,FALSE)</f>
        <v>#N/A</v>
      </c>
      <c r="D7" s="33" t="e">
        <f>VLOOKUP(A1,Data!$A$1:$DZU$1000000,107,FALSE)</f>
        <v>#N/A</v>
      </c>
      <c r="E7" s="30" t="e">
        <f>VLOOKUP(A1,Data!$A$1:$DZU$1000000,108,FALSE)</f>
        <v>#N/A</v>
      </c>
      <c r="F7" s="24" t="e">
        <f>VLOOKUP(A1,Data!$A$1:$DZU$1000000,109,FALSE)</f>
        <v>#N/A</v>
      </c>
      <c r="G7" s="24" t="e">
        <f>VLOOKUP(A1,Data!$A$1:$DZU$1000000,110,FALSE)</f>
        <v>#N/A</v>
      </c>
      <c r="H7" s="24" t="e">
        <f>VLOOKUP(A1,Data!$A$1:$DZU$1000000,111,FALSE)</f>
        <v>#N/A</v>
      </c>
      <c r="I7" s="33" t="e">
        <f>VLOOKUP(A1,Data!$A$1:$DZU$1000000,112,FALSE)</f>
        <v>#N/A</v>
      </c>
      <c r="J7" s="30" t="e">
        <f>VLOOKUP(A1,Data!$A$1:$DZU$1000000,113,FALSE)</f>
        <v>#N/A</v>
      </c>
      <c r="K7" s="1" t="e">
        <f>VLOOKUP(A1,Data!$A$1:$DZU$1000000,114,FALSE)</f>
        <v>#N/A</v>
      </c>
      <c r="L7" s="1" t="e">
        <f>VLOOKUP(A1,Data!$A$1:$DZU$1000000,115,FALSE)</f>
        <v>#N/A</v>
      </c>
      <c r="M7" s="1" t="e">
        <f>VLOOKUP(A1,Data!$A$1:$DZU$1000000,116,FALSE)</f>
        <v>#N/A</v>
      </c>
      <c r="N7" s="1" t="e">
        <f>VLOOKUP(A1,Data!$A$1:$DZU$1000000,117,FALSE)</f>
        <v>#N/A</v>
      </c>
      <c r="O7" s="1" t="e">
        <f>VLOOKUP(A1,Data!$A$1:$DZU$1000000,118,FALSE)</f>
        <v>#N/A</v>
      </c>
      <c r="P7" s="1" t="e">
        <f>VLOOKUP(A1,Data!$A$1:$DZU$1000000,119,FALSE)</f>
        <v>#N/A</v>
      </c>
      <c r="Q7" s="1" t="e">
        <f>VLOOKUP(A1,Data!$A$1:$DZU$1000000,120,FALSE)</f>
        <v>#N/A</v>
      </c>
    </row>
    <row r="8" spans="1:17" x14ac:dyDescent="0.35">
      <c r="A8" s="32" t="e">
        <f>VLOOKUP(A1,Data!$A$1:$DZU$1000000,121,FALSE)</f>
        <v>#N/A</v>
      </c>
      <c r="B8" s="171" t="e">
        <f>VLOOKUP(A1,Data!$A$1:$DZU$1000000,122,FALSE)</f>
        <v>#N/A</v>
      </c>
      <c r="C8" s="171"/>
      <c r="D8" s="171"/>
      <c r="E8" s="30" t="e">
        <f>VLOOKUP(A1,Data!$A$1:$DZU$1000000,125,FALSE)</f>
        <v>#N/A</v>
      </c>
      <c r="F8" s="24" t="e">
        <f>VLOOKUP(A1,Data!$A$1:$DZU$1000000,126,FALSE)</f>
        <v>#N/A</v>
      </c>
      <c r="G8" s="171" t="e">
        <f>VLOOKUP(A1,Data!$A$1:$DZU$1000000,127,FALSE)</f>
        <v>#N/A</v>
      </c>
      <c r="H8" s="171"/>
      <c r="I8" s="171"/>
      <c r="J8" s="30" t="e">
        <f>VLOOKUP(A1,Data!$A$1:$DZU$1000000,130,FALSE)</f>
        <v>#N/A</v>
      </c>
      <c r="K8" s="1" t="e">
        <f>VLOOKUP(A1,Data!$A$1:$DZU$1000000,131,FALSE)</f>
        <v>#N/A</v>
      </c>
      <c r="L8" s="1" t="e">
        <f>VLOOKUP(A1,Data!$A$1:$DZU$1000000,132,FALSE)</f>
        <v>#N/A</v>
      </c>
      <c r="M8" s="1" t="e">
        <f>VLOOKUP(A1,Data!$A$1:$DZU$1000000,133,FALSE)</f>
        <v>#N/A</v>
      </c>
      <c r="N8" s="1" t="e">
        <f>VLOOKUP(A1,Data!$A$1:$DZU$1000000,134,FALSE)</f>
        <v>#N/A</v>
      </c>
      <c r="O8" s="1" t="e">
        <f>VLOOKUP(A1,Data!$A$1:$DZU$1000000,135,FALSE)</f>
        <v>#N/A</v>
      </c>
      <c r="P8" s="1" t="e">
        <f>VLOOKUP(A1,Data!$A$1:$DZU$1000000,136,FALSE)</f>
        <v>#N/A</v>
      </c>
      <c r="Q8" s="1" t="e">
        <f>VLOOKUP(A1,Data!$A$1:$DZU$1000000,137,FALSE)</f>
        <v>#N/A</v>
      </c>
    </row>
    <row r="9" spans="1:17" x14ac:dyDescent="0.35">
      <c r="A9" s="32" t="e">
        <f>VLOOKUP(A1,Data!$A$1:$DZU$1000000,138,FALSE)</f>
        <v>#N/A</v>
      </c>
      <c r="B9" s="128" t="e">
        <f>VLOOKUP(A1,Data!$A$1:$DZU$1000000,139,FALSE)</f>
        <v>#N/A</v>
      </c>
      <c r="C9" s="128"/>
      <c r="D9" s="128"/>
      <c r="E9" s="30" t="e">
        <f>VLOOKUP(A1,Data!$A$1:$DZU$1000000,142,FALSE)</f>
        <v>#N/A</v>
      </c>
      <c r="F9" s="24" t="e">
        <f>VLOOKUP(A1,Data!$A$1:$DZU$1000000,143,FALSE)</f>
        <v>#N/A</v>
      </c>
      <c r="G9" s="128" t="e">
        <f>VLOOKUP(A1,Data!$A$1:$DZU$1000000,144,FALSE)</f>
        <v>#N/A</v>
      </c>
      <c r="H9" s="128"/>
      <c r="I9" s="128"/>
      <c r="J9" s="30" t="e">
        <f>VLOOKUP(A1,Data!$A$1:$DZU$1000000,147,FALSE)</f>
        <v>#N/A</v>
      </c>
      <c r="K9" s="1" t="e">
        <f>VLOOKUP(A1,Data!$A$1:$DZU$1000000,148,FALSE)</f>
        <v>#N/A</v>
      </c>
      <c r="L9" s="1" t="e">
        <f>VLOOKUP(A1,Data!$A$1:$DZU$1000000,149,FALSE)</f>
        <v>#N/A</v>
      </c>
      <c r="M9" s="1" t="e">
        <f>VLOOKUP(A1,Data!$A$1:$DZU$1000000,150,FALSE)</f>
        <v>#N/A</v>
      </c>
      <c r="N9" s="1" t="e">
        <f>VLOOKUP(A1,Data!$A$1:$DZU$1000000,151,FALSE)</f>
        <v>#N/A</v>
      </c>
      <c r="O9" s="1" t="e">
        <f>VLOOKUP(A1,Data!$A$1:$DZU$1000000,152,FALSE)</f>
        <v>#N/A</v>
      </c>
      <c r="P9" s="1" t="e">
        <f>VLOOKUP(A1,Data!$A$1:$DZU$1000000,153,FALSE)</f>
        <v>#N/A</v>
      </c>
      <c r="Q9" s="1" t="e">
        <f>VLOOKUP(A1,Data!$A$1:$DZU$1000000,154,FALSE)</f>
        <v>#N/A</v>
      </c>
    </row>
    <row r="10" spans="1:17" x14ac:dyDescent="0.35">
      <c r="A10" s="32" t="e">
        <f>VLOOKUP(A1,Data!$A$1:$DZU$1000000,155,FALSE)</f>
        <v>#N/A</v>
      </c>
      <c r="B10" s="128" t="e">
        <f>VLOOKUP(A1,Data!$A$1:$DZU$1000000,156,FALSE)</f>
        <v>#N/A</v>
      </c>
      <c r="C10" s="129"/>
      <c r="D10" s="129"/>
      <c r="E10" s="30" t="e">
        <f>VLOOKUP(A1,Data!$A$1:$DZU$1000000,159,FALSE)</f>
        <v>#N/A</v>
      </c>
      <c r="F10" s="24" t="e">
        <f>VLOOKUP(A1,Data!$A$1:$DZU$1000000,160,FALSE)</f>
        <v>#N/A</v>
      </c>
      <c r="G10" s="128" t="e">
        <f>VLOOKUP(A1,Data!$A$1:$DZU$1000000,161,FALSE)</f>
        <v>#N/A</v>
      </c>
      <c r="H10" s="129"/>
      <c r="I10" s="129"/>
      <c r="J10" s="30" t="e">
        <f>VLOOKUP(A1,Data!$A$1:$DZU$1000000,164,FALSE)</f>
        <v>#N/A</v>
      </c>
      <c r="K10" s="1" t="e">
        <f>VLOOKUP(A1,Data!$A$1:$DZU$1000000,165,FALSE)</f>
        <v>#N/A</v>
      </c>
      <c r="L10" s="1" t="e">
        <f>VLOOKUP(A1,Data!$A$1:$DZU$1000000,166,FALSE)</f>
        <v>#N/A</v>
      </c>
      <c r="M10" s="1" t="e">
        <f>VLOOKUP(A1,Data!$A$1:$DZU$1000000,167,FALSE)</f>
        <v>#N/A</v>
      </c>
      <c r="N10" s="1" t="e">
        <f>VLOOKUP(A1,Data!$A$1:$DZU$1000000,168,FALSE)</f>
        <v>#N/A</v>
      </c>
      <c r="O10" s="1" t="e">
        <f>VLOOKUP(A1,Data!$A$1:$DZU$1000000,169,FALSE)</f>
        <v>#N/A</v>
      </c>
      <c r="P10" s="1" t="e">
        <f>VLOOKUP(A1,Data!$A$1:$DZU$1000000,170,FALSE)</f>
        <v>#N/A</v>
      </c>
      <c r="Q10" s="1" t="e">
        <f>VLOOKUP(A1,Data!$A$1:$DZU$1000000,171,FALSE)</f>
        <v>#N/A</v>
      </c>
    </row>
    <row r="11" spans="1:17" x14ac:dyDescent="0.35">
      <c r="A11" s="32" t="e">
        <f>VLOOKUP(A1,Data!$A$1:$DZU$1000000,172,FALSE)</f>
        <v>#N/A</v>
      </c>
      <c r="B11" s="35" t="e">
        <f>VLOOKUP(A1,Data!$A$1:$DZU$1000000,173,FALSE)</f>
        <v>#N/A</v>
      </c>
      <c r="C11" s="35" t="e">
        <f>VLOOKUP(A1,Data!$A$1:$DZU$1000000,174,FALSE)</f>
        <v>#N/A</v>
      </c>
      <c r="D11" s="35" t="e">
        <f>VLOOKUP(A1,Data!$A$1:$DZU$1000000,175,FALSE)</f>
        <v>#N/A</v>
      </c>
      <c r="E11" s="30" t="e">
        <f>VLOOKUP(A1,Data!$A$1:$DZU$1000000,176,FALSE)</f>
        <v>#N/A</v>
      </c>
      <c r="F11" s="24" t="e">
        <f>VLOOKUP(A1,Data!$A$1:$DZU$1000000,177,FALSE)</f>
        <v>#N/A</v>
      </c>
      <c r="G11" s="36" t="e">
        <f>VLOOKUP(A1,Data!$A$1:$DZU$1000000,178,FALSE)</f>
        <v>#N/A</v>
      </c>
      <c r="H11" s="24" t="e">
        <f>VLOOKUP(A1,Data!$A$1:$DZU$1000000,179,FALSE)</f>
        <v>#N/A</v>
      </c>
      <c r="I11" s="24" t="e">
        <f>VLOOKUP(A1,Data!$A$1:$DZU$1000000,180,FALSE)</f>
        <v>#N/A</v>
      </c>
      <c r="J11" s="30" t="e">
        <f>VLOOKUP(A1,Data!$A$1:$DZU$1000000,181,FALSE)</f>
        <v>#N/A</v>
      </c>
      <c r="K11" s="1" t="e">
        <f>VLOOKUP(A1,Data!$A$1:$DZU$1000000,182,FALSE)</f>
        <v>#N/A</v>
      </c>
      <c r="L11" s="1" t="e">
        <f>VLOOKUP(A1,Data!$A$1:$DZU$1000000,183,FALSE)</f>
        <v>#N/A</v>
      </c>
      <c r="M11" s="1" t="e">
        <f>VLOOKUP(A1,Data!$A$1:$DZU$1000000,184,FALSE)</f>
        <v>#N/A</v>
      </c>
      <c r="N11" s="1" t="e">
        <f>VLOOKUP(A1,Data!$A$1:$DZU$1000000,185,FALSE)</f>
        <v>#N/A</v>
      </c>
      <c r="O11" s="1" t="e">
        <f>VLOOKUP(A1,Data!$A$1:$DZU$1000000,186,FALSE)</f>
        <v>#N/A</v>
      </c>
      <c r="P11" s="1" t="e">
        <f>VLOOKUP(A1,Data!$A$1:$DZU$1000000,187,FALSE)</f>
        <v>#N/A</v>
      </c>
      <c r="Q11" s="1" t="e">
        <f>VLOOKUP(A1,Data!$A$1:$DZU$1000000,188,FALSE)</f>
        <v>#N/A</v>
      </c>
    </row>
    <row r="12" spans="1:17" x14ac:dyDescent="0.35">
      <c r="A12" s="32" t="e">
        <f>VLOOKUP(A1,Data!$A$1:$DZU$1000000,189,FALSE)</f>
        <v>#N/A</v>
      </c>
      <c r="B12" s="128" t="e">
        <f>VLOOKUP(A1,Data!$A$1:$DZU$1000000,190,FALSE)</f>
        <v>#N/A</v>
      </c>
      <c r="C12" s="129"/>
      <c r="D12" s="129"/>
      <c r="E12" s="30" t="e">
        <f>VLOOKUP(A1,Data!$A$1:$DZU$1000000,193,FALSE)</f>
        <v>#N/A</v>
      </c>
      <c r="F12" s="24" t="e">
        <f>VLOOKUP(A1,Data!$A$1:$DZU$1000000,194,FALSE)</f>
        <v>#N/A</v>
      </c>
      <c r="G12" s="24" t="e">
        <f>VLOOKUP(A1,Data!$A$1:$DZU$1000000,195,FALSE)</f>
        <v>#N/A</v>
      </c>
      <c r="H12" s="24" t="e">
        <f>VLOOKUP(A1,Data!$A$1:$DZU$1000000,196,FALSE)</f>
        <v>#N/A</v>
      </c>
      <c r="I12" s="24" t="e">
        <f>VLOOKUP(A1,Data!$A$1:$DZU$1000000,197,FALSE)</f>
        <v>#N/A</v>
      </c>
      <c r="J12" s="30" t="e">
        <f>VLOOKUP(A1,Data!$A$1:$DZU$1000000,198,FALSE)</f>
        <v>#N/A</v>
      </c>
      <c r="K12" s="1" t="e">
        <f>VLOOKUP(A1,Data!$A$1:$DZU$1000000,199,FALSE)</f>
        <v>#N/A</v>
      </c>
      <c r="L12" s="1" t="e">
        <f>VLOOKUP(A1,Data!$A$1:$DZU$1000000,200,FALSE)</f>
        <v>#N/A</v>
      </c>
      <c r="M12" s="1" t="e">
        <f>VLOOKUP(A1,Data!$A$1:$DZU$1000000,201,FALSE)</f>
        <v>#N/A</v>
      </c>
      <c r="N12" s="1" t="e">
        <f>VLOOKUP(A1,Data!$A$1:$DZU$1000000,202,FALSE)</f>
        <v>#N/A</v>
      </c>
      <c r="O12" s="1" t="e">
        <f>VLOOKUP(A1,Data!$A$1:$DZU$1000000,203,FALSE)</f>
        <v>#N/A</v>
      </c>
      <c r="P12" s="1" t="e">
        <f>VLOOKUP(A1,Data!$A$1:$DZU$1000000,204,FALSE)</f>
        <v>#N/A</v>
      </c>
      <c r="Q12" s="1" t="e">
        <f>VLOOKUP(A1,Data!$A$1:$DZU$1000000,205,FALSE)</f>
        <v>#N/A</v>
      </c>
    </row>
    <row r="13" spans="1:17" x14ac:dyDescent="0.35">
      <c r="A13" s="32" t="e">
        <f>VLOOKUP(A1,Data!$A$1:$DZU$1000000,206,FALSE)</f>
        <v>#N/A</v>
      </c>
      <c r="B13" s="36" t="e">
        <f>VLOOKUP(A1,Data!$A$1:$DZU$1000000,207,FALSE)</f>
        <v>#N/A</v>
      </c>
      <c r="C13" s="36" t="e">
        <f>VLOOKUP(A1,Data!$A$1:$DZU$1000000,208,FALSE)</f>
        <v>#N/A</v>
      </c>
      <c r="D13" s="36" t="e">
        <f>VLOOKUP(A1,Data!$A$1:$DZU$1000000,209,FALSE)</f>
        <v>#N/A</v>
      </c>
      <c r="E13" s="30" t="e">
        <f>VLOOKUP(A1,Data!$A$1:$DZU$1000000,210,FALSE)</f>
        <v>#N/A</v>
      </c>
      <c r="F13" s="24" t="e">
        <f>VLOOKUP(A1,Data!$A$1:$DZU$1000000,211,FALSE)</f>
        <v>#N/A</v>
      </c>
      <c r="G13" s="37" t="e">
        <f>VLOOKUP(A1,Data!$A$1:$DZU$1000000,212,FALSE)</f>
        <v>#N/A</v>
      </c>
      <c r="H13" s="36" t="e">
        <f>VLOOKUP(A1,Data!$A$1:$DZU$1000000,213,FALSE)</f>
        <v>#N/A</v>
      </c>
      <c r="I13" s="24" t="e">
        <f>VLOOKUP(A1,Data!$A$1:$DZU$1000000,214,FALSE)</f>
        <v>#N/A</v>
      </c>
      <c r="J13" s="30" t="e">
        <f>VLOOKUP(A1,Data!$A$1:$DZU$1000000,215,FALSE)</f>
        <v>#N/A</v>
      </c>
      <c r="K13" s="1" t="e">
        <f>VLOOKUP(A1,Data!$A$1:$DZU$1000000,216,FALSE)</f>
        <v>#N/A</v>
      </c>
      <c r="L13" s="1" t="e">
        <f>VLOOKUP(A1,Data!$A$1:$DZU$1000000,217,FALSE)</f>
        <v>#N/A</v>
      </c>
      <c r="M13" s="1" t="e">
        <f>VLOOKUP(A1,Data!$A$1:$DZU$1000000,218,FALSE)</f>
        <v>#N/A</v>
      </c>
      <c r="N13" s="1" t="e">
        <f>VLOOKUP(A1,Data!$A$1:$DZU$1000000,219,FALSE)</f>
        <v>#N/A</v>
      </c>
      <c r="O13" s="1" t="e">
        <f>VLOOKUP(A1,Data!$A$1:$DZU$1000000,220,FALSE)</f>
        <v>#N/A</v>
      </c>
      <c r="P13" s="1" t="e">
        <f>VLOOKUP(A1,Data!$A$1:$DZU$1000000,221,FALSE)</f>
        <v>#N/A</v>
      </c>
      <c r="Q13" s="1" t="e">
        <f>VLOOKUP(A1,Data!$A$1:$DZU$1000000,222,FALSE)</f>
        <v>#N/A</v>
      </c>
    </row>
    <row r="14" spans="1:17" x14ac:dyDescent="0.35">
      <c r="A14" s="32" t="e">
        <f>VLOOKUP(A1,Data!$A$1:$DZU$1000000,223,FALSE)</f>
        <v>#N/A</v>
      </c>
      <c r="B14" s="36" t="e">
        <f>VLOOKUP(A1,Data!$A$1:$DZU$1000000,224,FALSE)</f>
        <v>#N/A</v>
      </c>
      <c r="C14" s="36" t="e">
        <f>VLOOKUP(A1,Data!$A$1:$DZU$1000000,225,FALSE)</f>
        <v>#N/A</v>
      </c>
      <c r="D14" s="36" t="e">
        <f>VLOOKUP(A1,Data!$A$1:$DZU$1000000,226,FALSE)</f>
        <v>#N/A</v>
      </c>
      <c r="E14" s="30" t="e">
        <f>VLOOKUP(A1,Data!$A$1:$DZU$1000000,227,FALSE)</f>
        <v>#N/A</v>
      </c>
      <c r="F14" s="24" t="e">
        <f>VLOOKUP(A1,Data!$A$1:$DZU$1000000,228,FALSE)</f>
        <v>#N/A</v>
      </c>
      <c r="G14" s="24" t="e">
        <f>VLOOKUP(A1,Data!$A$1:$DZU$1000000,229,FALSE)</f>
        <v>#N/A</v>
      </c>
      <c r="H14" s="36" t="e">
        <f>VLOOKUP(A1,Data!$A$1:$DZU$1000000,230,FALSE)</f>
        <v>#N/A</v>
      </c>
      <c r="I14" s="24" t="e">
        <f>VLOOKUP(A1,Data!$A$1:$DZU$1000000,231,FALSE)</f>
        <v>#N/A</v>
      </c>
      <c r="J14" s="30" t="e">
        <f>VLOOKUP(A1,Data!$A$1:$DZU$1000000,232,FALSE)</f>
        <v>#N/A</v>
      </c>
      <c r="K14" s="1" t="e">
        <f>VLOOKUP(A1,Data!$A$1:$DZU$1000000,233,FALSE)</f>
        <v>#N/A</v>
      </c>
      <c r="L14" s="1" t="e">
        <f>VLOOKUP(A1,Data!$A$1:$DZU$1000000,234,FALSE)</f>
        <v>#N/A</v>
      </c>
      <c r="M14" s="1" t="e">
        <f>VLOOKUP(A1,Data!$A$1:$DZU$1000000,235,FALSE)</f>
        <v>#N/A</v>
      </c>
      <c r="N14" s="1" t="e">
        <f>VLOOKUP(A1,Data!$A$1:$DZU$1000000,236,FALSE)</f>
        <v>#N/A</v>
      </c>
      <c r="O14" s="1" t="e">
        <f>VLOOKUP(A1,Data!$A$1:$DZU$1000000,237,FALSE)</f>
        <v>#N/A</v>
      </c>
      <c r="P14" s="1" t="e">
        <f>VLOOKUP(A1,Data!$A$1:$DZU$1000000,238,FALSE)</f>
        <v>#N/A</v>
      </c>
      <c r="Q14" s="1" t="e">
        <f>VLOOKUP(A1,Data!$A$1:$DZU$1000000,239,FALSE)</f>
        <v>#N/A</v>
      </c>
    </row>
    <row r="15" spans="1:17" x14ac:dyDescent="0.35">
      <c r="A15" s="32" t="e">
        <f>VLOOKUP(A1,Data!$A$1:$DZU$1000000,240,FALSE)</f>
        <v>#N/A</v>
      </c>
      <c r="B15" s="172" t="e">
        <f>VLOOKUP(A1,Data!$A$1:$DZU$1000000,241,FALSE)</f>
        <v>#N/A</v>
      </c>
      <c r="C15" s="128"/>
      <c r="D15" s="35" t="e">
        <f>VLOOKUP(A1,Data!$A$1:$DZU$1000000,243,FALSE)</f>
        <v>#N/A</v>
      </c>
      <c r="E15" s="30" t="e">
        <f>VLOOKUP(A1,Data!$A$1:$DZU$1000000,244,FALSE)</f>
        <v>#N/A</v>
      </c>
      <c r="F15" s="24" t="e">
        <f>VLOOKUP(A1,Data!$A$1:$DZU$1000000,245,FALSE)</f>
        <v>#N/A</v>
      </c>
      <c r="G15" s="24" t="e">
        <f>VLOOKUP(A1,Data!$A$1:$DZU$1000000,246,FALSE)</f>
        <v>#N/A</v>
      </c>
      <c r="H15" s="24" t="e">
        <f>VLOOKUP(A1,Data!$A$1:$DZU$1000000,247,FALSE)</f>
        <v>#N/A</v>
      </c>
      <c r="I15" s="24" t="e">
        <f>VLOOKUP(A1,Data!$A$1:$DZU$1000000,248,FALSE)</f>
        <v>#N/A</v>
      </c>
      <c r="J15" s="30" t="e">
        <f>VLOOKUP(A1,Data!$A$1:$DZU$1000000,249,FALSE)</f>
        <v>#N/A</v>
      </c>
      <c r="K15" s="1" t="e">
        <f>VLOOKUP(A1,Data!$A$1:$DZU$1000000,250,FALSE)</f>
        <v>#N/A</v>
      </c>
      <c r="L15" s="1" t="e">
        <f>VLOOKUP(A1,Data!$A$1:$DZU$1000000,251,FALSE)</f>
        <v>#N/A</v>
      </c>
      <c r="M15" s="1" t="e">
        <f>VLOOKUP(A1,Data!$A$1:$DZU$1000000,252,FALSE)</f>
        <v>#N/A</v>
      </c>
      <c r="N15" s="1" t="e">
        <f>VLOOKUP(A1,Data!$A$1:$DZU$1000000,253,FALSE)</f>
        <v>#N/A</v>
      </c>
      <c r="O15" s="1" t="e">
        <f>VLOOKUP(A1,Data!$A$1:$DZU$1000000,254,FALSE)</f>
        <v>#N/A</v>
      </c>
      <c r="P15" s="1" t="e">
        <f>VLOOKUP(A1,Data!$A$1:$DZU$1000000,255,FALSE)</f>
        <v>#N/A</v>
      </c>
      <c r="Q15" s="1" t="e">
        <f>VLOOKUP(A1,Data!$A$1:$DZU$1000000,256,FALSE)</f>
        <v>#N/A</v>
      </c>
    </row>
    <row r="16" spans="1:17" x14ac:dyDescent="0.35">
      <c r="A16" s="32" t="e">
        <f>VLOOKUP(A1,Data!$A$1:$DZU$1000000,257,FALSE)</f>
        <v>#N/A</v>
      </c>
      <c r="B16" s="172" t="e">
        <f>VLOOKUP(A1,Data!$A$1:$DZU$1000000,258,FALSE)</f>
        <v>#N/A</v>
      </c>
      <c r="C16" s="128"/>
      <c r="D16" s="35" t="e">
        <f>VLOOKUP(A1,Data!$A$1:$DZU$1000000,260,FALSE)</f>
        <v>#N/A</v>
      </c>
      <c r="E16" s="30" t="e">
        <f>VLOOKUP(A1,Data!$A$1:$DZU$1000000,261,FALSE)</f>
        <v>#N/A</v>
      </c>
      <c r="F16" s="24" t="e">
        <f>VLOOKUP(A1,Data!$A$1:$DZU$1000000,262,FALSE)</f>
        <v>#N/A</v>
      </c>
      <c r="G16" s="171" t="e">
        <f>VLOOKUP(A1,Data!$A$1:$DZU$1000000,263,FALSE)</f>
        <v>#N/A</v>
      </c>
      <c r="H16" s="171"/>
      <c r="I16" s="171"/>
      <c r="J16" s="30" t="e">
        <f>VLOOKUP(A1,Data!$A$1:$DZU$1000000,266,FALSE)</f>
        <v>#N/A</v>
      </c>
      <c r="K16" s="1" t="e">
        <f>VLOOKUP(A1,Data!$A$1:$DZU$1000000,267,FALSE)</f>
        <v>#N/A</v>
      </c>
      <c r="L16" s="1" t="e">
        <f>VLOOKUP(A1,Data!$A$1:$DZU$1000000,268,FALSE)</f>
        <v>#N/A</v>
      </c>
      <c r="M16" s="1" t="e">
        <f>VLOOKUP(A1,Data!$A$1:$DZU$1000000,269,FALSE)</f>
        <v>#N/A</v>
      </c>
      <c r="N16" s="1" t="e">
        <f>VLOOKUP(A1,Data!$A$1:$DZU$1000000,270,FALSE)</f>
        <v>#N/A</v>
      </c>
      <c r="O16" s="1" t="e">
        <f>VLOOKUP(A1,Data!$A$1:$DZU$1000000,271,FALSE)</f>
        <v>#N/A</v>
      </c>
      <c r="P16" s="1" t="e">
        <f>VLOOKUP(A1,Data!$A$1:$DZU$1000000,272,FALSE)</f>
        <v>#N/A</v>
      </c>
      <c r="Q16" s="1" t="e">
        <f>VLOOKUP(A1,Data!$A$1:$DZU$1000000,273,FALSE)</f>
        <v>#N/A</v>
      </c>
    </row>
    <row r="17" spans="1:17" x14ac:dyDescent="0.35">
      <c r="A17" s="32" t="e">
        <f>VLOOKUP(A1,Data!$A$1:$DZU$1000000,274,FALSE)</f>
        <v>#N/A</v>
      </c>
      <c r="B17" s="130" t="e">
        <f>VLOOKUP(A1,Data!$A$1:$DZU$1000000,275,FALSE)</f>
        <v>#N/A</v>
      </c>
      <c r="C17" s="110"/>
      <c r="D17" s="110"/>
      <c r="E17" s="30" t="e">
        <f>VLOOKUP(A1,Data!$A$1:$DZU$1000000,278,FALSE)</f>
        <v>#N/A</v>
      </c>
      <c r="F17" s="24" t="e">
        <f>VLOOKUP(A1,Data!$A$1:$DZU$1000000,279,FALSE)</f>
        <v>#N/A</v>
      </c>
      <c r="G17" s="128" t="e">
        <f>VLOOKUP(A1,Data!$A$1:$DZU$1000000,280,FALSE)</f>
        <v>#N/A</v>
      </c>
      <c r="H17" s="128"/>
      <c r="I17" s="128"/>
      <c r="J17" s="30" t="e">
        <f>VLOOKUP(A1,Data!$A$1:$DZU$1000000,283,FALSE)</f>
        <v>#N/A</v>
      </c>
      <c r="K17" s="1" t="e">
        <f>VLOOKUP(A1,Data!$A$1:$DZU$1000000,284,FALSE)</f>
        <v>#N/A</v>
      </c>
      <c r="L17" s="1" t="e">
        <f>VLOOKUP(A1,Data!$A$1:$DZU$1000000,285,FALSE)</f>
        <v>#N/A</v>
      </c>
      <c r="M17" s="1" t="e">
        <f>VLOOKUP(A1,Data!$A$1:$DZU$1000000,286,FALSE)</f>
        <v>#N/A</v>
      </c>
      <c r="N17" s="1" t="e">
        <f>VLOOKUP(A1,Data!$A$1:$DZU$1000000,287,FALSE)</f>
        <v>#N/A</v>
      </c>
      <c r="O17" s="1" t="e">
        <f>VLOOKUP(A1,Data!$A$1:$DZU$1000000,288,FALSE)</f>
        <v>#N/A</v>
      </c>
      <c r="P17" s="1" t="e">
        <f>VLOOKUP(A1,Data!$A$1:$DZU$1000000,289,FALSE)</f>
        <v>#N/A</v>
      </c>
      <c r="Q17" s="1" t="e">
        <f>VLOOKUP(A1,Data!$A$1:$DZU$1000000,290,FALSE)</f>
        <v>#N/A</v>
      </c>
    </row>
    <row r="18" spans="1:17" x14ac:dyDescent="0.35">
      <c r="A18" s="32" t="e">
        <f>VLOOKUP(A1,Data!$A$1:$DZU$1000000,291,FALSE)</f>
        <v>#N/A</v>
      </c>
      <c r="B18" s="130" t="e">
        <f>VLOOKUP(A1,Data!$A$1:$DZU$1000000,292,FALSE)</f>
        <v>#N/A</v>
      </c>
      <c r="C18" s="110"/>
      <c r="D18" s="110"/>
      <c r="E18" s="30" t="e">
        <f>VLOOKUP(A1,Data!$A$1:$DZU$1000000,295,FALSE)</f>
        <v>#N/A</v>
      </c>
      <c r="F18" s="24" t="e">
        <f>VLOOKUP(A1,Data!$A$1:$DZU$1000000,296,FALSE)</f>
        <v>#N/A</v>
      </c>
      <c r="G18" s="128" t="e">
        <f>VLOOKUP(A1,Data!$A$1:$DZU$1000000,297,FALSE)</f>
        <v>#N/A</v>
      </c>
      <c r="H18" s="129"/>
      <c r="I18" s="129"/>
      <c r="J18" s="30" t="e">
        <f>VLOOKUP(A1,Data!$A$1:$DZU$1000000,300,FALSE)</f>
        <v>#N/A</v>
      </c>
      <c r="K18" s="1" t="e">
        <f>VLOOKUP(A1,Data!$A$1:$DZU$1000000,301,FALSE)</f>
        <v>#N/A</v>
      </c>
      <c r="L18" s="1" t="e">
        <f>VLOOKUP(A1,Data!$A$1:$DZU$1000000,302,FALSE)</f>
        <v>#N/A</v>
      </c>
      <c r="M18" s="1" t="e">
        <f>VLOOKUP(A1,Data!$A$1:$DZU$1000000,303,FALSE)</f>
        <v>#N/A</v>
      </c>
      <c r="N18" s="1" t="e">
        <f>VLOOKUP(A1,Data!$A$1:$DZU$1000000,304,FALSE)</f>
        <v>#N/A</v>
      </c>
      <c r="O18" s="1" t="e">
        <f>VLOOKUP(A1,Data!$A$1:$DZU$1000000,305,FALSE)</f>
        <v>#N/A</v>
      </c>
      <c r="P18" s="1" t="e">
        <f>VLOOKUP(A1,Data!$A$1:$DZU$1000000,306,FALSE)</f>
        <v>#N/A</v>
      </c>
      <c r="Q18" s="1" t="e">
        <f>VLOOKUP(A1,Data!$A$1:$DZU$1000000,307,FALSE)</f>
        <v>#N/A</v>
      </c>
    </row>
    <row r="19" spans="1:17" x14ac:dyDescent="0.35">
      <c r="A19" s="32" t="e">
        <f>VLOOKUP(A1,Data!$A$1:$DZU$1000000,308,FALSE)</f>
        <v>#N/A</v>
      </c>
      <c r="B19" s="24" t="e">
        <f>VLOOKUP(A1,Data!$A$1:$DZU$1000000,309,FALSE)</f>
        <v>#N/A</v>
      </c>
      <c r="C19" s="24" t="e">
        <f>VLOOKUP(A1,Data!$A$1:$DZU$1000000,310,FALSE)</f>
        <v>#N/A</v>
      </c>
      <c r="D19" s="24" t="e">
        <f>VLOOKUP(A1,Data!$A$1:$DZU$1000000,311,FALSE)</f>
        <v>#N/A</v>
      </c>
      <c r="E19" s="30" t="e">
        <f>VLOOKUP(A1,Data!$A$1:$DZU$1000000,312,FALSE)</f>
        <v>#N/A</v>
      </c>
      <c r="F19" s="24" t="e">
        <f>VLOOKUP(A1,Data!$A$1:$DZU$1000000,313,FALSE)</f>
        <v>#N/A</v>
      </c>
      <c r="G19" s="36" t="e">
        <f>VLOOKUP(A1,Data!$A$1:$DZU$1000000,314,FALSE)</f>
        <v>#N/A</v>
      </c>
      <c r="H19" s="24" t="e">
        <f>VLOOKUP(A1,Data!$A$1:$DZU$1000000,315,FALSE)</f>
        <v>#N/A</v>
      </c>
      <c r="I19" s="24" t="e">
        <f>VLOOKUP(A1,Data!$A$1:$DZU$1000000,316,FALSE)</f>
        <v>#N/A</v>
      </c>
      <c r="J19" s="30" t="e">
        <f>VLOOKUP(A1,Data!$A$1:$DZU$1000000,317,FALSE)</f>
        <v>#N/A</v>
      </c>
      <c r="K19" s="1" t="e">
        <f>VLOOKUP(A1,Data!$A$1:$DZU$1000000,318,FALSE)</f>
        <v>#N/A</v>
      </c>
      <c r="L19" s="1" t="e">
        <f>VLOOKUP(A1,Data!$A$1:$DZU$1000000,319,FALSE)</f>
        <v>#N/A</v>
      </c>
      <c r="M19" s="1" t="e">
        <f>VLOOKUP(A1,Data!$A$1:$DZU$1000000,320,FALSE)</f>
        <v>#N/A</v>
      </c>
      <c r="N19" s="1" t="e">
        <f>VLOOKUP(A1,Data!$A$1:$DZU$1000000,321,FALSE)</f>
        <v>#N/A</v>
      </c>
      <c r="O19" s="1" t="e">
        <f>VLOOKUP(A1,Data!$A$1:$DZU$1000000,322,FALSE)</f>
        <v>#N/A</v>
      </c>
      <c r="P19" s="1" t="e">
        <f>VLOOKUP(A1,Data!$A$1:$DZU$1000000,323,FALSE)</f>
        <v>#N/A</v>
      </c>
      <c r="Q19" s="1" t="e">
        <f>VLOOKUP(A1,Data!$A$1:$DZU$1000000,324,FALSE)</f>
        <v>#N/A</v>
      </c>
    </row>
    <row r="20" spans="1:17" x14ac:dyDescent="0.35">
      <c r="A20" s="131" t="e">
        <f>VLOOKUP(A1,Data!$A$1:$DZU$1000000,325,FALSE)</f>
        <v>#N/A</v>
      </c>
      <c r="B20" s="114"/>
      <c r="C20" s="34" t="e">
        <f>VLOOKUP(A1,Data!$A$1:$DZU$1000000,327,FALSE)</f>
        <v>#N/A</v>
      </c>
      <c r="D20" s="24" t="e">
        <f>VLOOKUP(A1,Data!$A$1:$DZU$1000000,328,FALSE)</f>
        <v>#N/A</v>
      </c>
      <c r="E20" s="38" t="e">
        <f>VLOOKUP(A1,Data!$A$1:$DZU$1000000,329,FALSE)</f>
        <v>#N/A</v>
      </c>
      <c r="F20" s="132" t="e">
        <f>VLOOKUP(A1,Data!$A$1:$DZU$1000000,330,FALSE)</f>
        <v>#N/A</v>
      </c>
      <c r="G20" s="107"/>
      <c r="H20" s="39" t="e">
        <f>VLOOKUP(A1,Data!$A$1:$DZU$1000000,332,FALSE)</f>
        <v>#N/A</v>
      </c>
      <c r="I20" s="39" t="e">
        <f>VLOOKUP(A1,Data!$A$1:$DZU$1000000,333,FALSE)</f>
        <v>#N/A</v>
      </c>
      <c r="J20" s="34" t="e">
        <f>VLOOKUP(A1,Data!$A$1:$DZU$1000000,334,FALSE)</f>
        <v>#N/A</v>
      </c>
      <c r="K20" s="1" t="e">
        <f>VLOOKUP(A1,Data!$A$1:$DZU$1000000,335,FALSE)</f>
        <v>#N/A</v>
      </c>
      <c r="L20" s="1" t="e">
        <f>VLOOKUP(A1,Data!$A$1:$DZU$1000000,336,FALSE)</f>
        <v>#N/A</v>
      </c>
      <c r="M20" s="1" t="e">
        <f>VLOOKUP(A1,Data!$A$1:$DZU$1000000,337,FALSE)</f>
        <v>#N/A</v>
      </c>
      <c r="N20" s="1" t="e">
        <f>VLOOKUP(A1,Data!$A$1:$DZU$1000000,338,FALSE)</f>
        <v>#N/A</v>
      </c>
      <c r="O20" s="1" t="e">
        <f>VLOOKUP(A1,Data!$A$1:$DZU$1000000,339,FALSE)</f>
        <v>#N/A</v>
      </c>
      <c r="P20" s="1" t="e">
        <f>VLOOKUP(A1,Data!$A$1:$DZU$1000000,340,FALSE)</f>
        <v>#N/A</v>
      </c>
      <c r="Q20" s="1" t="e">
        <f>VLOOKUP(A1,Data!$A$1:$DZU$1000000,341,FALSE)</f>
        <v>#N/A</v>
      </c>
    </row>
    <row r="21" spans="1:17" ht="15.5" x14ac:dyDescent="0.35">
      <c r="A21" s="105" t="e">
        <f>VLOOKUP(A1,Data!$A$1:$DZU$1000000,342,FALSE)</f>
        <v>#N/A</v>
      </c>
      <c r="B21" s="106"/>
      <c r="C21" s="106"/>
      <c r="D21" s="106"/>
      <c r="E21" s="106"/>
      <c r="F21" s="106"/>
      <c r="G21" s="106"/>
      <c r="H21" s="106"/>
      <c r="I21" s="106"/>
      <c r="J21" s="107"/>
      <c r="K21" s="1" t="e">
        <f>VLOOKUP(A1,Data!$A$1:$DZU$1000000,352,FALSE)</f>
        <v>#N/A</v>
      </c>
      <c r="L21" s="1" t="e">
        <f>VLOOKUP(A1,Data!$A$1:$DZU$1000000,353,FALSE)</f>
        <v>#N/A</v>
      </c>
      <c r="M21" s="1" t="e">
        <f>VLOOKUP(A1,Data!$A$1:$DZU$1000000,354,FALSE)</f>
        <v>#N/A</v>
      </c>
      <c r="N21" s="1" t="e">
        <f>VLOOKUP(A1,Data!$A$1:$DZU$1000000,355,FALSE)</f>
        <v>#N/A</v>
      </c>
      <c r="O21" s="1" t="e">
        <f>VLOOKUP(A1,Data!$A$1:$DZU$1000000,356,FALSE)</f>
        <v>#N/A</v>
      </c>
      <c r="P21" s="1" t="e">
        <f>VLOOKUP(A1,Data!$A$1:$DZU$1000000,357,FALSE)</f>
        <v>#N/A</v>
      </c>
      <c r="Q21" s="1" t="e">
        <f>VLOOKUP(A1,Data!$A$1:$DZU$1000000,358,FALSE)</f>
        <v>#N/A</v>
      </c>
    </row>
    <row r="22" spans="1:17" x14ac:dyDescent="0.35">
      <c r="A22" s="108" t="e">
        <f>VLOOKUP(A1,Data!$A$1:$DZU$1000000,359,FALSE)</f>
        <v>#N/A</v>
      </c>
      <c r="B22" s="106"/>
      <c r="C22" s="106"/>
      <c r="D22" s="106"/>
      <c r="E22" s="106"/>
      <c r="F22" s="106"/>
      <c r="G22" s="107"/>
      <c r="H22" s="40" t="e">
        <f>VLOOKUP(A1,Data!$A$1:$DZU$1000000,366,FALSE)</f>
        <v>#N/A</v>
      </c>
      <c r="I22" s="40" t="e">
        <f>VLOOKUP(A1,Data!$A$1:$DZU$1000000,367,FALSE)</f>
        <v>#N/A</v>
      </c>
      <c r="J22" s="40" t="e">
        <f>VLOOKUP(A1,Data!$A$1:$DZU$1000000,368,FALSE)</f>
        <v>#N/A</v>
      </c>
      <c r="K22" s="1" t="e">
        <f>VLOOKUP(A1,Data!$A$1:$DZU$1000000,369,FALSE)</f>
        <v>#N/A</v>
      </c>
      <c r="L22" s="1" t="e">
        <f>VLOOKUP(A1,Data!$A$1:$DZU$1000000,370,FALSE)</f>
        <v>#N/A</v>
      </c>
      <c r="M22" s="1" t="e">
        <f>VLOOKUP(A1,Data!$A$1:$DZU$1000000,371,FALSE)</f>
        <v>#N/A</v>
      </c>
      <c r="N22" s="1" t="e">
        <f>VLOOKUP(A1,Data!$A$1:$DZU$1000000,372,FALSE)</f>
        <v>#N/A</v>
      </c>
      <c r="O22" s="1" t="e">
        <f>VLOOKUP(A1,Data!$A$1:$DZU$1000000,373,FALSE)</f>
        <v>#N/A</v>
      </c>
      <c r="P22" s="1" t="e">
        <f>VLOOKUP(A1,Data!$A$1:$DZU$1000000,374,FALSE)</f>
        <v>#N/A</v>
      </c>
      <c r="Q22" s="1" t="e">
        <f>VLOOKUP(A1,Data!$A$1:$DZU$1000000,375,FALSE)</f>
        <v>#N/A</v>
      </c>
    </row>
    <row r="23" spans="1:17" ht="15.5" x14ac:dyDescent="0.35">
      <c r="A23" s="41" t="e">
        <f>VLOOKUP(A1,Data!$A$1:$DZU$1000000,376,FALSE)</f>
        <v>#N/A</v>
      </c>
      <c r="B23" s="157" t="e">
        <f>VLOOKUP(A1,Data!$A$1:$DZU$1000000,377,FALSE)</f>
        <v>#N/A</v>
      </c>
      <c r="C23" s="158"/>
      <c r="D23" s="158"/>
      <c r="E23" s="158"/>
      <c r="F23" s="158"/>
      <c r="G23" s="159"/>
      <c r="H23" s="43" t="e">
        <f>VLOOKUP(A1,Data!$A$1:$DZU$1000000,383,FALSE)</f>
        <v>#N/A</v>
      </c>
      <c r="I23" s="44" t="e">
        <f>VLOOKUP(A1,Data!$A$1:$DZU$1000000,384,FALSE)</f>
        <v>#N/A</v>
      </c>
      <c r="J23" s="45" t="e">
        <f>VLOOKUP(A1,Data!$A$1:$DZU$1000000,385,FALSE)</f>
        <v>#N/A</v>
      </c>
      <c r="K23" s="1" t="e">
        <f>VLOOKUP(A1,Data!$A$1:$DZU$1000000,386,FALSE)</f>
        <v>#N/A</v>
      </c>
      <c r="L23" s="1" t="e">
        <f>VLOOKUP(A1,Data!$A$1:$DZU$1000000,387,FALSE)</f>
        <v>#N/A</v>
      </c>
      <c r="M23" s="1" t="e">
        <f>VLOOKUP(A1,Data!$A$1:$DZU$1000000,388,FALSE)</f>
        <v>#N/A</v>
      </c>
      <c r="N23" s="1" t="e">
        <f>VLOOKUP(A1,Data!$A$1:$DZU$1000000,389,FALSE)</f>
        <v>#N/A</v>
      </c>
      <c r="O23" s="1" t="e">
        <f>VLOOKUP(A1,Data!$A$1:$DZU$1000000,390,FALSE)</f>
        <v>#N/A</v>
      </c>
      <c r="P23" s="1" t="e">
        <f>VLOOKUP(A1,Data!$A$1:$DZU$1000000,391,FALSE)</f>
        <v>#N/A</v>
      </c>
      <c r="Q23" s="1" t="e">
        <f>VLOOKUP(A1,Data!$A$1:$DZU$1000000,392,FALSE)</f>
        <v>#N/A</v>
      </c>
    </row>
    <row r="24" spans="1:17" x14ac:dyDescent="0.35">
      <c r="A24" s="109" t="e">
        <f>VLOOKUP(A1,Data!$A$1:$DZU$1000000,393,FALSE)</f>
        <v>#N/A</v>
      </c>
      <c r="B24" s="110"/>
      <c r="C24" s="110"/>
      <c r="D24" s="110"/>
      <c r="E24" s="110"/>
      <c r="F24" s="110"/>
      <c r="G24" s="111"/>
      <c r="H24" s="46" t="e">
        <f>VLOOKUP(A1,Data!$A$1:$DZU$1000000,400,FALSE)</f>
        <v>#N/A</v>
      </c>
      <c r="I24" s="47" t="e">
        <f>VLOOKUP(A1,Data!$A$1:$DZU$1000000,401,FALSE)</f>
        <v>#N/A</v>
      </c>
      <c r="J24" s="48" t="e">
        <f>VLOOKUP(A1,Data!$A$1:$DZU$1000000,402,FALSE)</f>
        <v>#N/A</v>
      </c>
      <c r="K24" s="1" t="e">
        <f>VLOOKUP(A1,Data!$A$1:$DZU$1000000,403,FALSE)</f>
        <v>#N/A</v>
      </c>
      <c r="L24" s="1" t="e">
        <f>VLOOKUP(A1,Data!$A$1:$DZU$1000000,404,FALSE)</f>
        <v>#N/A</v>
      </c>
      <c r="M24" s="1" t="e">
        <f>VLOOKUP(A1,Data!$A$1:$DZU$1000000,405,FALSE)</f>
        <v>#N/A</v>
      </c>
      <c r="N24" s="1" t="e">
        <f>VLOOKUP(A1,Data!$A$1:$DZU$1000000,406,FALSE)</f>
        <v>#N/A</v>
      </c>
      <c r="O24" s="1" t="e">
        <f>VLOOKUP(A1,Data!$A$1:$DZU$1000000,407,FALSE)</f>
        <v>#N/A</v>
      </c>
      <c r="P24" s="1" t="e">
        <f>VLOOKUP(A1,Data!$A$1:$DZU$1000000,408,FALSE)</f>
        <v>#N/A</v>
      </c>
      <c r="Q24" s="1" t="e">
        <f>VLOOKUP(A1,Data!$A$1:$DZU$1000000,409,FALSE)</f>
        <v>#N/A</v>
      </c>
    </row>
    <row r="25" spans="1:17" x14ac:dyDescent="0.35">
      <c r="A25" s="160" t="e">
        <f>VLOOKUP(A1,Data!$A$1:$DZU$1000000,410,FALSE)</f>
        <v>#N/A</v>
      </c>
      <c r="B25" s="161"/>
      <c r="C25" s="161"/>
      <c r="D25" s="49" t="e">
        <f>VLOOKUP(A1,Data!$A$1:$DZU$1000000,413,FALSE)</f>
        <v>#N/A</v>
      </c>
      <c r="E25" s="50" t="e">
        <f>VLOOKUP(A1,Data!$A$1:$DZU$1000000,414,FALSE)</f>
        <v>#N/A</v>
      </c>
      <c r="F25" s="51" t="e">
        <f>VLOOKUP(A1,Data!$A$1:$DZU$1000000,415,FALSE)</f>
        <v>#N/A</v>
      </c>
      <c r="G25" s="52" t="e">
        <f>VLOOKUP(A1,Data!$A$1:$DZU$1000000,416,FALSE)</f>
        <v>#N/A</v>
      </c>
      <c r="H25" s="53" t="e">
        <f>VLOOKUP(A1,Data!$A$1:$DZU$1000000,417,FALSE)</f>
        <v>#N/A</v>
      </c>
      <c r="I25" s="54" t="e">
        <f>VLOOKUP(A1,Data!$A$1:$DZU$1000000,418,FALSE)</f>
        <v>#N/A</v>
      </c>
      <c r="J25" s="55" t="e">
        <f>VLOOKUP(A1,Data!$A$1:$DZU$1000000,419,FALSE)</f>
        <v>#N/A</v>
      </c>
      <c r="K25" s="1" t="e">
        <f>VLOOKUP(A1,Data!$A$1:$DZU$1000000,420,FALSE)</f>
        <v>#N/A</v>
      </c>
      <c r="L25" s="1" t="e">
        <f>VLOOKUP(A1,Data!$A$1:$DZU$1000000,421,FALSE)</f>
        <v>#N/A</v>
      </c>
      <c r="M25" s="1" t="e">
        <f>VLOOKUP(A1,Data!$A$1:$DZU$1000000,422,FALSE)</f>
        <v>#N/A</v>
      </c>
      <c r="N25" s="1" t="e">
        <f>VLOOKUP(A1,Data!$A$1:$DZU$1000000,423,FALSE)</f>
        <v>#N/A</v>
      </c>
      <c r="O25" s="1" t="e">
        <f>VLOOKUP(A1,Data!$A$1:$DZU$1000000,424,FALSE)</f>
        <v>#N/A</v>
      </c>
      <c r="P25" s="1" t="e">
        <f>VLOOKUP(A1,Data!$A$1:$DZU$1000000,425,FALSE)</f>
        <v>#N/A</v>
      </c>
      <c r="Q25" s="1" t="e">
        <f>VLOOKUP(A1,Data!$A$1:$DZU$1000000,426,FALSE)</f>
        <v>#N/A</v>
      </c>
    </row>
    <row r="26" spans="1:17" x14ac:dyDescent="0.35">
      <c r="A26" s="112" t="e">
        <f>VLOOKUP(A1,Data!$A$1:$DZU$1000000,427,FALSE)</f>
        <v>#N/A</v>
      </c>
      <c r="B26" s="113"/>
      <c r="C26" s="113"/>
      <c r="D26" s="113"/>
      <c r="E26" s="113"/>
      <c r="F26" s="113"/>
      <c r="G26" s="114"/>
      <c r="H26" s="46" t="e">
        <f>VLOOKUP(A1,Data!$A$1:$DZU$1000000,434,FALSE)</f>
        <v>#N/A</v>
      </c>
      <c r="I26" s="47" t="e">
        <f>VLOOKUP(A1,Data!$A$1:$DZU$1000000,435,FALSE)</f>
        <v>#N/A</v>
      </c>
      <c r="J26" s="48" t="e">
        <f>VLOOKUP(A1,Data!$A$1:$DZU$1000000,436,FALSE)</f>
        <v>#N/A</v>
      </c>
      <c r="K26" s="1" t="e">
        <f>VLOOKUP(A1,Data!$A$1:$DZU$1000000,437,FALSE)</f>
        <v>#N/A</v>
      </c>
      <c r="L26" s="1" t="e">
        <f>VLOOKUP(A1,Data!$A$1:$DZU$1000000,438,FALSE)</f>
        <v>#N/A</v>
      </c>
      <c r="M26" s="1" t="e">
        <f>VLOOKUP(A1,Data!$A$1:$DZU$1000000,439,FALSE)</f>
        <v>#N/A</v>
      </c>
      <c r="N26" s="1" t="e">
        <f>VLOOKUP(A1,Data!$A$1:$DZU$1000000,440,FALSE)</f>
        <v>#N/A</v>
      </c>
      <c r="O26" s="1" t="e">
        <f>VLOOKUP(A1,Data!$A$1:$DZU$1000000,441,FALSE)</f>
        <v>#N/A</v>
      </c>
      <c r="P26" s="1" t="e">
        <f>VLOOKUP(A1,Data!$A$1:$DZU$1000000,442,FALSE)</f>
        <v>#N/A</v>
      </c>
      <c r="Q26" s="1" t="e">
        <f>VLOOKUP(A1,Data!$A$1:$DZU$1000000,443,FALSE)</f>
        <v>#N/A</v>
      </c>
    </row>
    <row r="27" spans="1:17" x14ac:dyDescent="0.35">
      <c r="A27" s="116" t="e">
        <f>VLOOKUP(A1,Data!$A$1:$DZU$1000000,444,FALSE)</f>
        <v>#N/A</v>
      </c>
      <c r="B27" s="117"/>
      <c r="C27" s="117"/>
      <c r="D27" s="117"/>
      <c r="E27" s="117"/>
      <c r="F27" s="117"/>
      <c r="G27" s="117"/>
      <c r="H27" s="56" t="e">
        <f>VLOOKUP(A1,Data!$A$1:$DZU$1000000,451,FALSE)</f>
        <v>#N/A</v>
      </c>
      <c r="I27" s="56" t="e">
        <f>VLOOKUP(A1,Data!$A$1:$DZU$1000000,452,FALSE)</f>
        <v>#N/A</v>
      </c>
      <c r="J27" s="57" t="e">
        <f>VLOOKUP(A1,Data!$A$1:$DZU$1000000,453,FALSE)</f>
        <v>#N/A</v>
      </c>
      <c r="K27" s="1" t="e">
        <f>VLOOKUP(A1,Data!$A$1:$DZU$1000000,454,FALSE)</f>
        <v>#N/A</v>
      </c>
      <c r="L27" s="1" t="e">
        <f>VLOOKUP(A1,Data!$A$1:$DZU$1000000,455,FALSE)</f>
        <v>#N/A</v>
      </c>
      <c r="M27" s="1" t="e">
        <f>VLOOKUP(A1,Data!$A$1:$DZU$1000000,456,FALSE)</f>
        <v>#N/A</v>
      </c>
      <c r="N27" s="1" t="e">
        <f>VLOOKUP(A1,Data!$A$1:$DZU$1000000,457,FALSE)</f>
        <v>#N/A</v>
      </c>
      <c r="O27" s="1" t="e">
        <f>VLOOKUP(A1,Data!$A$1:$DZU$1000000,458,FALSE)</f>
        <v>#N/A</v>
      </c>
      <c r="P27" s="1" t="e">
        <f>VLOOKUP(A1,Data!$A$1:$DZU$1000000,459,FALSE)</f>
        <v>#N/A</v>
      </c>
      <c r="Q27" s="1" t="e">
        <f>VLOOKUP(A1,Data!$A$1:$DZU$1000000,460,FALSE)</f>
        <v>#N/A</v>
      </c>
    </row>
    <row r="28" spans="1:17" x14ac:dyDescent="0.35">
      <c r="A28" s="116" t="e">
        <f>VLOOKUP(A1,Data!$A$1:$DZU$1000000,461,FALSE)</f>
        <v>#N/A</v>
      </c>
      <c r="B28" s="117"/>
      <c r="C28" s="117"/>
      <c r="D28" s="117"/>
      <c r="E28" s="117"/>
      <c r="F28" s="117"/>
      <c r="G28" s="117"/>
      <c r="H28" s="56" t="e">
        <f>VLOOKUP(A1,Data!$A$1:$DZU$1000000,468,FALSE)</f>
        <v>#N/A</v>
      </c>
      <c r="I28" s="56" t="e">
        <f>VLOOKUP(A1,Data!$A$1:$DZU$1000000,469,FALSE)</f>
        <v>#N/A</v>
      </c>
      <c r="J28" s="57" t="e">
        <f>VLOOKUP(A1,Data!$A$1:$DZU$1000000,470,FALSE)</f>
        <v>#N/A</v>
      </c>
      <c r="K28" s="1" t="e">
        <f>VLOOKUP(A1,Data!$A$1:$DZU$1000000,471,FALSE)</f>
        <v>#N/A</v>
      </c>
      <c r="L28" s="1" t="e">
        <f>VLOOKUP(A1,Data!$A$1:$DZU$1000000,472,FALSE)</f>
        <v>#N/A</v>
      </c>
      <c r="M28" s="1" t="e">
        <f>VLOOKUP(A1,Data!$A$1:$DZU$1000000,473,FALSE)</f>
        <v>#N/A</v>
      </c>
      <c r="N28" s="1" t="e">
        <f>VLOOKUP(A1,Data!$A$1:$DZU$1000000,474,FALSE)</f>
        <v>#N/A</v>
      </c>
      <c r="O28" s="1" t="e">
        <f>VLOOKUP(A1,Data!$A$1:$DZU$1000000,475,FALSE)</f>
        <v>#N/A</v>
      </c>
      <c r="P28" s="1" t="e">
        <f>VLOOKUP(A1,Data!$A$1:$DZU$1000000,476,FALSE)</f>
        <v>#N/A</v>
      </c>
      <c r="Q28" s="1" t="e">
        <f>VLOOKUP(A1,Data!$A$1:$DZU$1000000,477,FALSE)</f>
        <v>#N/A</v>
      </c>
    </row>
    <row r="29" spans="1:17" x14ac:dyDescent="0.35">
      <c r="A29" s="116" t="e">
        <f>VLOOKUP(A1,Data!$A$1:$DZU$1000000,478,FALSE)</f>
        <v>#N/A</v>
      </c>
      <c r="B29" s="117"/>
      <c r="C29" s="117"/>
      <c r="D29" s="117"/>
      <c r="E29" s="117"/>
      <c r="F29" s="117"/>
      <c r="G29" s="117"/>
      <c r="H29" s="56" t="e">
        <f>VLOOKUP(A1,Data!$A$1:$DZU$1000000,485,FALSE)</f>
        <v>#N/A</v>
      </c>
      <c r="I29" s="56" t="e">
        <f>VLOOKUP(A1,Data!$A$1:$DZU$1000000,486,FALSE)</f>
        <v>#N/A</v>
      </c>
      <c r="J29" s="57" t="e">
        <f>VLOOKUP(A1,Data!$A$1:$DZU$1000000,487,FALSE)</f>
        <v>#N/A</v>
      </c>
      <c r="K29" s="1" t="e">
        <f>VLOOKUP(A1,Data!$A$1:$DZU$1000000,488,FALSE)</f>
        <v>#N/A</v>
      </c>
      <c r="L29" s="1" t="e">
        <f>VLOOKUP(A1,Data!$A$1:$DZU$1000000,489,FALSE)</f>
        <v>#N/A</v>
      </c>
      <c r="M29" s="1" t="e">
        <f>VLOOKUP(A1,Data!$A$1:$DZU$1000000,490,FALSE)</f>
        <v>#N/A</v>
      </c>
      <c r="N29" s="1" t="e">
        <f>VLOOKUP(A1,Data!$A$1:$DZU$1000000,491,FALSE)</f>
        <v>#N/A</v>
      </c>
      <c r="O29" s="1" t="e">
        <f>VLOOKUP(A1,Data!$A$1:$DZU$1000000,492,FALSE)</f>
        <v>#N/A</v>
      </c>
      <c r="P29" s="1" t="e">
        <f>VLOOKUP(A1,Data!$A$1:$DZU$1000000,493,FALSE)</f>
        <v>#N/A</v>
      </c>
      <c r="Q29" s="1" t="e">
        <f>VLOOKUP(A1,Data!$A$1:$DZU$1000000,494,FALSE)</f>
        <v>#N/A</v>
      </c>
    </row>
    <row r="30" spans="1:17" x14ac:dyDescent="0.35">
      <c r="A30" s="116" t="e">
        <f>VLOOKUP(A1,Data!$A$1:$DZU$1000000,495,FALSE)</f>
        <v>#N/A</v>
      </c>
      <c r="B30" s="117"/>
      <c r="C30" s="117"/>
      <c r="D30" s="117"/>
      <c r="E30" s="117"/>
      <c r="F30" s="117"/>
      <c r="G30" s="117"/>
      <c r="H30" s="56" t="e">
        <f>VLOOKUP(A1,Data!$A$1:$DZU$1000000,502,FALSE)</f>
        <v>#N/A</v>
      </c>
      <c r="I30" s="56" t="e">
        <f>VLOOKUP(A1,Data!$A$1:$DZU$1000000,503,FALSE)</f>
        <v>#N/A</v>
      </c>
      <c r="J30" s="57" t="e">
        <f>VLOOKUP(A1,Data!$A$1:$DZU$1000000,504,FALSE)</f>
        <v>#N/A</v>
      </c>
      <c r="K30" s="1" t="e">
        <f>VLOOKUP(A1,Data!$A$1:$DZU$1000000,505,FALSE)</f>
        <v>#N/A</v>
      </c>
      <c r="L30" s="1" t="e">
        <f>VLOOKUP(A1,Data!$A$1:$DZU$1000000,506,FALSE)</f>
        <v>#N/A</v>
      </c>
      <c r="M30" s="1" t="e">
        <f>VLOOKUP(A1,Data!$A$1:$DZU$1000000,507,FALSE)</f>
        <v>#N/A</v>
      </c>
      <c r="N30" s="1" t="e">
        <f>VLOOKUP(A1,Data!$A$1:$DZU$1000000,508,FALSE)</f>
        <v>#N/A</v>
      </c>
      <c r="O30" s="1" t="e">
        <f>VLOOKUP(A1,Data!$A$1:$DZU$1000000,509,FALSE)</f>
        <v>#N/A</v>
      </c>
      <c r="P30" s="1" t="e">
        <f>VLOOKUP(A1,Data!$A$1:$DZU$1000000,510,FALSE)</f>
        <v>#N/A</v>
      </c>
      <c r="Q30" s="1" t="e">
        <f>VLOOKUP(A1,Data!$A$1:$DZU$1000000,511,FALSE)</f>
        <v>#N/A</v>
      </c>
    </row>
    <row r="31" spans="1:17" x14ac:dyDescent="0.35">
      <c r="A31" s="116" t="e">
        <f>VLOOKUP(A1,Data!$A$1:$DZU$1000000,512,FALSE)</f>
        <v>#N/A</v>
      </c>
      <c r="B31" s="117"/>
      <c r="C31" s="117"/>
      <c r="D31" s="117"/>
      <c r="E31" s="117"/>
      <c r="F31" s="117"/>
      <c r="G31" s="117"/>
      <c r="H31" s="56" t="e">
        <f>VLOOKUP(A1,Data!$A$1:$DZU$1000000,519,FALSE)</f>
        <v>#N/A</v>
      </c>
      <c r="I31" s="56" t="e">
        <f>VLOOKUP(A1,Data!$A$1:$DZU$1000000,520,FALSE)</f>
        <v>#N/A</v>
      </c>
      <c r="J31" s="57" t="e">
        <f>VLOOKUP(A1,Data!$A$1:$DZU$1000000,521,FALSE)</f>
        <v>#N/A</v>
      </c>
      <c r="K31" s="1" t="e">
        <f>VLOOKUP(A1,Data!$A$1:$DZU$1000000,522,FALSE)</f>
        <v>#N/A</v>
      </c>
      <c r="L31" s="1" t="e">
        <f>VLOOKUP(A1,Data!$A$1:$DZU$1000000,523,FALSE)</f>
        <v>#N/A</v>
      </c>
      <c r="M31" s="1" t="e">
        <f>VLOOKUP(A1,Data!$A$1:$DZU$1000000,524,FALSE)</f>
        <v>#N/A</v>
      </c>
      <c r="N31" s="1" t="e">
        <f>VLOOKUP(A1,Data!$A$1:$DZU$1000000,525,FALSE)</f>
        <v>#N/A</v>
      </c>
      <c r="O31" s="1" t="e">
        <f>VLOOKUP(A1,Data!$A$1:$DZU$1000000,526,FALSE)</f>
        <v>#N/A</v>
      </c>
      <c r="P31" s="1" t="e">
        <f>VLOOKUP(A1,Data!$A$1:$DZU$1000000,527,FALSE)</f>
        <v>#N/A</v>
      </c>
      <c r="Q31" s="1" t="e">
        <f>VLOOKUP(A1,Data!$A$1:$DZU$1000000,528,FALSE)</f>
        <v>#N/A</v>
      </c>
    </row>
    <row r="32" spans="1:17" x14ac:dyDescent="0.35">
      <c r="A32" s="116" t="e">
        <f>VLOOKUP(A1,Data!$A$1:$DZU$1000000,529,FALSE)</f>
        <v>#N/A</v>
      </c>
      <c r="B32" s="117"/>
      <c r="C32" s="117"/>
      <c r="D32" s="117"/>
      <c r="E32" s="117"/>
      <c r="F32" s="117"/>
      <c r="G32" s="117"/>
      <c r="H32" s="56" t="e">
        <f>VLOOKUP(A1,Data!$A$1:$DZU$1000000,536,FALSE)</f>
        <v>#N/A</v>
      </c>
      <c r="I32" s="56" t="e">
        <f>VLOOKUP(A1,Data!$A$1:$DZU$1000000,537,FALSE)</f>
        <v>#N/A</v>
      </c>
      <c r="J32" s="57" t="e">
        <f>VLOOKUP(A1,Data!$A$1:$DZU$1000000,538,FALSE)</f>
        <v>#N/A</v>
      </c>
      <c r="K32" s="1" t="e">
        <f>VLOOKUP(A1,Data!$A$1:$DZU$1000000,539,FALSE)</f>
        <v>#N/A</v>
      </c>
      <c r="L32" s="1" t="e">
        <f>VLOOKUP(A1,Data!$A$1:$DZU$1000000,540,FALSE)</f>
        <v>#N/A</v>
      </c>
      <c r="M32" s="1" t="e">
        <f>VLOOKUP(A1,Data!$A$1:$DZU$1000000,541,FALSE)</f>
        <v>#N/A</v>
      </c>
      <c r="N32" s="1" t="e">
        <f>VLOOKUP(A1,Data!$A$1:$DZU$1000000,542,FALSE)</f>
        <v>#N/A</v>
      </c>
      <c r="O32" s="1" t="e">
        <f>VLOOKUP(A1,Data!$A$1:$DZU$1000000,543,FALSE)</f>
        <v>#N/A</v>
      </c>
      <c r="P32" s="1" t="e">
        <f>VLOOKUP(A1,Data!$A$1:$DZU$1000000,544,FALSE)</f>
        <v>#N/A</v>
      </c>
      <c r="Q32" s="1" t="e">
        <f>VLOOKUP(A1,Data!$A$1:$DZU$1000000,545,FALSE)</f>
        <v>#N/A</v>
      </c>
    </row>
    <row r="33" spans="1:17" x14ac:dyDescent="0.35">
      <c r="A33" s="116" t="e">
        <f>VLOOKUP(A1,Data!$A$1:$DZU$1000000,546,FALSE)</f>
        <v>#N/A</v>
      </c>
      <c r="B33" s="117"/>
      <c r="C33" s="117"/>
      <c r="D33" s="117"/>
      <c r="E33" s="117"/>
      <c r="F33" s="117"/>
      <c r="G33" s="117"/>
      <c r="H33" s="56" t="e">
        <f>VLOOKUP(A1,Data!$A$1:$DZU$1000000,553,FALSE)</f>
        <v>#N/A</v>
      </c>
      <c r="I33" s="56" t="e">
        <f>VLOOKUP(A1,Data!$A$1:$DZU$1000000,554,FALSE)</f>
        <v>#N/A</v>
      </c>
      <c r="J33" s="57" t="e">
        <f>VLOOKUP(A1,Data!$A$1:$DZU$1000000,555,FALSE)</f>
        <v>#N/A</v>
      </c>
      <c r="K33" s="1" t="e">
        <f>VLOOKUP(A1,Data!$A$1:$DZU$1000000,556,FALSE)</f>
        <v>#N/A</v>
      </c>
      <c r="L33" s="1" t="e">
        <f>VLOOKUP(A1,Data!$A$1:$DZU$1000000,557,FALSE)</f>
        <v>#N/A</v>
      </c>
      <c r="M33" s="1" t="e">
        <f>VLOOKUP(A1,Data!$A$1:$DZU$1000000,558,FALSE)</f>
        <v>#N/A</v>
      </c>
      <c r="N33" s="1" t="e">
        <f>VLOOKUP(A1,Data!$A$1:$DZU$1000000,559,FALSE)</f>
        <v>#N/A</v>
      </c>
      <c r="O33" s="1" t="e">
        <f>VLOOKUP(A1,Data!$A$1:$DZU$1000000,560,FALSE)</f>
        <v>#N/A</v>
      </c>
      <c r="P33" s="1" t="e">
        <f>VLOOKUP(A1,Data!$A$1:$DZU$1000000,561,FALSE)</f>
        <v>#N/A</v>
      </c>
      <c r="Q33" s="1" t="e">
        <f>VLOOKUP(A1,Data!$A$1:$DZU$1000000,562,FALSE)</f>
        <v>#N/A</v>
      </c>
    </row>
    <row r="34" spans="1:17" x14ac:dyDescent="0.35">
      <c r="A34" s="118" t="e">
        <f>VLOOKUP(A1,Data!$A$1:$DZU$1000000,563,FALSE)</f>
        <v>#N/A</v>
      </c>
      <c r="B34" s="119"/>
      <c r="C34" s="119"/>
      <c r="D34" s="119"/>
      <c r="E34" s="119"/>
      <c r="F34" s="119"/>
      <c r="G34" s="120"/>
      <c r="H34" s="46" t="e">
        <f>VLOOKUP(A1,Data!$A$1:$DZU$1000000,570,FALSE)</f>
        <v>#N/A</v>
      </c>
      <c r="I34" s="47" t="e">
        <f>VLOOKUP(A1,Data!$A$1:$DZU$1000000,571,FALSE)</f>
        <v>#N/A</v>
      </c>
      <c r="J34" s="59" t="e">
        <f>VLOOKUP(A1,Data!$A$1:$DZU$1000000,572,FALSE)</f>
        <v>#N/A</v>
      </c>
      <c r="K34" s="1" t="e">
        <f>VLOOKUP(A1,Data!$A$1:$DZU$1000000,573,FALSE)</f>
        <v>#N/A</v>
      </c>
      <c r="L34" s="1" t="e">
        <f>VLOOKUP(A1,Data!$A$1:$DZU$1000000,574,FALSE)</f>
        <v>#N/A</v>
      </c>
      <c r="M34" s="1" t="e">
        <f>VLOOKUP(A1,Data!$A$1:$DZU$1000000,575,FALSE)</f>
        <v>#N/A</v>
      </c>
      <c r="N34" s="1" t="e">
        <f>VLOOKUP(A1,Data!$A$1:$DZU$1000000,576,FALSE)</f>
        <v>#N/A</v>
      </c>
      <c r="O34" s="1" t="e">
        <f>VLOOKUP(A1,Data!$A$1:$DZU$1000000,577,FALSE)</f>
        <v>#N/A</v>
      </c>
      <c r="P34" s="1" t="e">
        <f>VLOOKUP(A1,Data!$A$1:$DZU$1000000,578,FALSE)</f>
        <v>#N/A</v>
      </c>
      <c r="Q34" s="1" t="e">
        <f>VLOOKUP(A1,Data!$A$1:$DZU$1000000,579,FALSE)</f>
        <v>#N/A</v>
      </c>
    </row>
    <row r="35" spans="1:17" x14ac:dyDescent="0.35">
      <c r="A35" s="32" t="e">
        <f>VLOOKUP(A1,Data!$A$1:$DZU$1000000,580,FALSE)</f>
        <v>#N/A</v>
      </c>
      <c r="B35" s="58" t="e">
        <f>VLOOKUP(A1,Data!$A$1:$DZU$1000000,581,FALSE)</f>
        <v>#N/A</v>
      </c>
      <c r="C35" s="36" t="e">
        <f>VLOOKUP(A1,Data!$A$1:$DZU$1000000,582,FALSE)</f>
        <v>#N/A</v>
      </c>
      <c r="D35" s="24" t="e">
        <f>VLOOKUP(A1,Data!$A$1:$DZU$1000000,583,FALSE)</f>
        <v>#N/A</v>
      </c>
      <c r="E35" s="24" t="e">
        <f>VLOOKUP(A1,Data!$A$1:$DZU$1000000,584,FALSE)</f>
        <v>#N/A</v>
      </c>
      <c r="F35" s="24" t="e">
        <f>VLOOKUP(A1,Data!$A$1:$DZU$1000000,585,FALSE)</f>
        <v>#N/A</v>
      </c>
      <c r="G35" s="36" t="e">
        <f>VLOOKUP(A1,Data!$A$1:$DZU$1000000,586,FALSE)</f>
        <v>#N/A</v>
      </c>
      <c r="H35" s="46" t="e">
        <f>VLOOKUP(A1,Data!$A$1:$DZU$1000000,587,FALSE)</f>
        <v>#N/A</v>
      </c>
      <c r="I35" s="47" t="e">
        <f>VLOOKUP(A1,Data!$A$1:$DZU$1000000,588,FALSE)</f>
        <v>#N/A</v>
      </c>
      <c r="J35" s="59" t="e">
        <f>VLOOKUP(A1,Data!$A$1:$DZU$1000000,589,FALSE)</f>
        <v>#N/A</v>
      </c>
      <c r="K35" s="1" t="e">
        <f>VLOOKUP(A1,Data!$A$1:$DZU$1000000,590,FALSE)</f>
        <v>#N/A</v>
      </c>
      <c r="L35" s="1" t="e">
        <f>VLOOKUP(A1,Data!$A$1:$DZU$1000000,591,FALSE)</f>
        <v>#N/A</v>
      </c>
      <c r="M35" s="1" t="e">
        <f>VLOOKUP(A1,Data!$A$1:$DZU$1000000,592,FALSE)</f>
        <v>#N/A</v>
      </c>
      <c r="N35" s="1" t="e">
        <f>VLOOKUP(A1,Data!$A$1:$DZU$1000000,593,FALSE)</f>
        <v>#N/A</v>
      </c>
      <c r="O35" s="1" t="e">
        <f>VLOOKUP(A1,Data!$A$1:$DZU$1000000,594,FALSE)</f>
        <v>#N/A</v>
      </c>
      <c r="P35" s="1" t="e">
        <f>VLOOKUP(A1,Data!$A$1:$DZU$1000000,595,FALSE)</f>
        <v>#N/A</v>
      </c>
      <c r="Q35" s="1" t="e">
        <f>VLOOKUP(A1,Data!$A$1:$DZU$1000000,596,FALSE)</f>
        <v>#N/A</v>
      </c>
    </row>
    <row r="36" spans="1:17" x14ac:dyDescent="0.35">
      <c r="A36" s="32" t="e">
        <f>VLOOKUP(A1,Data!$A$1:$DZU$1000000,597,FALSE)</f>
        <v>#N/A</v>
      </c>
      <c r="B36" s="24" t="e">
        <f>VLOOKUP(A1,Data!$A$1:$DZU$1000000,598,FALSE)</f>
        <v>#N/A</v>
      </c>
      <c r="C36" s="24" t="e">
        <f>VLOOKUP(A1,Data!$A$1:$DZU$1000000,599,FALSE)</f>
        <v>#N/A</v>
      </c>
      <c r="D36" s="24" t="e">
        <f>VLOOKUP(A1,Data!$A$1:$DZU$1000000,600,FALSE)</f>
        <v>#N/A</v>
      </c>
      <c r="E36" s="24" t="e">
        <f>VLOOKUP(A1,Data!$A$1:$DZU$1000000,601,FALSE)</f>
        <v>#N/A</v>
      </c>
      <c r="F36" s="24" t="e">
        <f>VLOOKUP(A1,Data!$A$1:$DZU$1000000,602,FALSE)</f>
        <v>#N/A</v>
      </c>
      <c r="G36" s="36" t="e">
        <f>VLOOKUP(A1,Data!$A$1:$DZU$1000000,603,FALSE)</f>
        <v>#N/A</v>
      </c>
      <c r="H36" s="46" t="e">
        <f>VLOOKUP(A1,Data!$A$1:$DZU$1000000,604,FALSE)</f>
        <v>#N/A</v>
      </c>
      <c r="I36" s="47" t="e">
        <f>VLOOKUP(A1,Data!$A$1:$DZU$1000000,605,FALSE)</f>
        <v>#N/A</v>
      </c>
      <c r="J36" s="48" t="e">
        <f>VLOOKUP(A1,Data!$A$1:$DZU$1000000,606,FALSE)</f>
        <v>#N/A</v>
      </c>
      <c r="K36" s="1" t="e">
        <f>VLOOKUP(A1,Data!$A$1:$DZU$1000000,607,FALSE)</f>
        <v>#N/A</v>
      </c>
      <c r="L36" s="1" t="e">
        <f>VLOOKUP(A1,Data!$A$1:$DZU$1000000,608,FALSE)</f>
        <v>#N/A</v>
      </c>
      <c r="M36" s="1" t="e">
        <f>VLOOKUP(A1,Data!$A$1:$DZU$1000000,609,FALSE)</f>
        <v>#N/A</v>
      </c>
      <c r="N36" s="1" t="e">
        <f>VLOOKUP(A1,Data!$A$1:$DZU$1000000,610,FALSE)</f>
        <v>#N/A</v>
      </c>
      <c r="O36" s="1" t="e">
        <f>VLOOKUP(A1,Data!$A$1:$DZU$1000000,611,FALSE)</f>
        <v>#N/A</v>
      </c>
      <c r="P36" s="1" t="e">
        <f>VLOOKUP(A1,Data!$A$1:$DZU$1000000,612,FALSE)</f>
        <v>#N/A</v>
      </c>
      <c r="Q36" s="1" t="e">
        <f>VLOOKUP(A1,Data!$A$1:$DZU$1000000,613,FALSE)</f>
        <v>#N/A</v>
      </c>
    </row>
    <row r="37" spans="1:17" x14ac:dyDescent="0.35">
      <c r="A37" s="115" t="e">
        <f>VLOOKUP(A1,Data!$A$1:$DZU$1000000,614,FALSE)</f>
        <v>#N/A</v>
      </c>
      <c r="B37" s="110"/>
      <c r="C37" s="24" t="e">
        <f>VLOOKUP(A1,Data!$A$1:$DZU$1000000,616,FALSE)</f>
        <v>#N/A</v>
      </c>
      <c r="D37" s="24" t="e">
        <f>VLOOKUP(A1,Data!$A$1:$DZU$1000000,617,FALSE)</f>
        <v>#N/A</v>
      </c>
      <c r="E37" s="24" t="e">
        <f>VLOOKUP(A1,Data!$A$1:$DZU$1000000,618,FALSE)</f>
        <v>#N/A</v>
      </c>
      <c r="F37" s="24" t="e">
        <f>VLOOKUP(A1,Data!$A$1:$DZU$1000000,619,FALSE)</f>
        <v>#N/A</v>
      </c>
      <c r="G37" s="36" t="e">
        <f>VLOOKUP(A1,Data!$A$1:$DZU$1000000,620,FALSE)</f>
        <v>#N/A</v>
      </c>
      <c r="H37" s="46" t="e">
        <f>VLOOKUP(A1,Data!$A$1:$DZU$1000000,621,FALSE)</f>
        <v>#N/A</v>
      </c>
      <c r="I37" s="47" t="e">
        <f>VLOOKUP(A1,Data!$A$1:$DZU$1000000,622,FALSE)</f>
        <v>#N/A</v>
      </c>
      <c r="J37" s="48" t="e">
        <f>VLOOKUP(A1,Data!$A$1:$DZU$1000000,623,FALSE)</f>
        <v>#N/A</v>
      </c>
      <c r="K37" s="1" t="e">
        <f>VLOOKUP(A1,Data!$A$1:$DZU$1000000,624,FALSE)</f>
        <v>#N/A</v>
      </c>
      <c r="L37" s="1" t="e">
        <f>VLOOKUP(A1,Data!$A$1:$DZU$1000000,625,FALSE)</f>
        <v>#N/A</v>
      </c>
      <c r="M37" s="1" t="e">
        <f>VLOOKUP(A1,Data!$A$1:$DZU$1000000,626,FALSE)</f>
        <v>#N/A</v>
      </c>
      <c r="N37" s="1" t="e">
        <f>VLOOKUP(A1,Data!$A$1:$DZU$1000000,627,FALSE)</f>
        <v>#N/A</v>
      </c>
      <c r="O37" s="1" t="e">
        <f>VLOOKUP(A1,Data!$A$1:$DZU$1000000,628,FALSE)</f>
        <v>#N/A</v>
      </c>
      <c r="P37" s="1" t="e">
        <f>VLOOKUP(A1,Data!$A$1:$DZU$1000000,629,FALSE)</f>
        <v>#N/A</v>
      </c>
      <c r="Q37" s="1" t="e">
        <f>VLOOKUP(A1,Data!$A$1:$DZU$1000000,630,FALSE)</f>
        <v>#N/A</v>
      </c>
    </row>
    <row r="38" spans="1:17" x14ac:dyDescent="0.35">
      <c r="A38" s="61" t="e">
        <f>VLOOKUP(A1,Data!$A$1:$DZU$1000000,631,FALSE)</f>
        <v>#N/A</v>
      </c>
      <c r="B38" s="34" t="e">
        <f>VLOOKUP(A1,Data!$A$1:$DZU$1000000,632,FALSE)</f>
        <v>#N/A</v>
      </c>
      <c r="C38" s="24" t="e">
        <f>VLOOKUP(A1,Data!$A$1:$DZU$1000000,633,FALSE)</f>
        <v>#N/A</v>
      </c>
      <c r="D38" s="24" t="e">
        <f>VLOOKUP(A1,Data!$A$1:$DZU$1000000,634,FALSE)</f>
        <v>#N/A</v>
      </c>
      <c r="E38" s="24" t="e">
        <f>VLOOKUP(A1,Data!$A$1:$DZU$1000000,635,FALSE)</f>
        <v>#N/A</v>
      </c>
      <c r="F38" s="24" t="e">
        <f>VLOOKUP(A1,Data!$A$1:$DZU$1000000,636,FALSE)</f>
        <v>#N/A</v>
      </c>
      <c r="G38" s="24" t="e">
        <f>VLOOKUP(A1,Data!$A$1:$DZU$1000000,637,FALSE)</f>
        <v>#N/A</v>
      </c>
      <c r="H38" s="62" t="e">
        <f>VLOOKUP(A1,Data!$A$1:$DZU$1000000,638,FALSE)</f>
        <v>#N/A</v>
      </c>
      <c r="I38" s="63" t="e">
        <f>VLOOKUP(A1,Data!$A$1:$DZU$1000000,639,FALSE)</f>
        <v>#N/A</v>
      </c>
      <c r="J38" s="64" t="e">
        <f>VLOOKUP(A1,Data!$A$1:$DZU$1000000,640,FALSE)</f>
        <v>#N/A</v>
      </c>
      <c r="K38" s="1" t="e">
        <f>VLOOKUP(A1,Data!$A$1:$DZU$1000000,641,FALSE)</f>
        <v>#N/A</v>
      </c>
      <c r="L38" s="1" t="e">
        <f>VLOOKUP(A1,Data!$A$1:$DZU$1000000,642,FALSE)</f>
        <v>#N/A</v>
      </c>
      <c r="M38" s="1" t="e">
        <f>VLOOKUP(A1,Data!$A$1:$DZU$1000000,643,FALSE)</f>
        <v>#N/A</v>
      </c>
      <c r="N38" s="1" t="e">
        <f>VLOOKUP(A1,Data!$A$1:$DZU$1000000,644,FALSE)</f>
        <v>#N/A</v>
      </c>
      <c r="O38" s="1" t="e">
        <f>VLOOKUP(A1,Data!$A$1:$DZU$1000000,645,FALSE)</f>
        <v>#N/A</v>
      </c>
      <c r="P38" s="1" t="e">
        <f>VLOOKUP(A1,Data!$A$1:$DZU$1000000,646,FALSE)</f>
        <v>#N/A</v>
      </c>
      <c r="Q38" s="1" t="e">
        <f>VLOOKUP(A1,Data!$A$1:$DZU$1000000,647,FALSE)</f>
        <v>#N/A</v>
      </c>
    </row>
    <row r="39" spans="1:17" ht="15" thickBot="1" x14ac:dyDescent="0.4">
      <c r="A39" s="32" t="e">
        <f>VLOOKUP(A1,Data!$A$1:$DZU$1000000,648,FALSE)</f>
        <v>#N/A</v>
      </c>
      <c r="B39" s="24" t="e">
        <f>VLOOKUP(A1,Data!$A$1:$DZU$1000000,649,FALSE)</f>
        <v>#N/A</v>
      </c>
      <c r="C39" s="24" t="e">
        <f>VLOOKUP(A1,Data!$A$1:$DZU$1000000,650,FALSE)</f>
        <v>#N/A</v>
      </c>
      <c r="D39" s="24" t="e">
        <f>VLOOKUP(A1,Data!$A$1:$DZU$1000000,651,FALSE)</f>
        <v>#N/A</v>
      </c>
      <c r="E39" s="24" t="e">
        <f>VLOOKUP(A1,Data!$A$1:$DZU$1000000,652,FALSE)</f>
        <v>#N/A</v>
      </c>
      <c r="F39" s="24" t="e">
        <f>VLOOKUP(A1,Data!$A$1:$DZU$1000000,653,FALSE)</f>
        <v>#N/A</v>
      </c>
      <c r="G39" s="24" t="e">
        <f>VLOOKUP(A1,Data!$A$1:$DZU$1000000,654,FALSE)</f>
        <v>#N/A</v>
      </c>
      <c r="H39" s="65" t="e">
        <f>VLOOKUP(A1,Data!$A$1:$DZU$1000000,655,FALSE)</f>
        <v>#N/A</v>
      </c>
      <c r="I39" s="66" t="e">
        <f>VLOOKUP(A1,Data!$A$1:$DZU$1000000,656,FALSE)</f>
        <v>#N/A</v>
      </c>
      <c r="J39" s="67" t="e">
        <f>VLOOKUP(A1,Data!$A$1:$DZU$1000000,657,FALSE)</f>
        <v>#N/A</v>
      </c>
      <c r="K39" s="1" t="e">
        <f>VLOOKUP(A1,Data!$A$1:$DZU$1000000,658,FALSE)</f>
        <v>#N/A</v>
      </c>
      <c r="L39" s="1" t="e">
        <f>VLOOKUP(A1,Data!$A$1:$DZU$1000000,659,FALSE)</f>
        <v>#N/A</v>
      </c>
      <c r="M39" s="1" t="e">
        <f>VLOOKUP(A1,Data!$A$1:$DZU$1000000,660,FALSE)</f>
        <v>#N/A</v>
      </c>
      <c r="N39" s="1" t="e">
        <f>VLOOKUP(A1,Data!$A$1:$DZU$1000000,661,FALSE)</f>
        <v>#N/A</v>
      </c>
      <c r="O39" s="1" t="e">
        <f>VLOOKUP(A1,Data!$A$1:$DZU$1000000,662,FALSE)</f>
        <v>#N/A</v>
      </c>
      <c r="P39" s="1" t="e">
        <f>VLOOKUP(A1,Data!$A$1:$DZU$1000000,663,FALSE)</f>
        <v>#N/A</v>
      </c>
      <c r="Q39" s="1" t="e">
        <f>VLOOKUP(A1,Data!$A$1:$DZU$1000000,664,FALSE)</f>
        <v>#N/A</v>
      </c>
    </row>
    <row r="40" spans="1:17" ht="15.5" thickTop="1" thickBot="1" x14ac:dyDescent="0.4">
      <c r="A40" s="32" t="e">
        <f>VLOOKUP(A1,Data!$A$1:$DZU$1000000,665,FALSE)</f>
        <v>#N/A</v>
      </c>
      <c r="B40" s="24" t="e">
        <f>VLOOKUP(A1,Data!$A$1:$DZU$1000000,666,FALSE)</f>
        <v>#N/A</v>
      </c>
      <c r="C40" s="24" t="e">
        <f>VLOOKUP(A1,Data!$A$1:$DZU$1000000,667,FALSE)</f>
        <v>#N/A</v>
      </c>
      <c r="D40" s="24" t="e">
        <f>VLOOKUP(A1,Data!$A$1:$DZU$1000000,668,FALSE)</f>
        <v>#N/A</v>
      </c>
      <c r="E40" s="24" t="e">
        <f>VLOOKUP(A1,Data!$A$1:$DZU$1000000,669,FALSE)</f>
        <v>#N/A</v>
      </c>
      <c r="F40" s="24" t="e">
        <f>VLOOKUP(A1,Data!$A$1:$DZU$1000000,670,FALSE)</f>
        <v>#N/A</v>
      </c>
      <c r="G40" s="24" t="e">
        <f>VLOOKUP(A1,Data!$A$1:$DZU$1000000,671,FALSE)</f>
        <v>#N/A</v>
      </c>
      <c r="H40" s="24" t="e">
        <f>VLOOKUP(A1,Data!$A$1:$DZU$1000000,672,FALSE)</f>
        <v>#N/A</v>
      </c>
      <c r="I40" s="24" t="e">
        <f>VLOOKUP(A1,Data!$A$1:$DZU$1000000,673,FALSE)</f>
        <v>#N/A</v>
      </c>
      <c r="J40" s="30" t="e">
        <f>VLOOKUP(A1,Data!$A$1:$DZU$1000000,674,FALSE)</f>
        <v>#N/A</v>
      </c>
      <c r="K40" s="1" t="e">
        <f>VLOOKUP(A1,Data!$A$1:$DZU$1000000,675,FALSE)</f>
        <v>#N/A</v>
      </c>
      <c r="L40" s="1" t="e">
        <f>VLOOKUP(A1,Data!$A$1:$DZU$1000000,676,FALSE)</f>
        <v>#N/A</v>
      </c>
      <c r="M40" s="1" t="e">
        <f>VLOOKUP(A1,Data!$A$1:$DZU$1000000,677,FALSE)</f>
        <v>#N/A</v>
      </c>
      <c r="N40" s="1" t="e">
        <f>VLOOKUP(A1,Data!$A$1:$DZU$1000000,678,FALSE)</f>
        <v>#N/A</v>
      </c>
      <c r="O40" s="1" t="e">
        <f>VLOOKUP(A1,Data!$A$1:$DZU$1000000,679,FALSE)</f>
        <v>#N/A</v>
      </c>
      <c r="P40" s="1" t="e">
        <f>VLOOKUP(A1,Data!$A$1:$DZU$1000000,680,FALSE)</f>
        <v>#N/A</v>
      </c>
      <c r="Q40" s="1" t="e">
        <f>VLOOKUP(A1,Data!$A$1:$DZU$1000000,681,FALSE)</f>
        <v>#N/A</v>
      </c>
    </row>
    <row r="41" spans="1:17" ht="15.5" thickTop="1" thickBot="1" x14ac:dyDescent="0.4">
      <c r="A41" s="149" t="e">
        <f>VLOOKUP(A1,Data!$A$1:$DZU$1000000,682,FALSE)</f>
        <v>#N/A</v>
      </c>
      <c r="B41" s="150"/>
      <c r="C41" s="150"/>
      <c r="D41" s="150"/>
      <c r="E41" s="150"/>
      <c r="F41" s="150"/>
      <c r="G41" s="142"/>
      <c r="H41" s="150"/>
      <c r="I41" s="142"/>
      <c r="J41" s="155"/>
      <c r="K41" s="1" t="e">
        <f>VLOOKUP(A1,Data!$A$1:$DZU$1000000,692,FALSE)</f>
        <v>#N/A</v>
      </c>
      <c r="L41" s="1" t="e">
        <f>VLOOKUP(A1,Data!$A$1:$DZU$1000000,693,FALSE)</f>
        <v>#N/A</v>
      </c>
      <c r="M41" s="1" t="e">
        <f>VLOOKUP(A1,Data!$A$1:$DZU$1000000,694,FALSE)</f>
        <v>#N/A</v>
      </c>
      <c r="N41" s="1" t="e">
        <f>VLOOKUP(A1,Data!$A$1:$DZU$1000000,695,FALSE)</f>
        <v>#N/A</v>
      </c>
      <c r="O41" s="1" t="e">
        <f>VLOOKUP(A1,Data!$A$1:$DZU$1000000,696,FALSE)</f>
        <v>#N/A</v>
      </c>
      <c r="P41" s="1" t="e">
        <f>VLOOKUP(A1,Data!$A$1:$DZU$1000000,697,FALSE)</f>
        <v>#N/A</v>
      </c>
      <c r="Q41" s="1" t="e">
        <f>VLOOKUP(A1,Data!$A$1:$DZU$1000000,698,FALSE)</f>
        <v>#N/A</v>
      </c>
    </row>
    <row r="42" spans="1:17" ht="15.5" thickTop="1" thickBot="1" x14ac:dyDescent="0.4">
      <c r="A42" s="68" t="e">
        <f>VLOOKUP(A1,Data!$A$1:$DZU$1000000,699,FALSE)</f>
        <v>#N/A</v>
      </c>
      <c r="B42" s="69" t="e">
        <f>VLOOKUP(A1,Data!$A$1:$DZU$1000000,700,FALSE)</f>
        <v>#N/A</v>
      </c>
      <c r="C42" s="69" t="e">
        <f>VLOOKUP(A1,Data!$A$1:$DZU$1000000,701,FALSE)</f>
        <v>#N/A</v>
      </c>
      <c r="D42" s="69" t="e">
        <f>VLOOKUP(A1,Data!$A$1:$DZU$1000000,702,FALSE)</f>
        <v>#N/A</v>
      </c>
      <c r="E42" s="69" t="e">
        <f>VLOOKUP(A1,Data!$A$1:$DZU$1000000,703,FALSE)</f>
        <v>#N/A</v>
      </c>
      <c r="F42" s="69" t="e">
        <f>VLOOKUP(A1,Data!$A$1:$DZU$1000000,704,FALSE)</f>
        <v>#N/A</v>
      </c>
      <c r="G42" s="70" t="e">
        <f>VLOOKUP(A1,Data!$A$1:$DZU$1000000,705,FALSE)</f>
        <v>#N/A</v>
      </c>
      <c r="H42" s="69" t="e">
        <f>VLOOKUP(A1,Data!$A$1:$DZU$1000000,706,FALSE)</f>
        <v>#N/A</v>
      </c>
      <c r="I42" s="156" t="e">
        <f>VLOOKUP(A1,Data!$A$1:$DZU$1000000,707,FALSE)</f>
        <v>#N/A</v>
      </c>
      <c r="J42" s="156"/>
      <c r="K42" s="1" t="e">
        <f>VLOOKUP(A1,Data!$A$1:$DZU$1000000,709,FALSE)</f>
        <v>#N/A</v>
      </c>
      <c r="L42" s="1" t="e">
        <f>VLOOKUP(A1,Data!$A$1:$DZU$1000000,710,FALSE)</f>
        <v>#N/A</v>
      </c>
      <c r="M42" s="1" t="e">
        <f>VLOOKUP(A1,Data!$A$1:$DZU$1000000,711,FALSE)</f>
        <v>#N/A</v>
      </c>
      <c r="N42" s="1" t="e">
        <f>VLOOKUP(A1,Data!$A$1:$DZU$1000000,712,FALSE)</f>
        <v>#N/A</v>
      </c>
      <c r="O42" s="1" t="e">
        <f>VLOOKUP(A1,Data!$A$1:$DZU$1000000,713,FALSE)</f>
        <v>#N/A</v>
      </c>
      <c r="P42" s="1" t="e">
        <f>VLOOKUP(A1,Data!$A$1:$DZU$1000000,714,FALSE)</f>
        <v>#N/A</v>
      </c>
      <c r="Q42" s="1" t="e">
        <f>VLOOKUP(A1,Data!$A$1:$DZU$1000000,715,FALSE)</f>
        <v>#N/A</v>
      </c>
    </row>
    <row r="43" spans="1:17" ht="15" thickTop="1" x14ac:dyDescent="0.35">
      <c r="A43" s="141" t="e">
        <f>VLOOKUP(A1,Data!$A$1:$DZU$1000000,716,FALSE)</f>
        <v>#N/A</v>
      </c>
      <c r="B43" s="142"/>
      <c r="C43" s="142"/>
      <c r="D43" s="142"/>
      <c r="E43" s="143" t="e">
        <f>VLOOKUP(A1,Data!$A$1:$DZU$1000000,720,FALSE)</f>
        <v>#N/A</v>
      </c>
      <c r="F43" s="143"/>
      <c r="G43" s="119"/>
      <c r="H43" s="142"/>
      <c r="I43" s="144"/>
      <c r="J43" s="145"/>
      <c r="K43" s="1" t="e">
        <f>VLOOKUP(A1,Data!$A$1:$DZU$1000000,726,FALSE)</f>
        <v>#N/A</v>
      </c>
      <c r="L43" s="1" t="e">
        <f>VLOOKUP(A1,Data!$A$1:$DZU$1000000,727,FALSE)</f>
        <v>#N/A</v>
      </c>
      <c r="M43" s="1" t="e">
        <f>VLOOKUP(A1,Data!$A$1:$DZU$1000000,728,FALSE)</f>
        <v>#N/A</v>
      </c>
      <c r="N43" s="1" t="e">
        <f>VLOOKUP(A1,Data!$A$1:$DZU$1000000,729,FALSE)</f>
        <v>#N/A</v>
      </c>
      <c r="O43" s="1" t="e">
        <f>VLOOKUP(A1,Data!$A$1:$DZU$1000000,730,FALSE)</f>
        <v>#N/A</v>
      </c>
      <c r="P43" s="1" t="e">
        <f>VLOOKUP(A1,Data!$A$1:$DZU$1000000,731,FALSE)</f>
        <v>#N/A</v>
      </c>
      <c r="Q43" s="1" t="e">
        <f>VLOOKUP(A1,Data!$A$1:$DZU$1000000,732,FALSE)</f>
        <v>#N/A</v>
      </c>
    </row>
    <row r="44" spans="1:17" ht="15" thickBot="1" x14ac:dyDescent="0.4">
      <c r="A44" s="146" t="e">
        <f>VLOOKUP(A1,Data!$A$1:$DZU$1000000,733,FALSE)</f>
        <v>#N/A</v>
      </c>
      <c r="B44" s="147"/>
      <c r="C44" s="147"/>
      <c r="D44" s="147"/>
      <c r="E44" s="147"/>
      <c r="F44" s="147"/>
      <c r="G44" s="147"/>
      <c r="H44" s="147"/>
      <c r="I44" s="147"/>
      <c r="J44" s="148"/>
      <c r="K44" s="1" t="e">
        <f>VLOOKUP(A1,Data!$A$1:$DZU$1000000,743,FALSE)</f>
        <v>#N/A</v>
      </c>
      <c r="L44" s="1" t="e">
        <f>VLOOKUP(A1,Data!$A$1:$DZU$1000000,744,FALSE)</f>
        <v>#N/A</v>
      </c>
      <c r="M44" s="1" t="e">
        <f>VLOOKUP(A1,Data!$A$1:$DZU$1000000,745,FALSE)</f>
        <v>#N/A</v>
      </c>
      <c r="N44" s="1" t="e">
        <f>VLOOKUP(A1,Data!$A$1:$DZU$1000000,746,FALSE)</f>
        <v>#N/A</v>
      </c>
      <c r="O44" s="1" t="e">
        <f>VLOOKUP(A1,Data!$A$1:$DZU$1000000,747,FALSE)</f>
        <v>#N/A</v>
      </c>
      <c r="P44" s="1" t="e">
        <f>VLOOKUP(A1,Data!$A$1:$DZU$1000000,748,FALSE)</f>
        <v>#N/A</v>
      </c>
      <c r="Q44" s="1" t="e">
        <f>VLOOKUP(A1,Data!$A$1:$DZU$1000000,749,FALSE)</f>
        <v>#N/A</v>
      </c>
    </row>
    <row r="45" spans="1:17" ht="15.5" thickTop="1" thickBot="1" x14ac:dyDescent="0.4">
      <c r="A45" s="149" t="e">
        <f>VLOOKUP(A1,Data!$A$1:$DZU$1000000,750,FALSE)</f>
        <v>#N/A</v>
      </c>
      <c r="B45" s="150"/>
      <c r="C45" s="150"/>
      <c r="D45" s="150"/>
      <c r="E45" s="150"/>
      <c r="F45" s="150"/>
      <c r="G45" s="150"/>
      <c r="H45" s="150"/>
      <c r="I45" s="150"/>
      <c r="J45" s="151"/>
      <c r="K45" s="1" t="e">
        <f>VLOOKUP(A1,Data!$A$1:$DZU$1000000,760,FALSE)</f>
        <v>#N/A</v>
      </c>
      <c r="L45" s="1" t="e">
        <f>VLOOKUP(A1,Data!$A$1:$DZU$1000000,761,FALSE)</f>
        <v>#N/A</v>
      </c>
      <c r="M45" s="1" t="e">
        <f>VLOOKUP(A1,Data!$A$1:$DZU$1000000,762,FALSE)</f>
        <v>#N/A</v>
      </c>
      <c r="N45" s="1" t="e">
        <f>VLOOKUP(A1,Data!$A$1:$DZU$1000000,763,FALSE)</f>
        <v>#N/A</v>
      </c>
      <c r="O45" s="1" t="e">
        <f>VLOOKUP(A1,Data!$A$1:$DZU$1000000,764,FALSE)</f>
        <v>#N/A</v>
      </c>
      <c r="P45" s="1" t="e">
        <f>VLOOKUP(A1,Data!$A$1:$DZU$1000000,765,FALSE)</f>
        <v>#N/A</v>
      </c>
      <c r="Q45" s="1" t="e">
        <f>VLOOKUP(A1,Data!$A$1:$DZU$1000000,766,FALSE)</f>
        <v>#N/A</v>
      </c>
    </row>
    <row r="46" spans="1:17" ht="15" thickTop="1" x14ac:dyDescent="0.35">
      <c r="A46" s="32" t="e">
        <f>VLOOKUP(A1,Data!$A$1:$DZU$1000000,767,FALSE)</f>
        <v>#N/A</v>
      </c>
      <c r="B46" s="24" t="e">
        <f>VLOOKUP(A1,Data!$A$1:$DZU$1000000,768,FALSE)</f>
        <v>#N/A</v>
      </c>
      <c r="C46" s="24" t="e">
        <f>VLOOKUP(A1,Data!$A$1:$DZU$1000000,769,FALSE)</f>
        <v>#N/A</v>
      </c>
      <c r="D46" s="24" t="e">
        <f>VLOOKUP(A1,Data!$A$1:$DZU$1000000,770,FALSE)</f>
        <v>#N/A</v>
      </c>
      <c r="E46" s="24" t="e">
        <f>VLOOKUP(A1,Data!$A$1:$DZU$1000000,771,FALSE)</f>
        <v>#N/A</v>
      </c>
      <c r="F46" s="24" t="e">
        <f>VLOOKUP(A1,Data!$A$1:$DZU$1000000,772,FALSE)</f>
        <v>#N/A</v>
      </c>
      <c r="G46" s="24" t="e">
        <f>VLOOKUP(A1,Data!$A$1:$DZU$1000000,773,FALSE)</f>
        <v>#N/A</v>
      </c>
      <c r="H46" s="24" t="e">
        <f>VLOOKUP(A1,Data!$A$1:$DZU$1000000,774,FALSE)</f>
        <v>#N/A</v>
      </c>
      <c r="I46" s="24" t="e">
        <f>VLOOKUP(A1,Data!$A$1:$DZU$1000000,775,FALSE)</f>
        <v>#N/A</v>
      </c>
      <c r="J46" s="30" t="e">
        <f>VLOOKUP(A1,Data!$A$1:$DZU$1000000,776,FALSE)</f>
        <v>#N/A</v>
      </c>
      <c r="K46" s="1" t="e">
        <f>VLOOKUP(A1,Data!$A$1:$DZU$1000000,777,FALSE)</f>
        <v>#N/A</v>
      </c>
      <c r="L46" s="1" t="e">
        <f>VLOOKUP(A1,Data!$A$1:$DZU$1000000,778,FALSE)</f>
        <v>#N/A</v>
      </c>
      <c r="M46" s="1" t="e">
        <f>VLOOKUP(A1,Data!$A$1:$DZU$1000000,779,FALSE)</f>
        <v>#N/A</v>
      </c>
      <c r="N46" s="1" t="e">
        <f>VLOOKUP(A1,Data!$A$1:$DZU$1000000,780,FALSE)</f>
        <v>#N/A</v>
      </c>
      <c r="O46" s="1" t="e">
        <f>VLOOKUP(A1,Data!$A$1:$DZU$1000000,781,FALSE)</f>
        <v>#N/A</v>
      </c>
      <c r="P46" s="1" t="e">
        <f>VLOOKUP(A1,Data!$A$1:$DZU$1000000,782,FALSE)</f>
        <v>#N/A</v>
      </c>
      <c r="Q46" s="1" t="e">
        <f>VLOOKUP(A1,Data!$A$1:$DZU$1000000,783,FALSE)</f>
        <v>#N/A</v>
      </c>
    </row>
    <row r="47" spans="1:17" ht="21" x14ac:dyDescent="0.5">
      <c r="A47" s="152" t="e">
        <f>VLOOKUP(A1,Data!$A$1:$DZU$1000000,784,FALSE)</f>
        <v>#N/A</v>
      </c>
      <c r="B47" s="110"/>
      <c r="C47" s="24" t="e">
        <f>VLOOKUP(A1,Data!$A$1:$DZU$1000000,786,FALSE)</f>
        <v>#N/A</v>
      </c>
      <c r="D47" s="18" t="e">
        <f>VLOOKUP(A1,Data!$A$1:$DZU$1000000,787,FALSE)</f>
        <v>#N/A</v>
      </c>
      <c r="E47" s="24" t="e">
        <f>VLOOKUP(A1,Data!$A$1:$DZU$1000000,788,FALSE)</f>
        <v>#N/A</v>
      </c>
      <c r="F47" s="24" t="e">
        <f>VLOOKUP(A1,Data!$A$1:$DZU$1000000,789,FALSE)</f>
        <v>#N/A</v>
      </c>
      <c r="G47" s="24" t="e">
        <f>VLOOKUP(A1,Data!$A$1:$DZU$1000000,790,FALSE)</f>
        <v>#N/A</v>
      </c>
      <c r="H47" s="153" t="e">
        <f>VLOOKUP(A1,Data!$A$1:$DZU$1000000,791,FALSE)</f>
        <v>#N/A</v>
      </c>
      <c r="I47" s="154"/>
      <c r="J47" s="71" t="e">
        <f>VLOOKUP(A1,Data!$A$1:$DZU$1000000,793,FALSE)</f>
        <v>#N/A</v>
      </c>
      <c r="K47" s="1" t="e">
        <f>VLOOKUP(A1,Data!$A$1:$DZU$1000000,794,FALSE)</f>
        <v>#N/A</v>
      </c>
      <c r="L47" s="1" t="e">
        <f>VLOOKUP(A1,Data!$A$1:$DZU$1000000,795,FALSE)</f>
        <v>#N/A</v>
      </c>
      <c r="M47" s="1" t="e">
        <f>VLOOKUP(A1,Data!$A$1:$DZU$1000000,796,FALSE)</f>
        <v>#N/A</v>
      </c>
      <c r="N47" s="1" t="e">
        <f>VLOOKUP(A1,Data!$A$1:$DZU$1000000,797,FALSE)</f>
        <v>#N/A</v>
      </c>
      <c r="O47" s="1" t="e">
        <f>VLOOKUP(A1,Data!$A$1:$DZU$1000000,798,FALSE)</f>
        <v>#N/A</v>
      </c>
      <c r="P47" s="1" t="e">
        <f>VLOOKUP(A1,Data!$A$1:$DZU$1000000,799,FALSE)</f>
        <v>#N/A</v>
      </c>
      <c r="Q47" s="1" t="e">
        <f>VLOOKUP(A1,Data!$A$1:$DZU$1000000,800,FALSE)</f>
        <v>#N/A</v>
      </c>
    </row>
    <row r="48" spans="1:17" x14ac:dyDescent="0.35">
      <c r="A48" s="60" t="e">
        <f>VLOOKUP(A1,Data!$A$1:$DZU$1000000,801,FALSE)</f>
        <v>#N/A</v>
      </c>
      <c r="B48" s="133" t="e">
        <f>VLOOKUP(A1,Data!$A$1:$DZU$1000000,802,FALSE)</f>
        <v>#N/A</v>
      </c>
      <c r="C48" s="134"/>
      <c r="D48" s="134"/>
      <c r="E48" s="134"/>
      <c r="F48" s="135" t="e">
        <f>VLOOKUP(A1,Data!$A$1:$DZU$1000000,806,FALSE)</f>
        <v>#N/A</v>
      </c>
      <c r="G48" s="136"/>
      <c r="H48" s="132" t="e">
        <f>VLOOKUP(A1,Data!$A$1:$DZU$1000000,808,FALSE)</f>
        <v>#N/A</v>
      </c>
      <c r="I48" s="106"/>
      <c r="J48" s="30" t="e">
        <f>VLOOKUP(A1,Data!$A$1:$DZU$1000000,810,FALSE)</f>
        <v>#N/A</v>
      </c>
      <c r="K48" s="1" t="e">
        <f>VLOOKUP(A1,Data!$A$1:$DZU$1000000,811,FALSE)</f>
        <v>#N/A</v>
      </c>
      <c r="L48" s="1" t="e">
        <f>VLOOKUP(A1,Data!$A$1:$DZU$1000000,812,FALSE)</f>
        <v>#N/A</v>
      </c>
      <c r="M48" s="1" t="e">
        <f>VLOOKUP(A1,Data!$A$1:$DZU$1000000,813,FALSE)</f>
        <v>#N/A</v>
      </c>
      <c r="N48" s="1" t="e">
        <f>VLOOKUP(A1,Data!$A$1:$DZU$1000000,814,FALSE)</f>
        <v>#N/A</v>
      </c>
      <c r="O48" s="1" t="e">
        <f>VLOOKUP(A1,Data!$A$1:$DZU$1000000,815,FALSE)</f>
        <v>#N/A</v>
      </c>
      <c r="P48" s="1" t="e">
        <f>VLOOKUP(A1,Data!$A$1:$DZU$1000000,816,FALSE)</f>
        <v>#N/A</v>
      </c>
      <c r="Q48" s="1" t="e">
        <f>VLOOKUP(A1,Data!$A$1:$DZU$1000000,817,FALSE)</f>
        <v>#N/A</v>
      </c>
    </row>
    <row r="49" spans="1:17" x14ac:dyDescent="0.35">
      <c r="A49" s="115" t="e">
        <f>VLOOKUP(A1,Data!$A$1:$DZU$1000000,818,FALSE)</f>
        <v>#N/A</v>
      </c>
      <c r="B49" s="110"/>
      <c r="C49" s="24" t="e">
        <f>VLOOKUP(A1,Data!$A$1:$DZU$1000000,820,FALSE)</f>
        <v>#N/A</v>
      </c>
      <c r="D49" s="72" t="e">
        <f>VLOOKUP(A1,Data!$A$1:$DZU$1000000,821,FALSE)</f>
        <v>#N/A</v>
      </c>
      <c r="E49" s="24" t="e">
        <f>VLOOKUP(A1,Data!$A$1:$DZU$1000000,822,FALSE)</f>
        <v>#N/A</v>
      </c>
      <c r="F49" s="136"/>
      <c r="G49" s="136"/>
      <c r="H49" s="137" t="e">
        <f>VLOOKUP(A1,Data!$A$1:$DZU$1000000,825,FALSE)</f>
        <v>#N/A</v>
      </c>
      <c r="I49" s="138"/>
      <c r="J49" s="30" t="e">
        <f>VLOOKUP(A1,Data!$A$1:$DZU$1000000,827,FALSE)</f>
        <v>#N/A</v>
      </c>
      <c r="K49" s="1" t="e">
        <f>VLOOKUP(A1,Data!$A$1:$DZU$1000000,828,FALSE)</f>
        <v>#N/A</v>
      </c>
      <c r="L49" s="1" t="e">
        <f>VLOOKUP(A1,Data!$A$1:$DZU$1000000,829,FALSE)</f>
        <v>#N/A</v>
      </c>
      <c r="M49" s="1" t="e">
        <f>VLOOKUP(A1,Data!$A$1:$DZU$1000000,830,FALSE)</f>
        <v>#N/A</v>
      </c>
      <c r="N49" s="1" t="e">
        <f>VLOOKUP(A1,Data!$A$1:$DZU$1000000,831,FALSE)</f>
        <v>#N/A</v>
      </c>
      <c r="O49" s="1" t="e">
        <f>VLOOKUP(A1,Data!$A$1:$DZU$1000000,832,FALSE)</f>
        <v>#N/A</v>
      </c>
      <c r="P49" s="1" t="e">
        <f>VLOOKUP(A1,Data!$A$1:$DZU$1000000,833,FALSE)</f>
        <v>#N/A</v>
      </c>
      <c r="Q49" s="1" t="e">
        <f>VLOOKUP(A1,Data!$A$1:$DZU$1000000,834,FALSE)</f>
        <v>#N/A</v>
      </c>
    </row>
    <row r="50" spans="1:17" x14ac:dyDescent="0.35">
      <c r="A50" s="115" t="e">
        <f>VLOOKUP(A1,Data!$A$1:$DZU$1000000,835,FALSE)</f>
        <v>#N/A</v>
      </c>
      <c r="B50" s="110"/>
      <c r="C50" s="24" t="e">
        <f>VLOOKUP(A1,Data!$A$1:$DZU$1000000,837,FALSE)</f>
        <v>#N/A</v>
      </c>
      <c r="D50" s="73" t="e">
        <f>VLOOKUP(A1,Data!$A$1:$DZU$1000000,838,FALSE)</f>
        <v>#N/A</v>
      </c>
      <c r="E50" s="24" t="e">
        <f>VLOOKUP(A1,Data!$A$1:$DZU$1000000,839,FALSE)</f>
        <v>#N/A</v>
      </c>
      <c r="F50" s="24" t="e">
        <f>VLOOKUP(A1,Data!$A$1:$DZU$1000000,840,FALSE)</f>
        <v>#N/A</v>
      </c>
      <c r="G50" s="24" t="e">
        <f>VLOOKUP(A1,Data!$A$1:$DZU$1000000,841,FALSE)</f>
        <v>#N/A</v>
      </c>
      <c r="H50" s="139" t="e">
        <f>VLOOKUP(A1,Data!$A$1:$DZU$1000000,842,FALSE)</f>
        <v>#N/A</v>
      </c>
      <c r="I50" s="140"/>
      <c r="J50" s="30" t="e">
        <f>VLOOKUP(A1,Data!$A$1:$DZU$1000000,844,FALSE)</f>
        <v>#N/A</v>
      </c>
      <c r="K50" s="1" t="e">
        <f>VLOOKUP(A1,Data!$A$1:$DZU$1000000,845,FALSE)</f>
        <v>#N/A</v>
      </c>
      <c r="L50" s="1" t="e">
        <f>VLOOKUP(A1,Data!$A$1:$DZU$1000000,846,FALSE)</f>
        <v>#N/A</v>
      </c>
      <c r="M50" s="1" t="e">
        <f>VLOOKUP(A1,Data!$A$1:$DZU$1000000,847,FALSE)</f>
        <v>#N/A</v>
      </c>
      <c r="N50" s="1" t="e">
        <f>VLOOKUP(A1,Data!$A$1:$DZU$1000000,848,FALSE)</f>
        <v>#N/A</v>
      </c>
      <c r="O50" s="1" t="e">
        <f>VLOOKUP(A1,Data!$A$1:$DZU$1000000,849,FALSE)</f>
        <v>#N/A</v>
      </c>
      <c r="P50" s="1" t="e">
        <f>VLOOKUP(A1,Data!$A$1:$DZU$1000000,850,FALSE)</f>
        <v>#N/A</v>
      </c>
      <c r="Q50" s="1" t="e">
        <f>VLOOKUP(A1,Data!$A$1:$DZU$1000000,851,FALSE)</f>
        <v>#N/A</v>
      </c>
    </row>
    <row r="51" spans="1:17" x14ac:dyDescent="0.35">
      <c r="A51" s="121" t="e">
        <f>VLOOKUP(A1,Data!$A$1:$DZU$1000000,852,FALSE)</f>
        <v>#N/A</v>
      </c>
      <c r="B51" s="113"/>
      <c r="C51" s="18" t="e">
        <f>VLOOKUP(A1,Data!$A$1:$DZU$1000000,854,FALSE)</f>
        <v>#N/A</v>
      </c>
      <c r="D51" s="74" t="e">
        <f>VLOOKUP(A1,Data!$A$1:$DZU$1000000,855,FALSE)</f>
        <v>#N/A</v>
      </c>
      <c r="E51" s="18" t="e">
        <f>VLOOKUP(A1,Data!$A$1:$DZU$1000000,856,FALSE)</f>
        <v>#N/A</v>
      </c>
      <c r="F51" s="18" t="e">
        <f>VLOOKUP(A1,Data!$A$1:$DZU$1000000,857,FALSE)</f>
        <v>#N/A</v>
      </c>
      <c r="G51" s="18" t="e">
        <f>VLOOKUP(A1,Data!$A$1:$DZU$1000000,858,FALSE)</f>
        <v>#N/A</v>
      </c>
      <c r="H51" s="18" t="e">
        <f>VLOOKUP(A1,Data!$A$1:$DZU$1000000,859,FALSE)</f>
        <v>#N/A</v>
      </c>
      <c r="I51" s="18" t="e">
        <f>VLOOKUP(A1,Data!$A$1:$DZU$1000000,860,FALSE)</f>
        <v>#N/A</v>
      </c>
      <c r="J51" s="19" t="e">
        <f>VLOOKUP(A1,Data!$A$1:$DZU$1000000,861,FALSE)</f>
        <v>#N/A</v>
      </c>
      <c r="K51" s="1" t="e">
        <f>VLOOKUP(A1,Data!$A$1:$DZU$1000000,862,FALSE)</f>
        <v>#N/A</v>
      </c>
      <c r="L51" s="1" t="e">
        <f>VLOOKUP(A1,Data!$A$1:$DZU$1000000,863,FALSE)</f>
        <v>#N/A</v>
      </c>
      <c r="M51" s="1" t="e">
        <f>VLOOKUP(A1,Data!$A$1:$DZU$1000000,864,FALSE)</f>
        <v>#N/A</v>
      </c>
      <c r="N51" s="1" t="e">
        <f>VLOOKUP(A1,Data!$A$1:$DZU$1000000,865,FALSE)</f>
        <v>#N/A</v>
      </c>
      <c r="O51" s="1" t="e">
        <f>VLOOKUP(A1,Data!$A$1:$DZU$1000000,866,FALSE)</f>
        <v>#N/A</v>
      </c>
      <c r="P51" s="1" t="e">
        <f>VLOOKUP(A1,Data!$A$1:$DZU$1000000,867,FALSE)</f>
        <v>#N/A</v>
      </c>
      <c r="Q51" s="1" t="e">
        <f>VLOOKUP(A1,Data!$A$1:$DZU$1000000,868,FALSE)</f>
        <v>#N/A</v>
      </c>
    </row>
    <row r="52" spans="1:17" x14ac:dyDescent="0.35">
      <c r="A52" s="122" t="e">
        <f>VLOOKUP(A1,Data!$A$1:$DZU$1000000,869,FALSE)</f>
        <v>#N/A</v>
      </c>
      <c r="B52" s="123"/>
      <c r="C52" s="123"/>
      <c r="D52" s="123"/>
      <c r="E52" s="123"/>
      <c r="F52" s="123"/>
      <c r="G52" s="123"/>
      <c r="H52" s="123"/>
      <c r="I52" s="123"/>
      <c r="J52" s="124"/>
      <c r="K52" s="1" t="e">
        <f>VLOOKUP(A1,Data!$A$1:$DZU$1000000,879,FALSE)</f>
        <v>#N/A</v>
      </c>
      <c r="L52" s="1" t="e">
        <f>VLOOKUP(A1,Data!$A$1:$DZU$1000000,880,FALSE)</f>
        <v>#N/A</v>
      </c>
      <c r="M52" s="1" t="e">
        <f>VLOOKUP(A1,Data!$A$1:$DZU$1000000,881,FALSE)</f>
        <v>#N/A</v>
      </c>
      <c r="N52" s="1" t="e">
        <f>VLOOKUP(A1,Data!$A$1:$DZU$1000000,882,FALSE)</f>
        <v>#N/A</v>
      </c>
      <c r="O52" s="1" t="e">
        <f>VLOOKUP(A1,Data!$A$1:$DZU$1000000,883,FALSE)</f>
        <v>#N/A</v>
      </c>
      <c r="P52" s="1" t="e">
        <f>VLOOKUP(A1,Data!$A$1:$DZU$1000000,884,FALSE)</f>
        <v>#N/A</v>
      </c>
      <c r="Q52" s="1" t="e">
        <f>VLOOKUP(A1,Data!$A$1:$DZU$1000000,885,FALSE)</f>
        <v>#N/A</v>
      </c>
    </row>
    <row r="53" spans="1:17" x14ac:dyDescent="0.35">
      <c r="A53" s="125"/>
      <c r="B53" s="126"/>
      <c r="C53" s="126"/>
      <c r="D53" s="126"/>
      <c r="E53" s="126"/>
      <c r="F53" s="126"/>
      <c r="G53" s="126"/>
      <c r="H53" s="126"/>
      <c r="I53" s="126"/>
      <c r="J53" s="127"/>
      <c r="K53" s="1" t="e">
        <f>VLOOKUP(A1,Data!$A$1:$DZU$1000000,896,FALSE)</f>
        <v>#N/A</v>
      </c>
      <c r="L53" s="1" t="e">
        <f>VLOOKUP(A1,Data!$A$1:$DZU$1000000,897,FALSE)</f>
        <v>#N/A</v>
      </c>
      <c r="M53" s="1" t="e">
        <f>VLOOKUP(A1,Data!$A$1:$DZU$1000000,898,FALSE)</f>
        <v>#N/A</v>
      </c>
      <c r="N53" s="1" t="e">
        <f>VLOOKUP(A1,Data!$A$1:$DZU$1000000,899,FALSE)</f>
        <v>#N/A</v>
      </c>
      <c r="O53" s="1" t="e">
        <f>VLOOKUP(A1,Data!$A$1:$DZU$1000000,900,FALSE)</f>
        <v>#N/A</v>
      </c>
      <c r="P53" s="1" t="e">
        <f>VLOOKUP(A1,Data!$A$1:$DZU$1000000,901,FALSE)</f>
        <v>#N/A</v>
      </c>
      <c r="Q53" s="1" t="e">
        <f>VLOOKUP(A1,Data!$A$1:$DZU$1000000,902,FALSE)</f>
        <v>#N/A</v>
      </c>
    </row>
    <row r="54" spans="1:17" x14ac:dyDescent="0.35">
      <c r="A54" s="1" t="e">
        <f>VLOOKUP(A1,Data!$A$1:$DZU$1000000,903,FALSE)</f>
        <v>#N/A</v>
      </c>
      <c r="B54" s="1" t="e">
        <f>VLOOKUP(A1,Data!$A$1:$DZU$1000000,904,FALSE)</f>
        <v>#N/A</v>
      </c>
      <c r="C54" s="1" t="e">
        <f>VLOOKUP(A1,Data!$A$1:$DZU$1000000,905,FALSE)</f>
        <v>#N/A</v>
      </c>
      <c r="D54" s="1" t="e">
        <f>VLOOKUP(A1,Data!$A$1:$DZU$1000000,906,FALSE)</f>
        <v>#N/A</v>
      </c>
      <c r="E54" s="1" t="e">
        <f>VLOOKUP(A1,Data!$A$1:$DZU$1000000,907,FALSE)</f>
        <v>#N/A</v>
      </c>
      <c r="F54" s="1" t="e">
        <f>VLOOKUP(A1,Data!$A$1:$DZU$1000000,908,FALSE)</f>
        <v>#N/A</v>
      </c>
      <c r="G54" s="1" t="e">
        <f>VLOOKUP(A1,Data!$A$1:$DZU$1000000,909,FALSE)</f>
        <v>#N/A</v>
      </c>
      <c r="H54" s="1" t="e">
        <f>VLOOKUP(A1,Data!$A$1:$DZU$1000000,910,FALSE)</f>
        <v>#N/A</v>
      </c>
      <c r="I54" s="1" t="e">
        <f>VLOOKUP(A1,Data!$A$1:$DZU$1000000,911,FALSE)</f>
        <v>#N/A</v>
      </c>
      <c r="J54" s="1" t="e">
        <f>VLOOKUP(A1,Data!$A$1:$DZU$1000000,912,FALSE)</f>
        <v>#N/A</v>
      </c>
      <c r="K54" s="1" t="e">
        <f>VLOOKUP(A1,Data!$A$1:$DZU$1000000,913,FALSE)</f>
        <v>#N/A</v>
      </c>
      <c r="L54" s="1" t="e">
        <f>VLOOKUP(A1,Data!$A$1:$DZU$1000000,914,FALSE)</f>
        <v>#N/A</v>
      </c>
      <c r="M54" s="1" t="e">
        <f>VLOOKUP(A1,Data!$A$1:$DZU$1000000,915,FALSE)</f>
        <v>#N/A</v>
      </c>
      <c r="N54" s="1" t="e">
        <f>VLOOKUP(A1,Data!$A$1:$DZU$1000000,916,FALSE)</f>
        <v>#N/A</v>
      </c>
      <c r="O54" s="1" t="e">
        <f>VLOOKUP(A1,Data!$A$1:$DZU$1000000,917,FALSE)</f>
        <v>#N/A</v>
      </c>
      <c r="P54" s="1" t="e">
        <f>VLOOKUP(A1,Data!$A$1:$DZU$1000000,918,FALSE)</f>
        <v>#N/A</v>
      </c>
      <c r="Q54" s="1" t="e">
        <f>VLOOKUP(A1,Data!$A$1:$DZU$1000000,919,FALSE)</f>
        <v>#N/A</v>
      </c>
    </row>
    <row r="55" spans="1:17" x14ac:dyDescent="0.35">
      <c r="A55" s="1" t="e">
        <f>VLOOKUP(A1,Data!$A$1:$DZU$1000000,920,FALSE)</f>
        <v>#N/A</v>
      </c>
      <c r="B55" s="1" t="e">
        <f>VLOOKUP(A1,Data!$A$1:$DZU$1000000,921,FALSE)</f>
        <v>#N/A</v>
      </c>
      <c r="C55" s="1" t="e">
        <f>VLOOKUP(A1,Data!$A$1:$DZU$1000000,922,FALSE)</f>
        <v>#N/A</v>
      </c>
      <c r="D55" s="1" t="e">
        <f>VLOOKUP(A1,Data!$A$1:$DZU$1000000,923,FALSE)</f>
        <v>#N/A</v>
      </c>
      <c r="E55" s="1" t="e">
        <f>VLOOKUP(A1,Data!$A$1:$DZU$1000000,924,FALSE)</f>
        <v>#N/A</v>
      </c>
      <c r="F55" s="1" t="e">
        <f>VLOOKUP(A1,Data!$A$1:$DZU$1000000,925,FALSE)</f>
        <v>#N/A</v>
      </c>
      <c r="G55" s="1" t="e">
        <f>VLOOKUP(A1,Data!$A$1:$DZU$1000000,926,FALSE)</f>
        <v>#N/A</v>
      </c>
      <c r="H55" s="1" t="e">
        <f>VLOOKUP(A1,Data!$A$1:$DZU$1000000,927,FALSE)</f>
        <v>#N/A</v>
      </c>
      <c r="I55" s="1" t="e">
        <f>VLOOKUP(A1,Data!$A$1:$DZU$1000000,928,FALSE)</f>
        <v>#N/A</v>
      </c>
      <c r="J55" s="1" t="e">
        <f>VLOOKUP(A1,Data!$A$1:$DZU$1000000,929,FALSE)</f>
        <v>#N/A</v>
      </c>
      <c r="K55" s="1" t="e">
        <f>VLOOKUP(A1,Data!$A$1:$DZU$1000000,930,FALSE)</f>
        <v>#N/A</v>
      </c>
      <c r="L55" s="1" t="e">
        <f>VLOOKUP(A1,Data!$A$1:$DZU$1000000,931,FALSE)</f>
        <v>#N/A</v>
      </c>
      <c r="M55" s="1" t="e">
        <f>VLOOKUP(A1,Data!$A$1:$DZU$1000000,932,FALSE)</f>
        <v>#N/A</v>
      </c>
      <c r="N55" s="1" t="e">
        <f>VLOOKUP(A1,Data!$A$1:$DZU$1000000,933,FALSE)</f>
        <v>#N/A</v>
      </c>
      <c r="O55" s="1" t="e">
        <f>VLOOKUP(A1,Data!$A$1:$DZU$1000000,934,FALSE)</f>
        <v>#N/A</v>
      </c>
      <c r="P55" s="1" t="e">
        <f>VLOOKUP(A1,Data!$A$1:$DZU$1000000,935,FALSE)</f>
        <v>#N/A</v>
      </c>
      <c r="Q55" s="1" t="e">
        <f>VLOOKUP(A1,Data!$A$1:$DZU$1000000,936,FALSE)</f>
        <v>#N/A</v>
      </c>
    </row>
    <row r="56" spans="1:17" x14ac:dyDescent="0.35">
      <c r="A56" s="1" t="e">
        <f>VLOOKUP(A1,Data!$A$1:$DZU$1000000,937,FALSE)</f>
        <v>#N/A</v>
      </c>
      <c r="B56" s="1" t="e">
        <f>VLOOKUP(A1,Data!$A$1:$DZU$1000000,938,FALSE)</f>
        <v>#N/A</v>
      </c>
      <c r="C56" s="1" t="e">
        <f>VLOOKUP(A1,Data!$A$1:$DZU$1000000,939,FALSE)</f>
        <v>#N/A</v>
      </c>
      <c r="D56" s="1" t="e">
        <f>VLOOKUP(A1,Data!$A$1:$DZU$1000000,940,FALSE)</f>
        <v>#N/A</v>
      </c>
      <c r="E56" s="1" t="e">
        <f>VLOOKUP(A1,Data!$A$1:$DZU$1000000,941,FALSE)</f>
        <v>#N/A</v>
      </c>
      <c r="F56" s="1" t="e">
        <f>VLOOKUP(A1,Data!$A$1:$DZU$1000000,942,FALSE)</f>
        <v>#N/A</v>
      </c>
      <c r="G56" s="1" t="e">
        <f>VLOOKUP(A1,Data!$A$1:$DZU$1000000,943,FALSE)</f>
        <v>#N/A</v>
      </c>
      <c r="H56" s="1" t="e">
        <f>VLOOKUP(A1,Data!$A$1:$DZU$1000000,944,FALSE)</f>
        <v>#N/A</v>
      </c>
      <c r="I56" s="1" t="e">
        <f>VLOOKUP(A1,Data!$A$1:$DZU$1000000,945,FALSE)</f>
        <v>#N/A</v>
      </c>
      <c r="J56" s="1" t="e">
        <f>VLOOKUP(A1,Data!$A$1:$DZU$1000000,946,FALSE)</f>
        <v>#N/A</v>
      </c>
      <c r="K56" s="1" t="e">
        <f>VLOOKUP(A1,Data!$A$1:$DZU$1000000,947,FALSE)</f>
        <v>#N/A</v>
      </c>
      <c r="L56" s="1" t="e">
        <f>VLOOKUP(A1,Data!$A$1:$DZU$1000000,948,FALSE)</f>
        <v>#N/A</v>
      </c>
      <c r="M56" s="1" t="e">
        <f>VLOOKUP(A1,Data!$A$1:$DZU$1000000,949,FALSE)</f>
        <v>#N/A</v>
      </c>
      <c r="N56" s="1" t="e">
        <f>VLOOKUP(A1,Data!$A$1:$DZU$1000000,950,FALSE)</f>
        <v>#N/A</v>
      </c>
      <c r="O56" s="1" t="e">
        <f>VLOOKUP(A1,Data!$A$1:$DZU$1000000,951,FALSE)</f>
        <v>#N/A</v>
      </c>
      <c r="P56" s="1" t="e">
        <f>VLOOKUP(A1,Data!$A$1:$DZU$1000000,952,FALSE)</f>
        <v>#N/A</v>
      </c>
      <c r="Q56" s="1" t="e">
        <f>VLOOKUP(A1,Data!$A$1:$DZU$1000000,953,FALSE)</f>
        <v>#N/A</v>
      </c>
    </row>
    <row r="57" spans="1:17" x14ac:dyDescent="0.35">
      <c r="A57" s="1" t="e">
        <f>VLOOKUP(A1,Data!$A$1:$DZU$1000000,954,FALSE)</f>
        <v>#N/A</v>
      </c>
      <c r="B57" s="1" t="e">
        <f>VLOOKUP(A1,Data!$A$1:$DZU$1000000,955,FALSE)</f>
        <v>#N/A</v>
      </c>
      <c r="C57" s="1" t="e">
        <f>VLOOKUP(A1,Data!$A$1:$DZU$1000000,956,FALSE)</f>
        <v>#N/A</v>
      </c>
      <c r="D57" s="1" t="e">
        <f>VLOOKUP(A1,Data!$A$1:$DZU$1000000,957,FALSE)</f>
        <v>#N/A</v>
      </c>
      <c r="E57" s="1" t="e">
        <f>VLOOKUP(A1,Data!$A$1:$DZU$1000000,958,FALSE)</f>
        <v>#N/A</v>
      </c>
      <c r="F57" s="1" t="e">
        <f>VLOOKUP(A1,Data!$A$1:$DZU$1000000,959,FALSE)</f>
        <v>#N/A</v>
      </c>
      <c r="G57" s="1" t="e">
        <f>VLOOKUP(A1,Data!$A$1:$DZU$1000000,960,FALSE)</f>
        <v>#N/A</v>
      </c>
      <c r="H57" s="1" t="e">
        <f>VLOOKUP(A1,Data!$A$1:$DZU$1000000,961,FALSE)</f>
        <v>#N/A</v>
      </c>
      <c r="I57" s="1" t="e">
        <f>VLOOKUP(A1,Data!$A$1:$DZU$1000000,962,FALSE)</f>
        <v>#N/A</v>
      </c>
      <c r="J57" s="1" t="e">
        <f>VLOOKUP(A1,Data!$A$1:$DZU$1000000,963,FALSE)</f>
        <v>#N/A</v>
      </c>
      <c r="K57" s="1" t="e">
        <f>VLOOKUP(A1,Data!$A$1:$DZU$1000000,964,FALSE)</f>
        <v>#N/A</v>
      </c>
      <c r="L57" s="1" t="e">
        <f>VLOOKUP(A1,Data!$A$1:$DZU$1000000,965,FALSE)</f>
        <v>#N/A</v>
      </c>
      <c r="M57" s="1" t="e">
        <f>VLOOKUP(A1,Data!$A$1:$DZU$1000000,966,FALSE)</f>
        <v>#N/A</v>
      </c>
      <c r="N57" s="1" t="e">
        <f>VLOOKUP(A1,Data!$A$1:$DZU$1000000,967,FALSE)</f>
        <v>#N/A</v>
      </c>
      <c r="O57" s="1" t="e">
        <f>VLOOKUP(A1,Data!$A$1:$DZU$1000000,968,FALSE)</f>
        <v>#N/A</v>
      </c>
      <c r="P57" s="1" t="e">
        <f>VLOOKUP(A1,Data!$A$1:$DZU$1000000,969,FALSE)</f>
        <v>#N/A</v>
      </c>
      <c r="Q57" s="1" t="e">
        <f>VLOOKUP(A1,Data!$A$1:$DZU$1000000,970,FALSE)</f>
        <v>#N/A</v>
      </c>
    </row>
    <row r="58" spans="1:17" x14ac:dyDescent="0.35">
      <c r="A58" s="1" t="e">
        <f>VLOOKUP(A1,Data!$A$1:$DZU$1000000,971,FALSE)</f>
        <v>#N/A</v>
      </c>
      <c r="B58" s="1" t="e">
        <f>VLOOKUP(A1,Data!$A$1:$DZU$1000000,972,FALSE)</f>
        <v>#N/A</v>
      </c>
      <c r="C58" s="1" t="e">
        <f>VLOOKUP(A1,Data!$A$1:$DZU$1000000,973,FALSE)</f>
        <v>#N/A</v>
      </c>
      <c r="D58" s="1" t="e">
        <f>VLOOKUP(A1,Data!$A$1:$DZU$1000000,974,FALSE)</f>
        <v>#N/A</v>
      </c>
      <c r="E58" s="1" t="e">
        <f>VLOOKUP(A1,Data!$A$1:$DZU$1000000,975,FALSE)</f>
        <v>#N/A</v>
      </c>
      <c r="F58" s="1" t="e">
        <f>VLOOKUP(A1,Data!$A$1:$DZU$1000000,976,FALSE)</f>
        <v>#N/A</v>
      </c>
      <c r="G58" s="1" t="e">
        <f>VLOOKUP(A1,Data!$A$1:$DZU$1000000,977,FALSE)</f>
        <v>#N/A</v>
      </c>
      <c r="H58" s="1" t="e">
        <f>VLOOKUP(A1,Data!$A$1:$DZU$1000000,978,FALSE)</f>
        <v>#N/A</v>
      </c>
      <c r="I58" s="1" t="e">
        <f>VLOOKUP(A1,Data!$A$1:$DZU$1000000,979,FALSE)</f>
        <v>#N/A</v>
      </c>
      <c r="J58" s="1" t="e">
        <f>VLOOKUP(A1,Data!$A$1:$DZU$1000000,980,FALSE)</f>
        <v>#N/A</v>
      </c>
      <c r="K58" s="1" t="e">
        <f>VLOOKUP(A1,Data!$A$1:$DZU$1000000,981,FALSE)</f>
        <v>#N/A</v>
      </c>
      <c r="L58" s="1" t="e">
        <f>VLOOKUP(A1,Data!$A$1:$DZU$1000000,982,FALSE)</f>
        <v>#N/A</v>
      </c>
      <c r="M58" s="1" t="e">
        <f>VLOOKUP(A1,Data!$A$1:$DZU$1000000,983,FALSE)</f>
        <v>#N/A</v>
      </c>
      <c r="N58" s="1" t="e">
        <f>VLOOKUP(A1,Data!$A$1:$DZU$1000000,984,FALSE)</f>
        <v>#N/A</v>
      </c>
      <c r="O58" s="1" t="e">
        <f>VLOOKUP(A1,Data!$A$1:$DZU$1000000,985,FALSE)</f>
        <v>#N/A</v>
      </c>
      <c r="P58" s="1" t="e">
        <f>VLOOKUP(A1,Data!$A$1:$DZU$1000000,986,FALSE)</f>
        <v>#N/A</v>
      </c>
      <c r="Q58" s="1" t="e">
        <f>VLOOKUP(A1,Data!$A$1:$DZU$1000000,987,FALSE)</f>
        <v>#N/A</v>
      </c>
    </row>
    <row r="59" spans="1:17" x14ac:dyDescent="0.35">
      <c r="A59" s="1" t="e">
        <f>VLOOKUP(A1,Data!$A$1:$DZU$1000000,988,FALSE)</f>
        <v>#N/A</v>
      </c>
      <c r="B59" s="1" t="e">
        <f>VLOOKUP(A1,Data!$A$1:$DZU$1000000,989,FALSE)</f>
        <v>#N/A</v>
      </c>
      <c r="C59" s="1" t="e">
        <f>VLOOKUP(A1,Data!$A$1:$DZU$1000000,990,FALSE)</f>
        <v>#N/A</v>
      </c>
      <c r="D59" s="1" t="e">
        <f>VLOOKUP(A1,Data!$A$1:$DZU$1000000,991,FALSE)</f>
        <v>#N/A</v>
      </c>
      <c r="E59" s="1" t="e">
        <f>VLOOKUP(A1,Data!$A$1:$DZU$1000000,992,FALSE)</f>
        <v>#N/A</v>
      </c>
      <c r="F59" s="1" t="e">
        <f>VLOOKUP(A1,Data!$A$1:$DZU$1000000,993,FALSE)</f>
        <v>#N/A</v>
      </c>
      <c r="G59" s="1" t="e">
        <f>VLOOKUP(A1,Data!$A$1:$DZU$1000000,994,FALSE)</f>
        <v>#N/A</v>
      </c>
      <c r="H59" s="1" t="e">
        <f>VLOOKUP(A1,Data!$A$1:$DZU$1000000,995,FALSE)</f>
        <v>#N/A</v>
      </c>
      <c r="I59" s="1" t="e">
        <f>VLOOKUP(A1,Data!$A$1:$DZU$1000000,996,FALSE)</f>
        <v>#N/A</v>
      </c>
      <c r="J59" s="1" t="e">
        <f>VLOOKUP(A1,Data!$A$1:$DZU$1000000,997,FALSE)</f>
        <v>#N/A</v>
      </c>
      <c r="K59" s="1" t="e">
        <f>VLOOKUP(A1,Data!$A$1:$DZU$1000000,998,FALSE)</f>
        <v>#N/A</v>
      </c>
      <c r="L59" s="1" t="e">
        <f>VLOOKUP(A1,Data!$A$1:$DZU$1000000,999,FALSE)</f>
        <v>#N/A</v>
      </c>
      <c r="M59" s="1" t="e">
        <f>VLOOKUP(A1,Data!$A$1:$DZU$1000000,1000,FALSE)</f>
        <v>#N/A</v>
      </c>
      <c r="N59" s="1" t="e">
        <f>VLOOKUP(A1,Data!$A$1:$DZU$1000000,1001,FALSE)</f>
        <v>#N/A</v>
      </c>
      <c r="O59" s="1" t="e">
        <f>VLOOKUP(A1,Data!$A$1:$DZU$1000000,1002,FALSE)</f>
        <v>#N/A</v>
      </c>
      <c r="P59" s="1" t="e">
        <f>VLOOKUP(A1,Data!$A$1:$DZU$1000000,1003,FALSE)</f>
        <v>#N/A</v>
      </c>
      <c r="Q59" s="1" t="e">
        <f>VLOOKUP(A1,Data!$A$1:$DZU$1000000,1004,FALSE)</f>
        <v>#N/A</v>
      </c>
    </row>
    <row r="60" spans="1:17" x14ac:dyDescent="0.35">
      <c r="A60" s="1" t="e">
        <f>VLOOKUP(A1,Data!$A$1:$DZU$1000000,1005,FALSE)</f>
        <v>#N/A</v>
      </c>
      <c r="B60" s="1" t="e">
        <f>VLOOKUP(A1,Data!$A$1:$DZU$1000000,1006,FALSE)</f>
        <v>#N/A</v>
      </c>
      <c r="C60" s="1" t="e">
        <f>VLOOKUP(A1,Data!$A$1:$DZU$1000000,1007,FALSE)</f>
        <v>#N/A</v>
      </c>
      <c r="D60" s="1" t="e">
        <f>VLOOKUP(A1,Data!$A$1:$DZU$1000000,1008,FALSE)</f>
        <v>#N/A</v>
      </c>
      <c r="E60" s="1" t="e">
        <f>VLOOKUP(A1,Data!$A$1:$DZU$1000000,1009,FALSE)</f>
        <v>#N/A</v>
      </c>
      <c r="F60" s="1" t="e">
        <f>VLOOKUP(A1,Data!$A$1:$DZU$1000000,1010,FALSE)</f>
        <v>#N/A</v>
      </c>
      <c r="G60" s="1" t="e">
        <f>VLOOKUP(A1,Data!$A$1:$DZU$1000000,1011,FALSE)</f>
        <v>#N/A</v>
      </c>
      <c r="H60" s="1" t="e">
        <f>VLOOKUP(A1,Data!$A$1:$DZU$1000000,1012,FALSE)</f>
        <v>#N/A</v>
      </c>
      <c r="I60" s="1" t="e">
        <f>VLOOKUP(A1,Data!$A$1:$DZU$1000000,1013,FALSE)</f>
        <v>#N/A</v>
      </c>
      <c r="J60" s="1" t="e">
        <f>VLOOKUP(A1,Data!$A$1:$DZU$1000000,1014,FALSE)</f>
        <v>#N/A</v>
      </c>
      <c r="K60" s="1" t="e">
        <f>VLOOKUP(A1,Data!$A$1:$DZU$1000000,1015,FALSE)</f>
        <v>#N/A</v>
      </c>
      <c r="L60" s="1" t="e">
        <f>VLOOKUP(A1,Data!$A$1:$DZU$1000000,1016,FALSE)</f>
        <v>#N/A</v>
      </c>
      <c r="M60" s="1" t="e">
        <f>VLOOKUP(A1,Data!$A$1:$DZU$1000000,1017,FALSE)</f>
        <v>#N/A</v>
      </c>
      <c r="N60" s="1" t="e">
        <f>VLOOKUP(A1,Data!$A$1:$DZU$1000000,1018,FALSE)</f>
        <v>#N/A</v>
      </c>
      <c r="O60" s="1" t="e">
        <f>VLOOKUP(A1,Data!$A$1:$DZU$1000000,1019,FALSE)</f>
        <v>#N/A</v>
      </c>
      <c r="P60" s="1" t="e">
        <f>VLOOKUP(A1,Data!$A$1:$DZU$1000000,1020,FALSE)</f>
        <v>#N/A</v>
      </c>
      <c r="Q60" s="1" t="e">
        <f>VLOOKUP(A1,Data!$A$1:$DZU$1000000,1021,FALSE)</f>
        <v>#N/A</v>
      </c>
    </row>
    <row r="61" spans="1:17" x14ac:dyDescent="0.35">
      <c r="A61" s="1" t="e">
        <f>VLOOKUP(A1,Data!$A$1:$DZU$1000000,1022,FALSE)</f>
        <v>#N/A</v>
      </c>
      <c r="B61" s="1" t="e">
        <f>VLOOKUP(A1,Data!$A$1:$DZU$1000000,1023,FALSE)</f>
        <v>#N/A</v>
      </c>
      <c r="C61" s="1" t="e">
        <f>VLOOKUP(A1,Data!$A$1:$DZU$1000000,1024,FALSE)</f>
        <v>#N/A</v>
      </c>
      <c r="D61" s="1" t="e">
        <f>VLOOKUP(A1,Data!$A$1:$DZU$1000000,1025,FALSE)</f>
        <v>#N/A</v>
      </c>
      <c r="E61" s="1" t="e">
        <f>VLOOKUP(A1,Data!$A$1:$DZU$1000000,1026,FALSE)</f>
        <v>#N/A</v>
      </c>
      <c r="F61" s="1" t="e">
        <f>VLOOKUP(A1,Data!$A$1:$DZU$1000000,1027,FALSE)</f>
        <v>#N/A</v>
      </c>
      <c r="G61" s="1" t="e">
        <f>VLOOKUP(A1,Data!$A$1:$DZU$1000000,1028,FALSE)</f>
        <v>#N/A</v>
      </c>
      <c r="H61" s="1" t="e">
        <f>VLOOKUP(A1,Data!$A$1:$DZU$1000000,1029,FALSE)</f>
        <v>#N/A</v>
      </c>
      <c r="I61" s="1" t="e">
        <f>VLOOKUP(A1,Data!$A$1:$DZU$1000000,1030,FALSE)</f>
        <v>#N/A</v>
      </c>
      <c r="J61" s="1" t="e">
        <f>VLOOKUP(A1,Data!$A$1:$DZU$1000000,1031,FALSE)</f>
        <v>#N/A</v>
      </c>
      <c r="K61" s="1" t="e">
        <f>VLOOKUP(A1,Data!$A$1:$DZU$1000000,1032,FALSE)</f>
        <v>#N/A</v>
      </c>
      <c r="L61" s="1" t="e">
        <f>VLOOKUP(A1,Data!$A$1:$DZU$1000000,1033,FALSE)</f>
        <v>#N/A</v>
      </c>
      <c r="M61" s="1" t="e">
        <f>VLOOKUP(A1,Data!$A$1:$DZU$1000000,1034,FALSE)</f>
        <v>#N/A</v>
      </c>
      <c r="N61" s="1" t="e">
        <f>VLOOKUP(A1,Data!$A$1:$DZU$1000000,1035,FALSE)</f>
        <v>#N/A</v>
      </c>
      <c r="O61" s="1" t="e">
        <f>VLOOKUP(A1,Data!$A$1:$DZU$1000000,1036,FALSE)</f>
        <v>#N/A</v>
      </c>
      <c r="P61" s="1" t="e">
        <f>VLOOKUP(A1,Data!$A$1:$DZU$1000000,1037,FALSE)</f>
        <v>#N/A</v>
      </c>
      <c r="Q61" s="1" t="e">
        <f>VLOOKUP(A1,Data!$A$1:$DZU$1000000,1038,FALSE)</f>
        <v>#N/A</v>
      </c>
    </row>
    <row r="62" spans="1:17" x14ac:dyDescent="0.35">
      <c r="A62" s="1" t="e">
        <f>VLOOKUP(A1,Data!$A$1:$DZU$1000000,1039,FALSE)</f>
        <v>#N/A</v>
      </c>
      <c r="B62" s="1" t="e">
        <f>VLOOKUP(A1,Data!$A$1:$DZU$1000000,1040,FALSE)</f>
        <v>#N/A</v>
      </c>
      <c r="C62" s="1" t="e">
        <f>VLOOKUP(A1,Data!$A$1:$DZU$1000000,1041,FALSE)</f>
        <v>#N/A</v>
      </c>
      <c r="D62" s="1" t="e">
        <f>VLOOKUP(A1,Data!$A$1:$DZU$1000000,1042,FALSE)</f>
        <v>#N/A</v>
      </c>
      <c r="E62" s="1" t="e">
        <f>VLOOKUP(A1,Data!$A$1:$DZU$1000000,1043,FALSE)</f>
        <v>#N/A</v>
      </c>
      <c r="F62" s="1" t="e">
        <f>VLOOKUP(A1,Data!$A$1:$DZU$1000000,1044,FALSE)</f>
        <v>#N/A</v>
      </c>
      <c r="G62" s="1" t="e">
        <f>VLOOKUP(A1,Data!$A$1:$DZU$1000000,1045,FALSE)</f>
        <v>#N/A</v>
      </c>
      <c r="H62" s="1" t="e">
        <f>VLOOKUP(A1,Data!$A$1:$DZU$1000000,1046,FALSE)</f>
        <v>#N/A</v>
      </c>
      <c r="I62" s="1" t="e">
        <f>VLOOKUP(A1,Data!$A$1:$DZU$1000000,1047,FALSE)</f>
        <v>#N/A</v>
      </c>
      <c r="J62" s="1" t="e">
        <f>VLOOKUP(A1,Data!$A$1:$DZU$1000000,1048,FALSE)</f>
        <v>#N/A</v>
      </c>
      <c r="K62" s="1" t="e">
        <f>VLOOKUP(A1,Data!$A$1:$DZU$1000000,1049,FALSE)</f>
        <v>#N/A</v>
      </c>
      <c r="L62" s="1" t="e">
        <f>VLOOKUP(A1,Data!$A$1:$DZU$1000000,1050,FALSE)</f>
        <v>#N/A</v>
      </c>
      <c r="M62" s="1" t="e">
        <f>VLOOKUP(A1,Data!$A$1:$DZU$1000000,1051,FALSE)</f>
        <v>#N/A</v>
      </c>
      <c r="N62" s="1" t="e">
        <f>VLOOKUP(A1,Data!$A$1:$DZU$1000000,1052,FALSE)</f>
        <v>#N/A</v>
      </c>
      <c r="O62" s="1" t="e">
        <f>VLOOKUP(A1,Data!$A$1:$DZU$1000000,1053,FALSE)</f>
        <v>#N/A</v>
      </c>
      <c r="P62" s="1" t="e">
        <f>VLOOKUP(A1,Data!$A$1:$DZU$1000000,1054,FALSE)</f>
        <v>#N/A</v>
      </c>
      <c r="Q62" s="1" t="e">
        <f>VLOOKUP(A1,Data!$A$1:$DZU$1000000,1055,FALSE)</f>
        <v>#N/A</v>
      </c>
    </row>
    <row r="63" spans="1:17" x14ac:dyDescent="0.35">
      <c r="A63" s="1" t="e">
        <f>VLOOKUP(A1,Data!$A$1:$DZU$1000000,1056,FALSE)</f>
        <v>#N/A</v>
      </c>
      <c r="B63" s="1" t="e">
        <f>VLOOKUP(A1,Data!$A$1:$DZU$1000000,1057,FALSE)</f>
        <v>#N/A</v>
      </c>
      <c r="C63" s="1" t="e">
        <f>VLOOKUP(A1,Data!$A$1:$DZU$1000000,1058,FALSE)</f>
        <v>#N/A</v>
      </c>
      <c r="D63" s="1" t="e">
        <f>VLOOKUP(A1,Data!$A$1:$DZU$1000000,1059,FALSE)</f>
        <v>#N/A</v>
      </c>
      <c r="E63" s="1" t="e">
        <f>VLOOKUP(A1,Data!$A$1:$DZU$1000000,1060,FALSE)</f>
        <v>#N/A</v>
      </c>
      <c r="F63" s="1" t="e">
        <f>VLOOKUP(A1,Data!$A$1:$DZU$1000000,1061,FALSE)</f>
        <v>#N/A</v>
      </c>
      <c r="G63" s="1" t="e">
        <f>VLOOKUP(A1,Data!$A$1:$DZU$1000000,1062,FALSE)</f>
        <v>#N/A</v>
      </c>
      <c r="H63" s="1" t="e">
        <f>VLOOKUP(A1,Data!$A$1:$DZU$1000000,1063,FALSE)</f>
        <v>#N/A</v>
      </c>
      <c r="I63" s="1" t="e">
        <f>VLOOKUP(A1,Data!$A$1:$DZU$1000000,1064,FALSE)</f>
        <v>#N/A</v>
      </c>
      <c r="J63" s="1" t="e">
        <f>VLOOKUP(A1,Data!$A$1:$DZU$1000000,1065,FALSE)</f>
        <v>#N/A</v>
      </c>
      <c r="K63" s="1" t="e">
        <f>VLOOKUP(A1,Data!$A$1:$DZU$1000000,1066,FALSE)</f>
        <v>#N/A</v>
      </c>
      <c r="L63" s="1" t="e">
        <f>VLOOKUP(A1,Data!$A$1:$DZU$1000000,1067,FALSE)</f>
        <v>#N/A</v>
      </c>
      <c r="M63" s="1" t="e">
        <f>VLOOKUP(A1,Data!$A$1:$DZU$1000000,1068,FALSE)</f>
        <v>#N/A</v>
      </c>
      <c r="N63" s="1" t="e">
        <f>VLOOKUP(A1,Data!$A$1:$DZU$1000000,1069,FALSE)</f>
        <v>#N/A</v>
      </c>
      <c r="O63" s="1" t="e">
        <f>VLOOKUP(A1,Data!$A$1:$DZU$1000000,1070,FALSE)</f>
        <v>#N/A</v>
      </c>
      <c r="P63" s="1" t="e">
        <f>VLOOKUP(A1,Data!$A$1:$DZU$1000000,1071,FALSE)</f>
        <v>#N/A</v>
      </c>
      <c r="Q63" s="1" t="e">
        <f>VLOOKUP(A1,Data!$A$1:$DZU$1000000,1072,FALSE)</f>
        <v>#N/A</v>
      </c>
    </row>
    <row r="64" spans="1:17" x14ac:dyDescent="0.35">
      <c r="A64" s="1" t="e">
        <f>VLOOKUP(A1,Data!$A$1:$DZU$1000000,1073,FALSE)</f>
        <v>#N/A</v>
      </c>
      <c r="B64" s="1" t="e">
        <f>VLOOKUP(A1,Data!$A$1:$DZU$1000000,1074,FALSE)</f>
        <v>#N/A</v>
      </c>
      <c r="C64" s="1" t="e">
        <f>VLOOKUP(A1,Data!$A$1:$DZU$1000000,1075,FALSE)</f>
        <v>#N/A</v>
      </c>
      <c r="D64" s="1" t="e">
        <f>VLOOKUP(A1,Data!$A$1:$DZU$1000000,1076,FALSE)</f>
        <v>#N/A</v>
      </c>
      <c r="E64" s="1" t="e">
        <f>VLOOKUP(A1,Data!$A$1:$DZU$1000000,1077,FALSE)</f>
        <v>#N/A</v>
      </c>
      <c r="F64" s="1" t="e">
        <f>VLOOKUP(A1,Data!$A$1:$DZU$1000000,1078,FALSE)</f>
        <v>#N/A</v>
      </c>
      <c r="G64" s="1" t="e">
        <f>VLOOKUP(A1,Data!$A$1:$DZU$1000000,1079,FALSE)</f>
        <v>#N/A</v>
      </c>
      <c r="H64" s="1" t="e">
        <f>VLOOKUP(A1,Data!$A$1:$DZU$1000000,1080,FALSE)</f>
        <v>#N/A</v>
      </c>
      <c r="I64" s="1" t="e">
        <f>VLOOKUP(A1,Data!$A$1:$DZU$1000000,1081,FALSE)</f>
        <v>#N/A</v>
      </c>
      <c r="J64" s="1" t="e">
        <f>VLOOKUP(A1,Data!$A$1:$DZU$1000000,1082,FALSE)</f>
        <v>#N/A</v>
      </c>
      <c r="K64" s="1" t="e">
        <f>VLOOKUP(A1,Data!$A$1:$DZU$1000000,1083,FALSE)</f>
        <v>#N/A</v>
      </c>
      <c r="L64" s="1" t="e">
        <f>VLOOKUP(A1,Data!$A$1:$DZU$1000000,1084,FALSE)</f>
        <v>#N/A</v>
      </c>
      <c r="M64" s="1" t="e">
        <f>VLOOKUP(A1,Data!$A$1:$DZU$1000000,1085,FALSE)</f>
        <v>#N/A</v>
      </c>
      <c r="N64" s="1" t="e">
        <f>VLOOKUP(A1,Data!$A$1:$DZU$1000000,1086,FALSE)</f>
        <v>#N/A</v>
      </c>
      <c r="O64" s="1" t="e">
        <f>VLOOKUP(A1,Data!$A$1:$DZU$1000000,1087,FALSE)</f>
        <v>#N/A</v>
      </c>
      <c r="P64" s="1" t="e">
        <f>VLOOKUP(A1,Data!$A$1:$DZU$1000000,1088,FALSE)</f>
        <v>#N/A</v>
      </c>
      <c r="Q64" s="1" t="e">
        <f>VLOOKUP(A1,Data!$A$1:$DZU$1000000,1089,FALSE)</f>
        <v>#N/A</v>
      </c>
    </row>
    <row r="65" spans="1:17" x14ac:dyDescent="0.35">
      <c r="A65" s="1" t="e">
        <f>VLOOKUP(A1,Data!$A$1:$DZU$1000000,1090,FALSE)</f>
        <v>#N/A</v>
      </c>
      <c r="B65" s="1" t="e">
        <f>VLOOKUP(A1,Data!$A$1:$DZU$1000000,1091,FALSE)</f>
        <v>#N/A</v>
      </c>
      <c r="C65" s="1" t="e">
        <f>VLOOKUP(A1,Data!$A$1:$DZU$1000000,1092,FALSE)</f>
        <v>#N/A</v>
      </c>
      <c r="D65" s="1" t="e">
        <f>VLOOKUP(A1,Data!$A$1:$DZU$1000000,1093,FALSE)</f>
        <v>#N/A</v>
      </c>
      <c r="E65" s="1" t="e">
        <f>VLOOKUP(A1,Data!$A$1:$DZU$1000000,1094,FALSE)</f>
        <v>#N/A</v>
      </c>
      <c r="F65" s="1" t="e">
        <f>VLOOKUP(A1,Data!$A$1:$DZU$1000000,1095,FALSE)</f>
        <v>#N/A</v>
      </c>
      <c r="G65" s="1" t="e">
        <f>VLOOKUP(A1,Data!$A$1:$DZU$1000000,1096,FALSE)</f>
        <v>#N/A</v>
      </c>
      <c r="H65" s="1" t="e">
        <f>VLOOKUP(A1,Data!$A$1:$DZU$1000000,1097,FALSE)</f>
        <v>#N/A</v>
      </c>
      <c r="I65" s="1" t="e">
        <f>VLOOKUP(A1,Data!$A$1:$DZU$1000000,1098,FALSE)</f>
        <v>#N/A</v>
      </c>
      <c r="J65" s="1" t="e">
        <f>VLOOKUP(A1,Data!$A$1:$DZU$1000000,1099,FALSE)</f>
        <v>#N/A</v>
      </c>
      <c r="K65" s="1" t="e">
        <f>VLOOKUP(A1,Data!$A$1:$DZU$1000000,1100,FALSE)</f>
        <v>#N/A</v>
      </c>
      <c r="L65" s="1" t="e">
        <f>VLOOKUP(A1,Data!$A$1:$DZU$1000000,1101,FALSE)</f>
        <v>#N/A</v>
      </c>
      <c r="M65" s="1" t="e">
        <f>VLOOKUP(A1,Data!$A$1:$DZU$1000000,1102,FALSE)</f>
        <v>#N/A</v>
      </c>
      <c r="N65" s="1" t="e">
        <f>VLOOKUP(A1,Data!$A$1:$DZU$1000000,1103,FALSE)</f>
        <v>#N/A</v>
      </c>
      <c r="O65" s="1" t="e">
        <f>VLOOKUP(A1,Data!$A$1:$DZU$1000000,1104,FALSE)</f>
        <v>#N/A</v>
      </c>
      <c r="P65" s="1" t="e">
        <f>VLOOKUP(A1,Data!$A$1:$DZU$1000000,1105,FALSE)</f>
        <v>#N/A</v>
      </c>
      <c r="Q65" s="1" t="e">
        <f>VLOOKUP(A1,Data!$A$1:$DZU$1000000,1106,FALSE)</f>
        <v>#N/A</v>
      </c>
    </row>
    <row r="66" spans="1:17" x14ac:dyDescent="0.35">
      <c r="A66" s="1" t="e">
        <f>VLOOKUP(A1,Data!$A$1:$DZU$1000000,1107,FALSE)</f>
        <v>#N/A</v>
      </c>
      <c r="B66" s="1" t="e">
        <f>VLOOKUP(A1,Data!$A$1:$DZU$1000000,1108,FALSE)</f>
        <v>#N/A</v>
      </c>
      <c r="C66" s="1" t="e">
        <f>VLOOKUP(A1,Data!$A$1:$DZU$1000000,1109,FALSE)</f>
        <v>#N/A</v>
      </c>
      <c r="D66" s="1" t="e">
        <f>VLOOKUP(A1,Data!$A$1:$DZU$1000000,1110,FALSE)</f>
        <v>#N/A</v>
      </c>
      <c r="E66" s="1" t="e">
        <f>VLOOKUP(A1,Data!$A$1:$DZU$1000000,1111,FALSE)</f>
        <v>#N/A</v>
      </c>
      <c r="F66" s="1" t="e">
        <f>VLOOKUP(A1,Data!$A$1:$DZU$1000000,1112,FALSE)</f>
        <v>#N/A</v>
      </c>
      <c r="G66" s="1" t="e">
        <f>VLOOKUP(A1,Data!$A$1:$DZU$1000000,1113,FALSE)</f>
        <v>#N/A</v>
      </c>
      <c r="H66" s="1" t="e">
        <f>VLOOKUP(A1,Data!$A$1:$DZU$1000000,1114,FALSE)</f>
        <v>#N/A</v>
      </c>
      <c r="I66" s="1" t="e">
        <f>VLOOKUP(A1,Data!$A$1:$DZU$1000000,1115,FALSE)</f>
        <v>#N/A</v>
      </c>
      <c r="J66" s="1" t="e">
        <f>VLOOKUP(A1,Data!$A$1:$DZU$1000000,1116,FALSE)</f>
        <v>#N/A</v>
      </c>
      <c r="K66" s="1" t="e">
        <f>VLOOKUP(A1,Data!$A$1:$DZU$1000000,1117,FALSE)</f>
        <v>#N/A</v>
      </c>
      <c r="L66" s="1" t="e">
        <f>VLOOKUP(A1,Data!$A$1:$DZU$1000000,1118,FALSE)</f>
        <v>#N/A</v>
      </c>
      <c r="M66" s="1" t="e">
        <f>VLOOKUP(A1,Data!$A$1:$DZU$1000000,1119,FALSE)</f>
        <v>#N/A</v>
      </c>
      <c r="N66" s="1" t="e">
        <f>VLOOKUP(A1,Data!$A$1:$DZU$1000000,1120,FALSE)</f>
        <v>#N/A</v>
      </c>
      <c r="O66" s="1" t="e">
        <f>VLOOKUP(A1,Data!$A$1:$DZU$1000000,1121,FALSE)</f>
        <v>#N/A</v>
      </c>
      <c r="P66" s="1" t="e">
        <f>VLOOKUP(A1,Data!$A$1:$DZU$1000000,1122,FALSE)</f>
        <v>#N/A</v>
      </c>
      <c r="Q66" s="1" t="e">
        <f>VLOOKUP(A1,Data!$A$1:$DZU$1000000,1123,FALSE)</f>
        <v>#N/A</v>
      </c>
    </row>
    <row r="67" spans="1:17" x14ac:dyDescent="0.35">
      <c r="A67" s="1" t="e">
        <f>VLOOKUP(A1,Data!$A$1:$DZU$1000000,1124,FALSE)</f>
        <v>#N/A</v>
      </c>
      <c r="B67" s="1" t="e">
        <f>VLOOKUP(A1,Data!$A$1:$DZU$1000000,1125,FALSE)</f>
        <v>#N/A</v>
      </c>
      <c r="C67" s="1" t="e">
        <f>VLOOKUP(A1,Data!$A$1:$DZU$1000000,1126,FALSE)</f>
        <v>#N/A</v>
      </c>
      <c r="D67" s="1" t="e">
        <f>VLOOKUP(A1,Data!$A$1:$DZU$1000000,1127,FALSE)</f>
        <v>#N/A</v>
      </c>
      <c r="E67" s="1" t="e">
        <f>VLOOKUP(A1,Data!$A$1:$DZU$1000000,1128,FALSE)</f>
        <v>#N/A</v>
      </c>
      <c r="F67" s="1" t="e">
        <f>VLOOKUP(A1,Data!$A$1:$DZU$1000000,1129,FALSE)</f>
        <v>#N/A</v>
      </c>
      <c r="G67" s="1" t="e">
        <f>VLOOKUP(A1,Data!$A$1:$DZU$1000000,1130,FALSE)</f>
        <v>#N/A</v>
      </c>
      <c r="H67" s="1" t="e">
        <f>VLOOKUP(A1,Data!$A$1:$DZU$1000000,1131,FALSE)</f>
        <v>#N/A</v>
      </c>
      <c r="I67" s="1" t="e">
        <f>VLOOKUP(A1,Data!$A$1:$DZU$1000000,1132,FALSE)</f>
        <v>#N/A</v>
      </c>
      <c r="J67" s="1" t="e">
        <f>VLOOKUP(A1,Data!$A$1:$DZU$1000000,1133,FALSE)</f>
        <v>#N/A</v>
      </c>
      <c r="K67" s="1" t="e">
        <f>VLOOKUP(A1,Data!$A$1:$DZU$1000000,1134,FALSE)</f>
        <v>#N/A</v>
      </c>
      <c r="L67" s="1" t="e">
        <f>VLOOKUP(A1,Data!$A$1:$DZU$1000000,1135,FALSE)</f>
        <v>#N/A</v>
      </c>
      <c r="M67" s="1" t="e">
        <f>VLOOKUP(A1,Data!$A$1:$DZU$1000000,1136,FALSE)</f>
        <v>#N/A</v>
      </c>
      <c r="N67" s="1" t="e">
        <f>VLOOKUP(A1,Data!$A$1:$DZU$1000000,1137,FALSE)</f>
        <v>#N/A</v>
      </c>
      <c r="O67" s="1" t="e">
        <f>VLOOKUP(A1,Data!$A$1:$DZU$1000000,1138,FALSE)</f>
        <v>#N/A</v>
      </c>
      <c r="P67" s="1" t="e">
        <f>VLOOKUP(A1,Data!$A$1:$DZU$1000000,1139,FALSE)</f>
        <v>#N/A</v>
      </c>
      <c r="Q67" s="1" t="e">
        <f>VLOOKUP(A1,Data!$A$1:$DZU$1000000,1140,FALSE)</f>
        <v>#N/A</v>
      </c>
    </row>
    <row r="68" spans="1:17" x14ac:dyDescent="0.35">
      <c r="A68" s="1" t="e">
        <f>VLOOKUP(A1,Data!$A$1:$DZU$1000000,1141,FALSE)</f>
        <v>#N/A</v>
      </c>
      <c r="B68" s="1" t="e">
        <f>VLOOKUP(A1,Data!$A$1:$DZU$1000000,1142,FALSE)</f>
        <v>#N/A</v>
      </c>
      <c r="C68" s="1" t="e">
        <f>VLOOKUP(A1,Data!$A$1:$DZU$1000000,1143,FALSE)</f>
        <v>#N/A</v>
      </c>
      <c r="D68" s="1" t="e">
        <f>VLOOKUP(A1,Data!$A$1:$DZU$1000000,1144,FALSE)</f>
        <v>#N/A</v>
      </c>
      <c r="E68" s="1" t="e">
        <f>VLOOKUP(A1,Data!$A$1:$DZU$1000000,1145,FALSE)</f>
        <v>#N/A</v>
      </c>
      <c r="F68" s="1" t="e">
        <f>VLOOKUP(A1,Data!$A$1:$DZU$1000000,1146,FALSE)</f>
        <v>#N/A</v>
      </c>
      <c r="G68" s="1" t="e">
        <f>VLOOKUP(A1,Data!$A$1:$DZU$1000000,1147,FALSE)</f>
        <v>#N/A</v>
      </c>
      <c r="H68" s="1" t="e">
        <f>VLOOKUP(A1,Data!$A$1:$DZU$1000000,1148,FALSE)</f>
        <v>#N/A</v>
      </c>
      <c r="I68" s="1" t="e">
        <f>VLOOKUP(A1,Data!$A$1:$DZU$1000000,1149,FALSE)</f>
        <v>#N/A</v>
      </c>
      <c r="J68" s="1" t="e">
        <f>VLOOKUP(A1,Data!$A$1:$DZU$1000000,1150,FALSE)</f>
        <v>#N/A</v>
      </c>
      <c r="K68" s="1" t="e">
        <f>VLOOKUP(A1,Data!$A$1:$DZU$1000000,1151,FALSE)</f>
        <v>#N/A</v>
      </c>
      <c r="L68" s="1" t="e">
        <f>VLOOKUP(A1,Data!$A$1:$DZU$1000000,1152,FALSE)</f>
        <v>#N/A</v>
      </c>
      <c r="M68" s="1" t="e">
        <f>VLOOKUP(A1,Data!$A$1:$DZU$1000000,1153,FALSE)</f>
        <v>#N/A</v>
      </c>
      <c r="N68" s="1" t="e">
        <f>VLOOKUP(A1,Data!$A$1:$DZU$1000000,1154,FALSE)</f>
        <v>#N/A</v>
      </c>
      <c r="O68" s="1" t="e">
        <f>VLOOKUP(A1,Data!$A$1:$DZU$1000000,1155,FALSE)</f>
        <v>#N/A</v>
      </c>
      <c r="P68" s="1" t="e">
        <f>VLOOKUP(A1,Data!$A$1:$DZU$1000000,1156,FALSE)</f>
        <v>#N/A</v>
      </c>
      <c r="Q68" s="1" t="e">
        <f>VLOOKUP(A1,Data!$A$1:$DZU$1000000,1157,FALSE)</f>
        <v>#N/A</v>
      </c>
    </row>
    <row r="69" spans="1:17" x14ac:dyDescent="0.35">
      <c r="A69" s="1" t="e">
        <f>VLOOKUP(A1,Data!$A$1:$DZU$1000000,1158,FALSE)</f>
        <v>#N/A</v>
      </c>
      <c r="B69" s="1" t="e">
        <f>VLOOKUP(A1,Data!$A$1:$DZU$1000000,1159,FALSE)</f>
        <v>#N/A</v>
      </c>
      <c r="C69" s="1" t="e">
        <f>VLOOKUP(A1,Data!$A$1:$DZU$1000000,1160,FALSE)</f>
        <v>#N/A</v>
      </c>
      <c r="D69" s="1" t="e">
        <f>VLOOKUP(A1,Data!$A$1:$DZU$1000000,1161,FALSE)</f>
        <v>#N/A</v>
      </c>
      <c r="E69" s="1" t="e">
        <f>VLOOKUP(A1,Data!$A$1:$DZU$1000000,1162,FALSE)</f>
        <v>#N/A</v>
      </c>
      <c r="F69" s="1" t="e">
        <f>VLOOKUP(A1,Data!$A$1:$DZU$1000000,1163,FALSE)</f>
        <v>#N/A</v>
      </c>
      <c r="G69" s="1" t="e">
        <f>VLOOKUP(A1,Data!$A$1:$DZU$1000000,1164,FALSE)</f>
        <v>#N/A</v>
      </c>
      <c r="H69" s="1" t="e">
        <f>VLOOKUP(A1,Data!$A$1:$DZU$1000000,1165,FALSE)</f>
        <v>#N/A</v>
      </c>
      <c r="I69" s="1" t="e">
        <f>VLOOKUP(A1,Data!$A$1:$DZU$1000000,1166,FALSE)</f>
        <v>#N/A</v>
      </c>
      <c r="J69" s="1" t="e">
        <f>VLOOKUP(A1,Data!$A$1:$DZU$1000000,1167,FALSE)</f>
        <v>#N/A</v>
      </c>
      <c r="K69" s="1" t="e">
        <f>VLOOKUP(A1,Data!$A$1:$DZU$1000000,1168,FALSE)</f>
        <v>#N/A</v>
      </c>
      <c r="L69" s="1" t="e">
        <f>VLOOKUP(A1,Data!$A$1:$DZU$1000000,1169,FALSE)</f>
        <v>#N/A</v>
      </c>
      <c r="M69" s="1" t="e">
        <f>VLOOKUP(A1,Data!$A$1:$DZU$1000000,1170,FALSE)</f>
        <v>#N/A</v>
      </c>
      <c r="N69" s="1" t="e">
        <f>VLOOKUP(A1,Data!$A$1:$DZU$1000000,1171,FALSE)</f>
        <v>#N/A</v>
      </c>
      <c r="O69" s="1" t="e">
        <f>VLOOKUP(A1,Data!$A$1:$DZU$1000000,1172,FALSE)</f>
        <v>#N/A</v>
      </c>
      <c r="P69" s="1" t="e">
        <f>VLOOKUP(A1,Data!$A$1:$DZU$1000000,1173,FALSE)</f>
        <v>#N/A</v>
      </c>
      <c r="Q69" s="1" t="e">
        <f>VLOOKUP(A1,Data!$A$1:$DZU$1000000,1174,FALSE)</f>
        <v>#N/A</v>
      </c>
    </row>
    <row r="70" spans="1:17" x14ac:dyDescent="0.35">
      <c r="A70" s="1" t="e">
        <f>VLOOKUP(A1,Data!$A$1:$DZU$1000000,1175,FALSE)</f>
        <v>#N/A</v>
      </c>
      <c r="B70" s="1" t="e">
        <f>VLOOKUP(A1,Data!$A$1:$DZU$1000000,1176,FALSE)</f>
        <v>#N/A</v>
      </c>
      <c r="C70" s="1" t="e">
        <f>VLOOKUP(A1,Data!$A$1:$DZU$1000000,1177,FALSE)</f>
        <v>#N/A</v>
      </c>
      <c r="D70" s="1" t="e">
        <f>VLOOKUP(A1,Data!$A$1:$DZU$1000000,1178,FALSE)</f>
        <v>#N/A</v>
      </c>
      <c r="E70" s="1" t="e">
        <f>VLOOKUP(A1,Data!$A$1:$DZU$1000000,1179,FALSE)</f>
        <v>#N/A</v>
      </c>
      <c r="F70" s="1" t="e">
        <f>VLOOKUP(A1,Data!$A$1:$DZU$1000000,1180,FALSE)</f>
        <v>#N/A</v>
      </c>
      <c r="G70" s="1" t="e">
        <f>VLOOKUP(A1,Data!$A$1:$DZU$1000000,1181,FALSE)</f>
        <v>#N/A</v>
      </c>
      <c r="H70" s="1" t="e">
        <f>VLOOKUP(A1,Data!$A$1:$DZU$1000000,1182,FALSE)</f>
        <v>#N/A</v>
      </c>
      <c r="I70" s="1" t="e">
        <f>VLOOKUP(A1,Data!$A$1:$DZU$1000000,1183,FALSE)</f>
        <v>#N/A</v>
      </c>
      <c r="J70" s="1" t="e">
        <f>VLOOKUP(A1,Data!$A$1:$DZU$1000000,1184,FALSE)</f>
        <v>#N/A</v>
      </c>
      <c r="K70" s="1" t="e">
        <f>VLOOKUP(A1,Data!$A$1:$DZU$1000000,1185,FALSE)</f>
        <v>#N/A</v>
      </c>
      <c r="L70" s="1" t="e">
        <f>VLOOKUP(A1,Data!$A$1:$DZU$1000000,1186,FALSE)</f>
        <v>#N/A</v>
      </c>
      <c r="M70" s="1" t="e">
        <f>VLOOKUP(A1,Data!$A$1:$DZU$1000000,1187,FALSE)</f>
        <v>#N/A</v>
      </c>
      <c r="N70" s="1" t="e">
        <f>VLOOKUP(A1,Data!$A$1:$DZU$1000000,1188,FALSE)</f>
        <v>#N/A</v>
      </c>
      <c r="O70" s="1" t="e">
        <f>VLOOKUP(A1,Data!$A$1:$DZU$1000000,1189,FALSE)</f>
        <v>#N/A</v>
      </c>
      <c r="P70" s="1" t="e">
        <f>VLOOKUP(A1,Data!$A$1:$DZU$1000000,1190,FALSE)</f>
        <v>#N/A</v>
      </c>
      <c r="Q70" s="1" t="e">
        <f>VLOOKUP(A1,Data!$A$1:$DZU$1000000,1191,FALSE)</f>
        <v>#N/A</v>
      </c>
    </row>
    <row r="71" spans="1:17" x14ac:dyDescent="0.35">
      <c r="A71" s="1" t="e">
        <f>VLOOKUP(A1,Data!$A$1:$DZU$1000000,1192,FALSE)</f>
        <v>#N/A</v>
      </c>
      <c r="B71" s="1" t="e">
        <f>VLOOKUP(A1,Data!$A$1:$DZU$1000000,1193,FALSE)</f>
        <v>#N/A</v>
      </c>
      <c r="C71" s="1" t="e">
        <f>VLOOKUP(A1,Data!$A$1:$DZU$1000000,1194,FALSE)</f>
        <v>#N/A</v>
      </c>
      <c r="D71" s="1" t="e">
        <f>VLOOKUP(A1,Data!$A$1:$DZU$1000000,1195,FALSE)</f>
        <v>#N/A</v>
      </c>
      <c r="E71" s="1" t="e">
        <f>VLOOKUP(A1,Data!$A$1:$DZU$1000000,1196,FALSE)</f>
        <v>#N/A</v>
      </c>
      <c r="F71" s="1" t="e">
        <f>VLOOKUP(A1,Data!$A$1:$DZU$1000000,1197,FALSE)</f>
        <v>#N/A</v>
      </c>
      <c r="G71" s="1" t="e">
        <f>VLOOKUP(A1,Data!$A$1:$DZU$1000000,1198,FALSE)</f>
        <v>#N/A</v>
      </c>
      <c r="H71" s="1" t="e">
        <f>VLOOKUP(A1,Data!$A$1:$DZU$1000000,1199,FALSE)</f>
        <v>#N/A</v>
      </c>
      <c r="I71" s="1" t="e">
        <f>VLOOKUP(A1,Data!$A$1:$DZU$1000000,1200,FALSE)</f>
        <v>#N/A</v>
      </c>
      <c r="J71" s="1" t="e">
        <f>VLOOKUP(A1,Data!$A$1:$DZU$1000000,1201,FALSE)</f>
        <v>#N/A</v>
      </c>
      <c r="K71" s="1" t="e">
        <f>VLOOKUP(A1,Data!$A$1:$DZU$1000000,1202,FALSE)</f>
        <v>#N/A</v>
      </c>
      <c r="L71" s="1" t="e">
        <f>VLOOKUP(A1,Data!$A$1:$DZU$1000000,1203,FALSE)</f>
        <v>#N/A</v>
      </c>
      <c r="M71" s="1" t="e">
        <f>VLOOKUP(A1,Data!$A$1:$DZU$1000000,1204,FALSE)</f>
        <v>#N/A</v>
      </c>
      <c r="N71" s="1" t="e">
        <f>VLOOKUP(A1,Data!$A$1:$DZU$1000000,1205,FALSE)</f>
        <v>#N/A</v>
      </c>
      <c r="O71" s="1" t="e">
        <f>VLOOKUP(A1,Data!$A$1:$DZU$1000000,1206,FALSE)</f>
        <v>#N/A</v>
      </c>
      <c r="P71" s="1" t="e">
        <f>VLOOKUP(A1,Data!$A$1:$DZU$1000000,1207,FALSE)</f>
        <v>#N/A</v>
      </c>
      <c r="Q71" s="1" t="e">
        <f>VLOOKUP(A1,Data!$A$1:$DZU$1000000,1208,FALSE)</f>
        <v>#N/A</v>
      </c>
    </row>
    <row r="72" spans="1:17" x14ac:dyDescent="0.35">
      <c r="A72" s="1" t="e">
        <f>VLOOKUP(A1,Data!$A$1:$DZU$1000000,1209,FALSE)</f>
        <v>#N/A</v>
      </c>
      <c r="B72" s="1" t="e">
        <f>VLOOKUP(A1,Data!$A$1:$DZU$1000000,1210,FALSE)</f>
        <v>#N/A</v>
      </c>
      <c r="C72" s="1" t="e">
        <f>VLOOKUP(A1,Data!$A$1:$DZU$1000000,1211,FALSE)</f>
        <v>#N/A</v>
      </c>
      <c r="D72" s="1" t="e">
        <f>VLOOKUP(A1,Data!$A$1:$DZU$1000000,1212,FALSE)</f>
        <v>#N/A</v>
      </c>
      <c r="E72" s="1" t="e">
        <f>VLOOKUP(A1,Data!$A$1:$DZU$1000000,1213,FALSE)</f>
        <v>#N/A</v>
      </c>
      <c r="F72" s="1" t="e">
        <f>VLOOKUP(A1,Data!$A$1:$DZU$1000000,1214,FALSE)</f>
        <v>#N/A</v>
      </c>
      <c r="G72" s="1" t="e">
        <f>VLOOKUP(A1,Data!$A$1:$DZU$1000000,1215,FALSE)</f>
        <v>#N/A</v>
      </c>
      <c r="H72" s="1" t="e">
        <f>VLOOKUP(A1,Data!$A$1:$DZU$1000000,1216,FALSE)</f>
        <v>#N/A</v>
      </c>
      <c r="I72" s="1" t="e">
        <f>VLOOKUP(A1,Data!$A$1:$DZU$1000000,1217,FALSE)</f>
        <v>#N/A</v>
      </c>
      <c r="J72" s="1" t="e">
        <f>VLOOKUP(A1,Data!$A$1:$DZU$1000000,1218,FALSE)</f>
        <v>#N/A</v>
      </c>
      <c r="K72" s="1" t="e">
        <f>VLOOKUP(A1,Data!$A$1:$DZU$1000000,1219,FALSE)</f>
        <v>#N/A</v>
      </c>
      <c r="L72" s="1" t="e">
        <f>VLOOKUP(A1,Data!$A$1:$DZU$1000000,1220,FALSE)</f>
        <v>#N/A</v>
      </c>
      <c r="M72" s="1" t="e">
        <f>VLOOKUP(A1,Data!$A$1:$DZU$1000000,1221,FALSE)</f>
        <v>#N/A</v>
      </c>
      <c r="N72" s="1" t="e">
        <f>VLOOKUP(A1,Data!$A$1:$DZU$1000000,1222,FALSE)</f>
        <v>#N/A</v>
      </c>
      <c r="O72" s="1" t="e">
        <f>VLOOKUP(A1,Data!$A$1:$DZU$1000000,1223,FALSE)</f>
        <v>#N/A</v>
      </c>
      <c r="P72" s="1" t="e">
        <f>VLOOKUP(A1,Data!$A$1:$DZU$1000000,1224,FALSE)</f>
        <v>#N/A</v>
      </c>
      <c r="Q72" s="1" t="e">
        <f>VLOOKUP(A1,Data!$A$1:$DZU$1000000,1225,FALSE)</f>
        <v>#N/A</v>
      </c>
    </row>
    <row r="73" spans="1:17" x14ac:dyDescent="0.35">
      <c r="A73" s="1" t="e">
        <f>VLOOKUP(A1,Data!$A$1:$DZU$1000000,1226,FALSE)</f>
        <v>#N/A</v>
      </c>
      <c r="B73" s="1" t="e">
        <f>VLOOKUP(A1,Data!$A$1:$DZU$1000000,1227,FALSE)</f>
        <v>#N/A</v>
      </c>
      <c r="C73" s="1" t="e">
        <f>VLOOKUP(A1,Data!$A$1:$DZU$1000000,1228,FALSE)</f>
        <v>#N/A</v>
      </c>
      <c r="D73" s="1" t="e">
        <f>VLOOKUP(A1,Data!$A$1:$DZU$1000000,1229,FALSE)</f>
        <v>#N/A</v>
      </c>
      <c r="E73" s="1" t="e">
        <f>VLOOKUP(A1,Data!$A$1:$DZU$1000000,1230,FALSE)</f>
        <v>#N/A</v>
      </c>
      <c r="F73" s="1" t="e">
        <f>VLOOKUP(A1,Data!$A$1:$DZU$1000000,1231,FALSE)</f>
        <v>#N/A</v>
      </c>
      <c r="G73" s="1" t="e">
        <f>VLOOKUP(A1,Data!$A$1:$DZU$1000000,1232,FALSE)</f>
        <v>#N/A</v>
      </c>
      <c r="H73" s="1" t="e">
        <f>VLOOKUP(A1,Data!$A$1:$DZU$1000000,1233,FALSE)</f>
        <v>#N/A</v>
      </c>
      <c r="I73" s="1" t="e">
        <f>VLOOKUP(A1,Data!$A$1:$DZU$1000000,1234,FALSE)</f>
        <v>#N/A</v>
      </c>
      <c r="J73" s="1" t="e">
        <f>VLOOKUP(A1,Data!$A$1:$DZU$1000000,1235,FALSE)</f>
        <v>#N/A</v>
      </c>
      <c r="K73" s="1" t="e">
        <f>VLOOKUP(A1,Data!$A$1:$DZU$1000000,1236,FALSE)</f>
        <v>#N/A</v>
      </c>
      <c r="L73" s="1" t="e">
        <f>VLOOKUP(A1,Data!$A$1:$DZU$1000000,1237,FALSE)</f>
        <v>#N/A</v>
      </c>
      <c r="M73" s="1" t="e">
        <f>VLOOKUP(A1,Data!$A$1:$DZU$1000000,1238,FALSE)</f>
        <v>#N/A</v>
      </c>
      <c r="N73" s="1" t="e">
        <f>VLOOKUP(A1,Data!$A$1:$DZU$1000000,1239,FALSE)</f>
        <v>#N/A</v>
      </c>
      <c r="O73" s="1" t="e">
        <f>VLOOKUP(A1,Data!$A$1:$DZU$1000000,1240,FALSE)</f>
        <v>#N/A</v>
      </c>
      <c r="P73" s="1" t="e">
        <f>VLOOKUP(A1,Data!$A$1:$DZU$1000000,1241,FALSE)</f>
        <v>#N/A</v>
      </c>
      <c r="Q73" s="1" t="e">
        <f>VLOOKUP(A1,Data!$A$1:$DZU$1000000,1242,FALSE)</f>
        <v>#N/A</v>
      </c>
    </row>
    <row r="74" spans="1:17" x14ac:dyDescent="0.35">
      <c r="A74" s="1" t="e">
        <f>VLOOKUP(A1,Data!$A$1:$DZU$1000000,1243,FALSE)</f>
        <v>#N/A</v>
      </c>
      <c r="B74" s="1" t="e">
        <f>VLOOKUP(A1,Data!$A$1:$DZU$1000000,1244,FALSE)</f>
        <v>#N/A</v>
      </c>
      <c r="C74" s="1" t="e">
        <f>VLOOKUP(A1,Data!$A$1:$DZU$1000000,1245,FALSE)</f>
        <v>#N/A</v>
      </c>
      <c r="D74" s="1" t="e">
        <f>VLOOKUP(A1,Data!$A$1:$DZU$1000000,1246,FALSE)</f>
        <v>#N/A</v>
      </c>
      <c r="E74" s="1" t="e">
        <f>VLOOKUP(A1,Data!$A$1:$DZU$1000000,1247,FALSE)</f>
        <v>#N/A</v>
      </c>
      <c r="F74" s="1" t="e">
        <f>VLOOKUP(A1,Data!$A$1:$DZU$1000000,1248,FALSE)</f>
        <v>#N/A</v>
      </c>
      <c r="G74" s="1" t="e">
        <f>VLOOKUP(A1,Data!$A$1:$DZU$1000000,1249,FALSE)</f>
        <v>#N/A</v>
      </c>
      <c r="H74" s="1" t="e">
        <f>VLOOKUP(A1,Data!$A$1:$DZU$1000000,1250,FALSE)</f>
        <v>#N/A</v>
      </c>
      <c r="I74" s="1" t="e">
        <f>VLOOKUP(A1,Data!$A$1:$DZU$1000000,1251,FALSE)</f>
        <v>#N/A</v>
      </c>
      <c r="J74" s="1" t="e">
        <f>VLOOKUP(A1,Data!$A$1:$DZU$1000000,1252,FALSE)</f>
        <v>#N/A</v>
      </c>
      <c r="K74" s="1" t="e">
        <f>VLOOKUP(A1,Data!$A$1:$DZU$1000000,1253,FALSE)</f>
        <v>#N/A</v>
      </c>
      <c r="L74" s="1" t="e">
        <f>VLOOKUP(A1,Data!$A$1:$DZU$1000000,1254,FALSE)</f>
        <v>#N/A</v>
      </c>
      <c r="M74" s="1" t="e">
        <f>VLOOKUP(A1,Data!$A$1:$DZU$1000000,1255,FALSE)</f>
        <v>#N/A</v>
      </c>
      <c r="N74" s="1" t="e">
        <f>VLOOKUP(A1,Data!$A$1:$DZU$1000000,1256,FALSE)</f>
        <v>#N/A</v>
      </c>
      <c r="O74" s="1" t="e">
        <f>VLOOKUP(A1,Data!$A$1:$DZU$1000000,1257,FALSE)</f>
        <v>#N/A</v>
      </c>
      <c r="P74" s="1" t="e">
        <f>VLOOKUP(A1,Data!$A$1:$DZU$1000000,1258,FALSE)</f>
        <v>#N/A</v>
      </c>
      <c r="Q74" s="1" t="e">
        <f>VLOOKUP(A1,Data!$A$1:$DZU$1000000,1259,FALSE)</f>
        <v>#N/A</v>
      </c>
    </row>
    <row r="75" spans="1:17" x14ac:dyDescent="0.35">
      <c r="A75" s="1" t="e">
        <f>VLOOKUP(A1,Data!$A$1:$DZU$1000000,1260,FALSE)</f>
        <v>#N/A</v>
      </c>
      <c r="B75" s="1" t="e">
        <f>VLOOKUP(A1,Data!$A$1:$DZU$1000000,1261,FALSE)</f>
        <v>#N/A</v>
      </c>
      <c r="C75" s="1" t="e">
        <f>VLOOKUP(A1,Data!$A$1:$DZU$1000000,1262,FALSE)</f>
        <v>#N/A</v>
      </c>
      <c r="D75" s="1" t="e">
        <f>VLOOKUP(A1,Data!$A$1:$DZU$1000000,1263,FALSE)</f>
        <v>#N/A</v>
      </c>
      <c r="E75" s="1" t="e">
        <f>VLOOKUP(A1,Data!$A$1:$DZU$1000000,1264,FALSE)</f>
        <v>#N/A</v>
      </c>
      <c r="F75" s="1" t="e">
        <f>VLOOKUP(A1,Data!$A$1:$DZU$1000000,1265,FALSE)</f>
        <v>#N/A</v>
      </c>
      <c r="G75" s="1" t="e">
        <f>VLOOKUP(A1,Data!$A$1:$DZU$1000000,1266,FALSE)</f>
        <v>#N/A</v>
      </c>
      <c r="H75" s="1" t="e">
        <f>VLOOKUP(A1,Data!$A$1:$DZU$1000000,1267,FALSE)</f>
        <v>#N/A</v>
      </c>
      <c r="I75" s="1" t="e">
        <f>VLOOKUP(A1,Data!$A$1:$DZU$1000000,1268,FALSE)</f>
        <v>#N/A</v>
      </c>
      <c r="J75" s="1" t="e">
        <f>VLOOKUP(A1,Data!$A$1:$DZU$1000000,1269,FALSE)</f>
        <v>#N/A</v>
      </c>
      <c r="K75" s="1" t="e">
        <f>VLOOKUP(A1,Data!$A$1:$DZU$1000000,1270,FALSE)</f>
        <v>#N/A</v>
      </c>
      <c r="L75" s="1" t="e">
        <f>VLOOKUP(A1,Data!$A$1:$DZU$1000000,1271,FALSE)</f>
        <v>#N/A</v>
      </c>
      <c r="M75" s="1" t="e">
        <f>VLOOKUP(A1,Data!$A$1:$DZU$1000000,1272,FALSE)</f>
        <v>#N/A</v>
      </c>
      <c r="N75" s="1" t="e">
        <f>VLOOKUP(A1,Data!$A$1:$DZU$1000000,1273,FALSE)</f>
        <v>#N/A</v>
      </c>
      <c r="O75" s="1" t="e">
        <f>VLOOKUP(A1,Data!$A$1:$DZU$1000000,1274,FALSE)</f>
        <v>#N/A</v>
      </c>
      <c r="P75" s="1" t="e">
        <f>VLOOKUP(A1,Data!$A$1:$DZU$1000000,1275,FALSE)</f>
        <v>#N/A</v>
      </c>
      <c r="Q75" s="1" t="e">
        <f>VLOOKUP(A1,Data!$A$1:$DZU$1000000,1276,FALSE)</f>
        <v>#N/A</v>
      </c>
    </row>
    <row r="76" spans="1:17" x14ac:dyDescent="0.35">
      <c r="A76" s="1" t="e">
        <f>VLOOKUP(A1,Data!$A$1:$DZU$1000000,1277,FALSE)</f>
        <v>#N/A</v>
      </c>
      <c r="B76" s="1" t="e">
        <f>VLOOKUP(A1,Data!$A$1:$DZU$1000000,1278,FALSE)</f>
        <v>#N/A</v>
      </c>
      <c r="C76" s="1" t="e">
        <f>VLOOKUP(A1,Data!$A$1:$DZU$1000000,1279,FALSE)</f>
        <v>#N/A</v>
      </c>
      <c r="D76" s="1" t="e">
        <f>VLOOKUP(A1,Data!$A$1:$DZU$1000000,1280,FALSE)</f>
        <v>#N/A</v>
      </c>
      <c r="E76" s="1" t="e">
        <f>VLOOKUP(A1,Data!$A$1:$DZU$1000000,1281,FALSE)</f>
        <v>#N/A</v>
      </c>
      <c r="F76" s="1" t="e">
        <f>VLOOKUP(A1,Data!$A$1:$DZU$1000000,1282,FALSE)</f>
        <v>#N/A</v>
      </c>
      <c r="G76" s="1" t="e">
        <f>VLOOKUP(A1,Data!$A$1:$DZU$1000000,1283,FALSE)</f>
        <v>#N/A</v>
      </c>
      <c r="H76" s="1" t="e">
        <f>VLOOKUP(A1,Data!$A$1:$DZU$1000000,1284,FALSE)</f>
        <v>#N/A</v>
      </c>
      <c r="I76" s="1" t="e">
        <f>VLOOKUP(A1,Data!$A$1:$DZU$1000000,1285,FALSE)</f>
        <v>#N/A</v>
      </c>
      <c r="J76" s="1" t="e">
        <f>VLOOKUP(A1,Data!$A$1:$DZU$1000000,1286,FALSE)</f>
        <v>#N/A</v>
      </c>
      <c r="K76" s="1" t="e">
        <f>VLOOKUP(A1,Data!$A$1:$DZU$1000000,1287,FALSE)</f>
        <v>#N/A</v>
      </c>
      <c r="L76" s="1" t="e">
        <f>VLOOKUP(A1,Data!$A$1:$DZU$1000000,1288,FALSE)</f>
        <v>#N/A</v>
      </c>
      <c r="M76" s="1" t="e">
        <f>VLOOKUP(A1,Data!$A$1:$DZU$1000000,1289,FALSE)</f>
        <v>#N/A</v>
      </c>
      <c r="N76" s="1" t="e">
        <f>VLOOKUP(A1,Data!$A$1:$DZU$1000000,1290,FALSE)</f>
        <v>#N/A</v>
      </c>
      <c r="O76" s="1" t="e">
        <f>VLOOKUP(A1,Data!$A$1:$DZU$1000000,1291,FALSE)</f>
        <v>#N/A</v>
      </c>
      <c r="P76" s="1" t="e">
        <f>VLOOKUP(A1,Data!$A$1:$DZU$1000000,1292,FALSE)</f>
        <v>#N/A</v>
      </c>
      <c r="Q76" s="1" t="e">
        <f>VLOOKUP(A1,Data!$A$1:$DZU$1000000,1293,FALSE)</f>
        <v>#N/A</v>
      </c>
    </row>
    <row r="77" spans="1:17" x14ac:dyDescent="0.35">
      <c r="A77" s="1" t="e">
        <f>VLOOKUP(A1,Data!$A$1:$DZU$1000000,1294,FALSE)</f>
        <v>#N/A</v>
      </c>
      <c r="B77" s="1" t="e">
        <f>VLOOKUP(A1,Data!$A$1:$DZU$1000000,1295,FALSE)</f>
        <v>#N/A</v>
      </c>
      <c r="C77" s="1" t="e">
        <f>VLOOKUP(A1,Data!$A$1:$DZU$1000000,1296,FALSE)</f>
        <v>#N/A</v>
      </c>
      <c r="D77" s="1" t="e">
        <f>VLOOKUP(A1,Data!$A$1:$DZU$1000000,1297,FALSE)</f>
        <v>#N/A</v>
      </c>
      <c r="E77" s="1" t="e">
        <f>VLOOKUP(A1,Data!$A$1:$DZU$1000000,1298,FALSE)</f>
        <v>#N/A</v>
      </c>
      <c r="F77" s="1" t="e">
        <f>VLOOKUP(A1,Data!$A$1:$DZU$1000000,1299,FALSE)</f>
        <v>#N/A</v>
      </c>
      <c r="G77" s="1" t="e">
        <f>VLOOKUP(A1,Data!$A$1:$DZU$1000000,1300,FALSE)</f>
        <v>#N/A</v>
      </c>
      <c r="H77" s="1" t="e">
        <f>VLOOKUP(A1,Data!$A$1:$DZU$1000000,1301,FALSE)</f>
        <v>#N/A</v>
      </c>
      <c r="I77" s="1" t="e">
        <f>VLOOKUP(A1,Data!$A$1:$DZU$1000000,1302,FALSE)</f>
        <v>#N/A</v>
      </c>
      <c r="J77" s="1" t="e">
        <f>VLOOKUP(A1,Data!$A$1:$DZU$1000000,1303,FALSE)</f>
        <v>#N/A</v>
      </c>
      <c r="K77" s="1" t="e">
        <f>VLOOKUP(A1,Data!$A$1:$DZU$1000000,1304,FALSE)</f>
        <v>#N/A</v>
      </c>
      <c r="L77" s="1" t="e">
        <f>VLOOKUP(A1,Data!$A$1:$DZU$1000000,1305,FALSE)</f>
        <v>#N/A</v>
      </c>
      <c r="M77" s="1" t="e">
        <f>VLOOKUP(A1,Data!$A$1:$DZU$1000000,1306,FALSE)</f>
        <v>#N/A</v>
      </c>
      <c r="N77" s="1" t="e">
        <f>VLOOKUP(A1,Data!$A$1:$DZU$1000000,1307,FALSE)</f>
        <v>#N/A</v>
      </c>
      <c r="O77" s="1" t="e">
        <f>VLOOKUP(A1,Data!$A$1:$DZU$1000000,1308,FALSE)</f>
        <v>#N/A</v>
      </c>
      <c r="P77" s="1" t="e">
        <f>VLOOKUP(A1,Data!$A$1:$DZU$1000000,1309,FALSE)</f>
        <v>#N/A</v>
      </c>
      <c r="Q77" s="1" t="e">
        <f>VLOOKUP(A1,Data!$A$1:$DZU$1000000,1310,FALSE)</f>
        <v>#N/A</v>
      </c>
    </row>
    <row r="78" spans="1:17" x14ac:dyDescent="0.35">
      <c r="A78" s="1" t="e">
        <f>VLOOKUP(A1,Data!$A$1:$DZU$1000000,1311,FALSE)</f>
        <v>#N/A</v>
      </c>
      <c r="B78" s="1" t="e">
        <f>VLOOKUP(A1,Data!$A$1:$DZU$1000000,1312,FALSE)</f>
        <v>#N/A</v>
      </c>
      <c r="C78" s="1" t="e">
        <f>VLOOKUP(A1,Data!$A$1:$DZU$1000000,1313,FALSE)</f>
        <v>#N/A</v>
      </c>
      <c r="D78" s="1" t="e">
        <f>VLOOKUP(A1,Data!$A$1:$DZU$1000000,1314,FALSE)</f>
        <v>#N/A</v>
      </c>
      <c r="E78" s="1" t="e">
        <f>VLOOKUP(A1,Data!$A$1:$DZU$1000000,1315,FALSE)</f>
        <v>#N/A</v>
      </c>
      <c r="F78" s="1" t="e">
        <f>VLOOKUP(A1,Data!$A$1:$DZU$1000000,1316,FALSE)</f>
        <v>#N/A</v>
      </c>
      <c r="G78" s="1" t="e">
        <f>VLOOKUP(A1,Data!$A$1:$DZU$1000000,1317,FALSE)</f>
        <v>#N/A</v>
      </c>
      <c r="H78" s="1" t="e">
        <f>VLOOKUP(A1,Data!$A$1:$DZU$1000000,1318,FALSE)</f>
        <v>#N/A</v>
      </c>
      <c r="I78" s="1" t="e">
        <f>VLOOKUP(A1,Data!$A$1:$DZU$1000000,1319,FALSE)</f>
        <v>#N/A</v>
      </c>
      <c r="J78" s="1" t="e">
        <f>VLOOKUP(A1,Data!$A$1:$DZU$1000000,1320,FALSE)</f>
        <v>#N/A</v>
      </c>
      <c r="K78" s="1" t="e">
        <f>VLOOKUP(A1,Data!$A$1:$DZU$1000000,1321,FALSE)</f>
        <v>#N/A</v>
      </c>
      <c r="L78" s="1" t="e">
        <f>VLOOKUP(A1,Data!$A$1:$DZU$1000000,1322,FALSE)</f>
        <v>#N/A</v>
      </c>
      <c r="M78" s="1" t="e">
        <f>VLOOKUP(A1,Data!$A$1:$DZU$1000000,1323,FALSE)</f>
        <v>#N/A</v>
      </c>
      <c r="N78" s="1" t="e">
        <f>VLOOKUP(A1,Data!$A$1:$DZU$1000000,1324,FALSE)</f>
        <v>#N/A</v>
      </c>
      <c r="O78" s="1" t="e">
        <f>VLOOKUP(A1,Data!$A$1:$DZU$1000000,1325,FALSE)</f>
        <v>#N/A</v>
      </c>
      <c r="P78" s="1" t="e">
        <f>VLOOKUP(A1,Data!$A$1:$DZU$1000000,1326,FALSE)</f>
        <v>#N/A</v>
      </c>
      <c r="Q78" s="1" t="e">
        <f>VLOOKUP(A1,Data!$A$1:$DZU$1000000,1327,FALSE)</f>
        <v>#N/A</v>
      </c>
    </row>
    <row r="79" spans="1:17" x14ac:dyDescent="0.35">
      <c r="A79" s="1" t="e">
        <f>VLOOKUP(A1,Data!$A$1:$DZU$1000000,1328,FALSE)</f>
        <v>#N/A</v>
      </c>
      <c r="B79" s="1" t="e">
        <f>VLOOKUP(A1,Data!$A$1:$DZU$1000000,1329,FALSE)</f>
        <v>#N/A</v>
      </c>
      <c r="C79" s="1" t="e">
        <f>VLOOKUP(A1,Data!$A$1:$DZU$1000000,1330,FALSE)</f>
        <v>#N/A</v>
      </c>
      <c r="D79" s="1" t="e">
        <f>VLOOKUP(A1,Data!$A$1:$DZU$1000000,1331,FALSE)</f>
        <v>#N/A</v>
      </c>
      <c r="E79" s="1" t="e">
        <f>VLOOKUP(A1,Data!$A$1:$DZU$1000000,1332,FALSE)</f>
        <v>#N/A</v>
      </c>
      <c r="F79" s="1" t="e">
        <f>VLOOKUP(A1,Data!$A$1:$DZU$1000000,1333,FALSE)</f>
        <v>#N/A</v>
      </c>
      <c r="G79" s="1" t="e">
        <f>VLOOKUP(A1,Data!$A$1:$DZU$1000000,1334,FALSE)</f>
        <v>#N/A</v>
      </c>
      <c r="H79" s="1" t="e">
        <f>VLOOKUP(A1,Data!$A$1:$DZU$1000000,1335,FALSE)</f>
        <v>#N/A</v>
      </c>
      <c r="I79" s="1" t="e">
        <f>VLOOKUP(A1,Data!$A$1:$DZU$1000000,1336,FALSE)</f>
        <v>#N/A</v>
      </c>
      <c r="J79" s="1" t="e">
        <f>VLOOKUP(A1,Data!$A$1:$DZU$1000000,1337,FALSE)</f>
        <v>#N/A</v>
      </c>
      <c r="K79" s="1" t="e">
        <f>VLOOKUP(A1,Data!$A$1:$DZU$1000000,1338,FALSE)</f>
        <v>#N/A</v>
      </c>
      <c r="L79" s="1" t="e">
        <f>VLOOKUP(A1,Data!$A$1:$DZU$1000000,1339,FALSE)</f>
        <v>#N/A</v>
      </c>
      <c r="M79" s="1" t="e">
        <f>VLOOKUP(A1,Data!$A$1:$DZU$1000000,1340,FALSE)</f>
        <v>#N/A</v>
      </c>
      <c r="N79" s="1" t="e">
        <f>VLOOKUP(A1,Data!$A$1:$DZU$1000000,1341,FALSE)</f>
        <v>#N/A</v>
      </c>
      <c r="O79" s="1" t="e">
        <f>VLOOKUP(A1,Data!$A$1:$DZU$1000000,1342,FALSE)</f>
        <v>#N/A</v>
      </c>
      <c r="P79" s="1" t="e">
        <f>VLOOKUP(A1,Data!$A$1:$DZU$1000000,1343,FALSE)</f>
        <v>#N/A</v>
      </c>
      <c r="Q79" s="1" t="e">
        <f>VLOOKUP(A1,Data!$A$1:$DZU$1000000,1344,FALSE)</f>
        <v>#N/A</v>
      </c>
    </row>
    <row r="80" spans="1:17" x14ac:dyDescent="0.35">
      <c r="A80" s="1" t="e">
        <f>VLOOKUP(A1,Data!$A$1:$DZU$1000000,1345,FALSE)</f>
        <v>#N/A</v>
      </c>
      <c r="B80" s="1" t="e">
        <f>VLOOKUP(A1,Data!$A$1:$DZU$1000000,1346,FALSE)</f>
        <v>#N/A</v>
      </c>
      <c r="C80" s="1" t="e">
        <f>VLOOKUP(A1,Data!$A$1:$DZU$1000000,1347,FALSE)</f>
        <v>#N/A</v>
      </c>
      <c r="D80" s="1" t="e">
        <f>VLOOKUP(A1,Data!$A$1:$DZU$1000000,1348,FALSE)</f>
        <v>#N/A</v>
      </c>
      <c r="E80" s="1" t="e">
        <f>VLOOKUP(A1,Data!$A$1:$DZU$1000000,1349,FALSE)</f>
        <v>#N/A</v>
      </c>
      <c r="F80" s="1" t="e">
        <f>VLOOKUP(A1,Data!$A$1:$DZU$1000000,1350,FALSE)</f>
        <v>#N/A</v>
      </c>
      <c r="G80" s="1" t="e">
        <f>VLOOKUP(A1,Data!$A$1:$DZU$1000000,1351,FALSE)</f>
        <v>#N/A</v>
      </c>
      <c r="H80" s="1" t="e">
        <f>VLOOKUP(A1,Data!$A$1:$DZU$1000000,1352,FALSE)</f>
        <v>#N/A</v>
      </c>
      <c r="I80" s="1" t="e">
        <f>VLOOKUP(A1,Data!$A$1:$DZU$1000000,1353,FALSE)</f>
        <v>#N/A</v>
      </c>
      <c r="J80" s="1" t="e">
        <f>VLOOKUP(A1,Data!$A$1:$DZU$1000000,1354,FALSE)</f>
        <v>#N/A</v>
      </c>
      <c r="K80" s="1" t="e">
        <f>VLOOKUP(A1,Data!$A$1:$DZU$1000000,1355,FALSE)</f>
        <v>#N/A</v>
      </c>
      <c r="L80" s="1" t="e">
        <f>VLOOKUP(A1,Data!$A$1:$DZU$1000000,1356,FALSE)</f>
        <v>#N/A</v>
      </c>
      <c r="M80" s="1" t="e">
        <f>VLOOKUP(A1,Data!$A$1:$DZU$1000000,1357,FALSE)</f>
        <v>#N/A</v>
      </c>
      <c r="N80" s="1" t="e">
        <f>VLOOKUP(A1,Data!$A$1:$DZU$1000000,1358,FALSE)</f>
        <v>#N/A</v>
      </c>
      <c r="O80" s="1" t="e">
        <f>VLOOKUP(A1,Data!$A$1:$DZU$1000000,1359,FALSE)</f>
        <v>#N/A</v>
      </c>
      <c r="P80" s="1" t="e">
        <f>VLOOKUP(A1,Data!$A$1:$DZU$1000000,1360,FALSE)</f>
        <v>#N/A</v>
      </c>
      <c r="Q80" s="1" t="e">
        <f>VLOOKUP(A1,Data!$A$1:$DZU$1000000,1361,FALSE)</f>
        <v>#N/A</v>
      </c>
    </row>
    <row r="81" spans="1:17" x14ac:dyDescent="0.35">
      <c r="A81" s="1" t="e">
        <f>VLOOKUP(A1,Data!$A$1:$DZU$1000000,1362,FALSE)</f>
        <v>#N/A</v>
      </c>
      <c r="B81" s="1" t="e">
        <f>VLOOKUP(A1,Data!$A$1:$DZU$1000000,1363,FALSE)</f>
        <v>#N/A</v>
      </c>
      <c r="C81" s="1" t="e">
        <f>VLOOKUP(A1,Data!$A$1:$DZU$1000000,1364,FALSE)</f>
        <v>#N/A</v>
      </c>
      <c r="D81" s="1" t="e">
        <f>VLOOKUP(A1,Data!$A$1:$DZU$1000000,1365,FALSE)</f>
        <v>#N/A</v>
      </c>
      <c r="E81" s="1" t="e">
        <f>VLOOKUP(A1,Data!$A$1:$DZU$1000000,1366,FALSE)</f>
        <v>#N/A</v>
      </c>
      <c r="F81" s="1" t="e">
        <f>VLOOKUP(A1,Data!$A$1:$DZU$1000000,1367,FALSE)</f>
        <v>#N/A</v>
      </c>
      <c r="G81" s="1" t="e">
        <f>VLOOKUP(A1,Data!$A$1:$DZU$1000000,1368,FALSE)</f>
        <v>#N/A</v>
      </c>
      <c r="H81" s="1" t="e">
        <f>VLOOKUP(A1,Data!$A$1:$DZU$1000000,1369,FALSE)</f>
        <v>#N/A</v>
      </c>
      <c r="I81" s="1" t="e">
        <f>VLOOKUP(A1,Data!$A$1:$DZU$1000000,1370,FALSE)</f>
        <v>#N/A</v>
      </c>
      <c r="J81" s="1" t="e">
        <f>VLOOKUP(A1,Data!$A$1:$DZU$1000000,1371,FALSE)</f>
        <v>#N/A</v>
      </c>
      <c r="K81" s="1" t="e">
        <f>VLOOKUP(A1,Data!$A$1:$DZU$1000000,1372,FALSE)</f>
        <v>#N/A</v>
      </c>
      <c r="L81" s="1" t="e">
        <f>VLOOKUP(A1,Data!$A$1:$DZU$1000000,1373,FALSE)</f>
        <v>#N/A</v>
      </c>
      <c r="M81" s="1" t="e">
        <f>VLOOKUP(A1,Data!$A$1:$DZU$1000000,1374,FALSE)</f>
        <v>#N/A</v>
      </c>
      <c r="N81" s="1" t="e">
        <f>VLOOKUP(A1,Data!$A$1:$DZU$1000000,1375,FALSE)</f>
        <v>#N/A</v>
      </c>
      <c r="O81" s="1" t="e">
        <f>VLOOKUP(A1,Data!$A$1:$DZU$1000000,1376,FALSE)</f>
        <v>#N/A</v>
      </c>
      <c r="P81" s="1" t="e">
        <f>VLOOKUP(A1,Data!$A$1:$DZU$1000000,1377,FALSE)</f>
        <v>#N/A</v>
      </c>
      <c r="Q81" s="1" t="e">
        <f>VLOOKUP(A1,Data!$A$1:$DZU$1000000,1378,FALSE)</f>
        <v>#N/A</v>
      </c>
    </row>
    <row r="82" spans="1:17" x14ac:dyDescent="0.35">
      <c r="A82" s="1" t="e">
        <f>VLOOKUP(A1,Data!$A$1:$DZU$1000000,1379,FALSE)</f>
        <v>#N/A</v>
      </c>
      <c r="B82" s="1" t="e">
        <f>VLOOKUP(A1,Data!$A$1:$DZU$1000000,1380,FALSE)</f>
        <v>#N/A</v>
      </c>
      <c r="C82" s="1" t="e">
        <f>VLOOKUP(A1,Data!$A$1:$DZU$1000000,1381,FALSE)</f>
        <v>#N/A</v>
      </c>
      <c r="D82" s="1" t="e">
        <f>VLOOKUP(A1,Data!$A$1:$DZU$1000000,1382,FALSE)</f>
        <v>#N/A</v>
      </c>
      <c r="E82" s="1" t="e">
        <f>VLOOKUP(A1,Data!$A$1:$DZU$1000000,1383,FALSE)</f>
        <v>#N/A</v>
      </c>
      <c r="F82" s="1" t="e">
        <f>VLOOKUP(A1,Data!$A$1:$DZU$1000000,1384,FALSE)</f>
        <v>#N/A</v>
      </c>
      <c r="G82" s="1" t="e">
        <f>VLOOKUP(A1,Data!$A$1:$DZU$1000000,1385,FALSE)</f>
        <v>#N/A</v>
      </c>
      <c r="H82" s="1" t="e">
        <f>VLOOKUP(A1,Data!$A$1:$DZU$1000000,1386,FALSE)</f>
        <v>#N/A</v>
      </c>
      <c r="I82" s="1" t="e">
        <f>VLOOKUP(A1,Data!$A$1:$DZU$1000000,1387,FALSE)</f>
        <v>#N/A</v>
      </c>
      <c r="J82" s="1" t="e">
        <f>VLOOKUP(A1,Data!$A$1:$DZU$1000000,1388,FALSE)</f>
        <v>#N/A</v>
      </c>
      <c r="K82" s="1" t="e">
        <f>VLOOKUP(A1,Data!$A$1:$DZU$1000000,1389,FALSE)</f>
        <v>#N/A</v>
      </c>
      <c r="L82" s="1" t="e">
        <f>VLOOKUP(A1,Data!$A$1:$DZU$1000000,1390,FALSE)</f>
        <v>#N/A</v>
      </c>
      <c r="M82" s="1" t="e">
        <f>VLOOKUP(A1,Data!$A$1:$DZU$1000000,1391,FALSE)</f>
        <v>#N/A</v>
      </c>
      <c r="N82" s="1" t="e">
        <f>VLOOKUP(A1,Data!$A$1:$DZU$1000000,1392,FALSE)</f>
        <v>#N/A</v>
      </c>
      <c r="O82" s="1" t="e">
        <f>VLOOKUP(A1,Data!$A$1:$DZU$1000000,1393,FALSE)</f>
        <v>#N/A</v>
      </c>
      <c r="P82" s="1" t="e">
        <f>VLOOKUP(A1,Data!$A$1:$DZU$1000000,1394,FALSE)</f>
        <v>#N/A</v>
      </c>
      <c r="Q82" s="1" t="e">
        <f>VLOOKUP(A1,Data!$A$1:$DZU$1000000,1395,FALSE)</f>
        <v>#N/A</v>
      </c>
    </row>
    <row r="83" spans="1:17" x14ac:dyDescent="0.35">
      <c r="A83" s="1" t="e">
        <f>VLOOKUP(A1,Data!$A$1:$DZU$1000000,1396,FALSE)</f>
        <v>#N/A</v>
      </c>
      <c r="B83" s="1" t="e">
        <f>VLOOKUP(A1,Data!$A$1:$DZU$1000000,1397,FALSE)</f>
        <v>#N/A</v>
      </c>
      <c r="C83" s="1" t="e">
        <f>VLOOKUP(A1,Data!$A$1:$DZU$1000000,1398,FALSE)</f>
        <v>#N/A</v>
      </c>
      <c r="D83" s="1" t="e">
        <f>VLOOKUP(A1,Data!$A$1:$DZU$1000000,1399,FALSE)</f>
        <v>#N/A</v>
      </c>
      <c r="E83" s="1" t="e">
        <f>VLOOKUP(A1,Data!$A$1:$DZU$1000000,1400,FALSE)</f>
        <v>#N/A</v>
      </c>
      <c r="F83" s="1" t="e">
        <f>VLOOKUP(A1,Data!$A$1:$DZU$1000000,1401,FALSE)</f>
        <v>#N/A</v>
      </c>
      <c r="G83" s="1" t="e">
        <f>VLOOKUP(A1,Data!$A$1:$DZU$1000000,1402,FALSE)</f>
        <v>#N/A</v>
      </c>
      <c r="H83" s="1" t="e">
        <f>VLOOKUP(A1,Data!$A$1:$DZU$1000000,1403,FALSE)</f>
        <v>#N/A</v>
      </c>
      <c r="I83" s="1" t="e">
        <f>VLOOKUP(A1,Data!$A$1:$DZU$1000000,1404,FALSE)</f>
        <v>#N/A</v>
      </c>
      <c r="J83" s="1" t="e">
        <f>VLOOKUP(A1,Data!$A$1:$DZU$1000000,1405,FALSE)</f>
        <v>#N/A</v>
      </c>
      <c r="K83" s="1" t="e">
        <f>VLOOKUP(A1,Data!$A$1:$DZU$1000000,1406,FALSE)</f>
        <v>#N/A</v>
      </c>
      <c r="L83" s="1" t="e">
        <f>VLOOKUP(A1,Data!$A$1:$DZU$1000000,1407,FALSE)</f>
        <v>#N/A</v>
      </c>
      <c r="M83" s="1" t="e">
        <f>VLOOKUP(A1,Data!$A$1:$DZU$1000000,1408,FALSE)</f>
        <v>#N/A</v>
      </c>
      <c r="N83" s="1" t="e">
        <f>VLOOKUP(A1,Data!$A$1:$DZU$1000000,1409,FALSE)</f>
        <v>#N/A</v>
      </c>
      <c r="O83" s="1" t="e">
        <f>VLOOKUP(A1,Data!$A$1:$DZU$1000000,1410,FALSE)</f>
        <v>#N/A</v>
      </c>
      <c r="P83" s="1" t="e">
        <f>VLOOKUP(A1,Data!$A$1:$DZU$1000000,1411,FALSE)</f>
        <v>#N/A</v>
      </c>
      <c r="Q83" s="1" t="e">
        <f>VLOOKUP(A1,Data!$A$1:$DZU$1000000,1412,FALSE)</f>
        <v>#N/A</v>
      </c>
    </row>
    <row r="84" spans="1:17" x14ac:dyDescent="0.35">
      <c r="A84" s="1" t="e">
        <f>VLOOKUP(A1,Data!$A$1:$DZU$1000000,1413,FALSE)</f>
        <v>#N/A</v>
      </c>
      <c r="B84" s="1" t="e">
        <f>VLOOKUP(A1,Data!$A$1:$DZU$1000000,1414,FALSE)</f>
        <v>#N/A</v>
      </c>
      <c r="C84" s="1" t="e">
        <f>VLOOKUP(A1,Data!$A$1:$DZU$1000000,1415,FALSE)</f>
        <v>#N/A</v>
      </c>
      <c r="D84" s="1" t="e">
        <f>VLOOKUP(A1,Data!$A$1:$DZU$1000000,1416,FALSE)</f>
        <v>#N/A</v>
      </c>
      <c r="E84" s="1" t="e">
        <f>VLOOKUP(A1,Data!$A$1:$DZU$1000000,1417,FALSE)</f>
        <v>#N/A</v>
      </c>
      <c r="F84" s="1" t="e">
        <f>VLOOKUP(A1,Data!$A$1:$DZU$1000000,1418,FALSE)</f>
        <v>#N/A</v>
      </c>
      <c r="G84" s="1" t="e">
        <f>VLOOKUP(A1,Data!$A$1:$DZU$1000000,1419,FALSE)</f>
        <v>#N/A</v>
      </c>
      <c r="H84" s="1" t="e">
        <f>VLOOKUP(A1,Data!$A$1:$DZU$1000000,1420,FALSE)</f>
        <v>#N/A</v>
      </c>
      <c r="I84" s="1" t="e">
        <f>VLOOKUP(A1,Data!$A$1:$DZU$1000000,1421,FALSE)</f>
        <v>#N/A</v>
      </c>
      <c r="J84" s="1" t="e">
        <f>VLOOKUP(A1,Data!$A$1:$DZU$1000000,1422,FALSE)</f>
        <v>#N/A</v>
      </c>
      <c r="K84" s="1" t="e">
        <f>VLOOKUP(A1,Data!$A$1:$DZU$1000000,1423,FALSE)</f>
        <v>#N/A</v>
      </c>
      <c r="L84" s="1" t="e">
        <f>VLOOKUP(A1,Data!$A$1:$DZU$1000000,1424,FALSE)</f>
        <v>#N/A</v>
      </c>
      <c r="M84" s="1" t="e">
        <f>VLOOKUP(A1,Data!$A$1:$DZU$1000000,1425,FALSE)</f>
        <v>#N/A</v>
      </c>
      <c r="N84" s="1" t="e">
        <f>VLOOKUP(A1,Data!$A$1:$DZU$1000000,1426,FALSE)</f>
        <v>#N/A</v>
      </c>
      <c r="O84" s="1" t="e">
        <f>VLOOKUP(A1,Data!$A$1:$DZU$1000000,1427,FALSE)</f>
        <v>#N/A</v>
      </c>
      <c r="P84" s="1" t="e">
        <f>VLOOKUP(A1,Data!$A$1:$DZU$1000000,1428,FALSE)</f>
        <v>#N/A</v>
      </c>
      <c r="Q84" s="1" t="e">
        <f>VLOOKUP(A1,Data!$A$1:$DZU$1000000,1429,FALSE)</f>
        <v>#N/A</v>
      </c>
    </row>
    <row r="85" spans="1:17" x14ac:dyDescent="0.35">
      <c r="A85" s="1" t="e">
        <f>VLOOKUP(A1,Data!$A$1:$DZU$1000000,1430,FALSE)</f>
        <v>#N/A</v>
      </c>
      <c r="B85" s="1" t="e">
        <f>VLOOKUP(A1,Data!$A$1:$DZU$1000000,1431,FALSE)</f>
        <v>#N/A</v>
      </c>
      <c r="C85" s="1" t="e">
        <f>VLOOKUP(A1,Data!$A$1:$DZU$1000000,1432,FALSE)</f>
        <v>#N/A</v>
      </c>
      <c r="D85" s="1" t="e">
        <f>VLOOKUP(A1,Data!$A$1:$DZU$1000000,1433,FALSE)</f>
        <v>#N/A</v>
      </c>
      <c r="E85" s="1" t="e">
        <f>VLOOKUP(A1,Data!$A$1:$DZU$1000000,1434,FALSE)</f>
        <v>#N/A</v>
      </c>
      <c r="F85" s="1" t="e">
        <f>VLOOKUP(A1,Data!$A$1:$DZU$1000000,1435,FALSE)</f>
        <v>#N/A</v>
      </c>
      <c r="G85" s="1" t="e">
        <f>VLOOKUP(A1,Data!$A$1:$DZU$1000000,1436,FALSE)</f>
        <v>#N/A</v>
      </c>
      <c r="H85" s="1" t="e">
        <f>VLOOKUP(A1,Data!$A$1:$DZU$1000000,1437,FALSE)</f>
        <v>#N/A</v>
      </c>
      <c r="I85" s="1" t="e">
        <f>VLOOKUP(A1,Data!$A$1:$DZU$1000000,1438,FALSE)</f>
        <v>#N/A</v>
      </c>
      <c r="J85" s="1" t="e">
        <f>VLOOKUP(A1,Data!$A$1:$DZU$1000000,1439,FALSE)</f>
        <v>#N/A</v>
      </c>
      <c r="K85" s="1" t="e">
        <f>VLOOKUP(A1,Data!$A$1:$DZU$1000000,1440,FALSE)</f>
        <v>#N/A</v>
      </c>
      <c r="L85" s="1" t="e">
        <f>VLOOKUP(A1,Data!$A$1:$DZU$1000000,1441,FALSE)</f>
        <v>#N/A</v>
      </c>
      <c r="M85" s="1" t="e">
        <f>VLOOKUP(A1,Data!$A$1:$DZU$1000000,1442,FALSE)</f>
        <v>#N/A</v>
      </c>
      <c r="N85" s="1" t="e">
        <f>VLOOKUP(A1,Data!$A$1:$DZU$1000000,1443,FALSE)</f>
        <v>#N/A</v>
      </c>
      <c r="O85" s="1" t="e">
        <f>VLOOKUP(A1,Data!$A$1:$DZU$1000000,1444,FALSE)</f>
        <v>#N/A</v>
      </c>
      <c r="P85" s="1" t="e">
        <f>VLOOKUP(A1,Data!$A$1:$DZU$1000000,1445,FALSE)</f>
        <v>#N/A</v>
      </c>
      <c r="Q85" s="1" t="e">
        <f>VLOOKUP(A1,Data!$A$1:$DZU$1000000,1446,FALSE)</f>
        <v>#N/A</v>
      </c>
    </row>
    <row r="86" spans="1:17" x14ac:dyDescent="0.35">
      <c r="A86" s="1" t="e">
        <f>VLOOKUP(A1,Data!$A$1:$DZU$1000000,1447,FALSE)</f>
        <v>#N/A</v>
      </c>
      <c r="B86" s="1" t="e">
        <f>VLOOKUP(A1,Data!$A$1:$DZU$1000000,1448,FALSE)</f>
        <v>#N/A</v>
      </c>
      <c r="C86" s="1" t="e">
        <f>VLOOKUP(A1,Data!$A$1:$DZU$1000000,1449,FALSE)</f>
        <v>#N/A</v>
      </c>
      <c r="D86" s="1" t="e">
        <f>VLOOKUP(A1,Data!$A$1:$DZU$1000000,1450,FALSE)</f>
        <v>#N/A</v>
      </c>
      <c r="E86" s="1" t="e">
        <f>VLOOKUP(A1,Data!$A$1:$DZU$1000000,1451,FALSE)</f>
        <v>#N/A</v>
      </c>
      <c r="F86" s="1" t="e">
        <f>VLOOKUP(A1,Data!$A$1:$DZU$1000000,1452,FALSE)</f>
        <v>#N/A</v>
      </c>
      <c r="G86" s="1" t="e">
        <f>VLOOKUP(A1,Data!$A$1:$DZU$1000000,1453,FALSE)</f>
        <v>#N/A</v>
      </c>
      <c r="H86" s="1" t="e">
        <f>VLOOKUP(A1,Data!$A$1:$DZU$1000000,1454,FALSE)</f>
        <v>#N/A</v>
      </c>
      <c r="I86" s="1" t="e">
        <f>VLOOKUP(A1,Data!$A$1:$DZU$1000000,1455,FALSE)</f>
        <v>#N/A</v>
      </c>
      <c r="J86" s="1" t="e">
        <f>VLOOKUP(A1,Data!$A$1:$DZU$1000000,1456,FALSE)</f>
        <v>#N/A</v>
      </c>
      <c r="K86" s="1" t="e">
        <f>VLOOKUP(A1,Data!$A$1:$DZU$1000000,1457,FALSE)</f>
        <v>#N/A</v>
      </c>
      <c r="L86" s="1" t="e">
        <f>VLOOKUP(A1,Data!$A$1:$DZU$1000000,1458,FALSE)</f>
        <v>#N/A</v>
      </c>
      <c r="M86" s="1" t="e">
        <f>VLOOKUP(A1,Data!$A$1:$DZU$1000000,1459,FALSE)</f>
        <v>#N/A</v>
      </c>
      <c r="N86" s="1" t="e">
        <f>VLOOKUP(A1,Data!$A$1:$DZU$1000000,1460,FALSE)</f>
        <v>#N/A</v>
      </c>
      <c r="O86" s="1" t="e">
        <f>VLOOKUP(A1,Data!$A$1:$DZU$1000000,1461,FALSE)</f>
        <v>#N/A</v>
      </c>
      <c r="P86" s="1" t="e">
        <f>VLOOKUP(A1,Data!$A$1:$DZU$1000000,1462,FALSE)</f>
        <v>#N/A</v>
      </c>
      <c r="Q86" s="1" t="e">
        <f>VLOOKUP(A1,Data!$A$1:$DZU$1000000,1463,FALSE)</f>
        <v>#N/A</v>
      </c>
    </row>
    <row r="87" spans="1:17" x14ac:dyDescent="0.35">
      <c r="A87" s="1" t="e">
        <f>VLOOKUP(A1,Data!$A$1:$DZU$1000000,1464,FALSE)</f>
        <v>#N/A</v>
      </c>
      <c r="B87" s="1" t="e">
        <f>VLOOKUP(A1,Data!$A$1:$DZU$1000000,1465,FALSE)</f>
        <v>#N/A</v>
      </c>
      <c r="C87" s="1" t="e">
        <f>VLOOKUP(A1,Data!$A$1:$DZU$1000000,1466,FALSE)</f>
        <v>#N/A</v>
      </c>
      <c r="D87" s="1" t="e">
        <f>VLOOKUP(A1,Data!$A$1:$DZU$1000000,1467,FALSE)</f>
        <v>#N/A</v>
      </c>
      <c r="E87" s="1" t="e">
        <f>VLOOKUP(A1,Data!$A$1:$DZU$1000000,1468,FALSE)</f>
        <v>#N/A</v>
      </c>
      <c r="F87" s="1" t="e">
        <f>VLOOKUP(A1,Data!$A$1:$DZU$1000000,1469,FALSE)</f>
        <v>#N/A</v>
      </c>
      <c r="G87" s="1" t="e">
        <f>VLOOKUP(A1,Data!$A$1:$DZU$1000000,1470,FALSE)</f>
        <v>#N/A</v>
      </c>
      <c r="H87" s="1" t="e">
        <f>VLOOKUP(A1,Data!$A$1:$DZU$1000000,1471,FALSE)</f>
        <v>#N/A</v>
      </c>
      <c r="I87" s="1" t="e">
        <f>VLOOKUP(A1,Data!$A$1:$DZU$1000000,1472,FALSE)</f>
        <v>#N/A</v>
      </c>
      <c r="J87" s="1" t="e">
        <f>VLOOKUP(A1,Data!$A$1:$DZU$1000000,1473,FALSE)</f>
        <v>#N/A</v>
      </c>
      <c r="K87" s="1" t="e">
        <f>VLOOKUP(A1,Data!$A$1:$DZU$1000000,1474,FALSE)</f>
        <v>#N/A</v>
      </c>
      <c r="L87" s="1" t="e">
        <f>VLOOKUP(A1,Data!$A$1:$DZU$1000000,1475,FALSE)</f>
        <v>#N/A</v>
      </c>
      <c r="M87" s="1" t="e">
        <f>VLOOKUP(A1,Data!$A$1:$DZU$1000000,1476,FALSE)</f>
        <v>#N/A</v>
      </c>
      <c r="N87" s="1" t="e">
        <f>VLOOKUP(A1,Data!$A$1:$DZU$1000000,1477,FALSE)</f>
        <v>#N/A</v>
      </c>
      <c r="O87" s="1" t="e">
        <f>VLOOKUP(A1,Data!$A$1:$DZU$1000000,1478,FALSE)</f>
        <v>#N/A</v>
      </c>
      <c r="P87" s="1" t="e">
        <f>VLOOKUP(A1,Data!$A$1:$DZU$1000000,1479,FALSE)</f>
        <v>#N/A</v>
      </c>
      <c r="Q87" s="1" t="e">
        <f>VLOOKUP(A1,Data!$A$1:$DZU$1000000,1480,FALSE)</f>
        <v>#N/A</v>
      </c>
    </row>
    <row r="88" spans="1:17" x14ac:dyDescent="0.35">
      <c r="A88" s="1" t="e">
        <f>VLOOKUP(A1,Data!$A$1:$DZU$1000000,1481,FALSE)</f>
        <v>#N/A</v>
      </c>
      <c r="B88" s="1" t="e">
        <f>VLOOKUP(A1,Data!$A$1:$DZU$1000000,1482,FALSE)</f>
        <v>#N/A</v>
      </c>
      <c r="C88" s="1" t="e">
        <f>VLOOKUP(A1,Data!$A$1:$DZU$1000000,1483,FALSE)</f>
        <v>#N/A</v>
      </c>
      <c r="D88" s="1" t="e">
        <f>VLOOKUP(A1,Data!$A$1:$DZU$1000000,1484,FALSE)</f>
        <v>#N/A</v>
      </c>
      <c r="E88" s="1" t="e">
        <f>VLOOKUP(A1,Data!$A$1:$DZU$1000000,1485,FALSE)</f>
        <v>#N/A</v>
      </c>
      <c r="F88" s="1" t="e">
        <f>VLOOKUP(A1,Data!$A$1:$DZU$1000000,1486,FALSE)</f>
        <v>#N/A</v>
      </c>
      <c r="G88" s="1" t="e">
        <f>VLOOKUP(A1,Data!$A$1:$DZU$1000000,1487,FALSE)</f>
        <v>#N/A</v>
      </c>
      <c r="H88" s="1" t="e">
        <f>VLOOKUP(A1,Data!$A$1:$DZU$1000000,1488,FALSE)</f>
        <v>#N/A</v>
      </c>
      <c r="I88" s="1" t="e">
        <f>VLOOKUP(A1,Data!$A$1:$DZU$1000000,1489,FALSE)</f>
        <v>#N/A</v>
      </c>
      <c r="J88" s="1" t="e">
        <f>VLOOKUP(A1,Data!$A$1:$DZU$1000000,1490,FALSE)</f>
        <v>#N/A</v>
      </c>
      <c r="K88" s="1" t="e">
        <f>VLOOKUP(A1,Data!$A$1:$DZU$1000000,1491,FALSE)</f>
        <v>#N/A</v>
      </c>
      <c r="L88" s="1" t="e">
        <f>VLOOKUP(A1,Data!$A$1:$DZU$1000000,1492,FALSE)</f>
        <v>#N/A</v>
      </c>
      <c r="M88" s="1" t="e">
        <f>VLOOKUP(A1,Data!$A$1:$DZU$1000000,1493,FALSE)</f>
        <v>#N/A</v>
      </c>
      <c r="N88" s="1" t="e">
        <f>VLOOKUP(A1,Data!$A$1:$DZU$1000000,1494,FALSE)</f>
        <v>#N/A</v>
      </c>
      <c r="O88" s="1" t="e">
        <f>VLOOKUP(A1,Data!$A$1:$DZU$1000000,1495,FALSE)</f>
        <v>#N/A</v>
      </c>
      <c r="P88" s="1" t="e">
        <f>VLOOKUP(A1,Data!$A$1:$DZU$1000000,1496,FALSE)</f>
        <v>#N/A</v>
      </c>
      <c r="Q88" s="1" t="e">
        <f>VLOOKUP(A1,Data!$A$1:$DZU$1000000,1497,FALSE)</f>
        <v>#N/A</v>
      </c>
    </row>
    <row r="89" spans="1:17" x14ac:dyDescent="0.35">
      <c r="A89" s="1" t="e">
        <f>VLOOKUP(A1,Data!$A$1:$DZU$1000000,1498,FALSE)</f>
        <v>#N/A</v>
      </c>
      <c r="B89" s="1" t="e">
        <f>VLOOKUP(A1,Data!$A$1:$DZU$1000000,1499,FALSE)</f>
        <v>#N/A</v>
      </c>
      <c r="C89" s="1" t="e">
        <f>VLOOKUP(A1,Data!$A$1:$DZU$1000000,1500,FALSE)</f>
        <v>#N/A</v>
      </c>
      <c r="D89" s="1" t="e">
        <f>VLOOKUP(A1,Data!$A$1:$DZU$1000000,1501,FALSE)</f>
        <v>#N/A</v>
      </c>
      <c r="E89" s="1" t="e">
        <f>VLOOKUP(A1,Data!$A$1:$DZU$1000000,1502,FALSE)</f>
        <v>#N/A</v>
      </c>
      <c r="F89" s="1" t="e">
        <f>VLOOKUP(A1,Data!$A$1:$DZU$1000000,1503,FALSE)</f>
        <v>#N/A</v>
      </c>
      <c r="G89" s="1" t="e">
        <f>VLOOKUP(A1,Data!$A$1:$DZU$1000000,1504,FALSE)</f>
        <v>#N/A</v>
      </c>
      <c r="H89" s="1" t="e">
        <f>VLOOKUP(A1,Data!$A$1:$DZU$1000000,1505,FALSE)</f>
        <v>#N/A</v>
      </c>
      <c r="I89" s="1" t="e">
        <f>VLOOKUP(A1,Data!$A$1:$DZU$1000000,1506,FALSE)</f>
        <v>#N/A</v>
      </c>
      <c r="J89" s="1" t="e">
        <f>VLOOKUP(A1,Data!$A$1:$DZU$1000000,1507,FALSE)</f>
        <v>#N/A</v>
      </c>
      <c r="K89" s="1" t="e">
        <f>VLOOKUP(A1,Data!$A$1:$DZU$1000000,1508,FALSE)</f>
        <v>#N/A</v>
      </c>
      <c r="L89" s="1" t="e">
        <f>VLOOKUP(A1,Data!$A$1:$DZU$1000000,1509,FALSE)</f>
        <v>#N/A</v>
      </c>
      <c r="M89" s="1" t="e">
        <f>VLOOKUP(A1,Data!$A$1:$DZU$1000000,1510,FALSE)</f>
        <v>#N/A</v>
      </c>
      <c r="N89" s="1" t="e">
        <f>VLOOKUP(A1,Data!$A$1:$DZU$1000000,1511,FALSE)</f>
        <v>#N/A</v>
      </c>
      <c r="O89" s="1" t="e">
        <f>VLOOKUP(A1,Data!$A$1:$DZU$1000000,1512,FALSE)</f>
        <v>#N/A</v>
      </c>
      <c r="P89" s="1" t="e">
        <f>VLOOKUP(A1,Data!$A$1:$DZU$1000000,1513,FALSE)</f>
        <v>#N/A</v>
      </c>
      <c r="Q89" s="1" t="e">
        <f>VLOOKUP(A1,Data!$A$1:$DZU$1000000,1514,FALSE)</f>
        <v>#N/A</v>
      </c>
    </row>
    <row r="90" spans="1:17" x14ac:dyDescent="0.35">
      <c r="A90" s="1" t="e">
        <f>VLOOKUP(A1,Data!$A$1:$DZU$1000000,1515,FALSE)</f>
        <v>#N/A</v>
      </c>
      <c r="B90" s="1" t="e">
        <f>VLOOKUP(A1,Data!$A$1:$DZU$1000000,1516,FALSE)</f>
        <v>#N/A</v>
      </c>
      <c r="C90" s="1" t="e">
        <f>VLOOKUP(A1,Data!$A$1:$DZU$1000000,1517,FALSE)</f>
        <v>#N/A</v>
      </c>
      <c r="D90" s="1" t="e">
        <f>VLOOKUP(A1,Data!$A$1:$DZU$1000000,1518,FALSE)</f>
        <v>#N/A</v>
      </c>
      <c r="E90" s="1" t="e">
        <f>VLOOKUP(A1,Data!$A$1:$DZU$1000000,1519,FALSE)</f>
        <v>#N/A</v>
      </c>
      <c r="F90" s="1" t="e">
        <f>VLOOKUP(A1,Data!$A$1:$DZU$1000000,1520,FALSE)</f>
        <v>#N/A</v>
      </c>
      <c r="G90" s="1" t="e">
        <f>VLOOKUP(A1,Data!$A$1:$DZU$1000000,1521,FALSE)</f>
        <v>#N/A</v>
      </c>
      <c r="H90" s="1" t="e">
        <f>VLOOKUP(A1,Data!$A$1:$DZU$1000000,1522,FALSE)</f>
        <v>#N/A</v>
      </c>
      <c r="I90" s="1" t="e">
        <f>VLOOKUP(A1,Data!$A$1:$DZU$1000000,1523,FALSE)</f>
        <v>#N/A</v>
      </c>
      <c r="J90" s="1" t="e">
        <f>VLOOKUP(A1,Data!$A$1:$DZU$1000000,1524,FALSE)</f>
        <v>#N/A</v>
      </c>
      <c r="K90" s="1" t="e">
        <f>VLOOKUP(A1,Data!$A$1:$DZU$1000000,1525,FALSE)</f>
        <v>#N/A</v>
      </c>
      <c r="L90" s="1" t="e">
        <f>VLOOKUP(A1,Data!$A$1:$DZU$1000000,1526,FALSE)</f>
        <v>#N/A</v>
      </c>
      <c r="M90" s="1" t="e">
        <f>VLOOKUP(A1,Data!$A$1:$DZU$1000000,1527,FALSE)</f>
        <v>#N/A</v>
      </c>
      <c r="N90" s="1" t="e">
        <f>VLOOKUP(A1,Data!$A$1:$DZU$1000000,1528,FALSE)</f>
        <v>#N/A</v>
      </c>
      <c r="O90" s="1" t="e">
        <f>VLOOKUP(A1,Data!$A$1:$DZU$1000000,1529,FALSE)</f>
        <v>#N/A</v>
      </c>
      <c r="P90" s="1" t="e">
        <f>VLOOKUP(A1,Data!$A$1:$DZU$1000000,1530,FALSE)</f>
        <v>#N/A</v>
      </c>
      <c r="Q90" s="1" t="e">
        <f>VLOOKUP(A1,Data!$A$1:$DZU$1000000,1531,FALSE)</f>
        <v>#N/A</v>
      </c>
    </row>
    <row r="91" spans="1:17" x14ac:dyDescent="0.35">
      <c r="A91" s="1" t="e">
        <f>VLOOKUP(A1,Data!$A$1:$DZU$1000000,1532,FALSE)</f>
        <v>#N/A</v>
      </c>
      <c r="B91" s="1" t="e">
        <f>VLOOKUP(A1,Data!$A$1:$DZU$1000000,1533,FALSE)</f>
        <v>#N/A</v>
      </c>
      <c r="C91" s="1" t="e">
        <f>VLOOKUP(A1,Data!$A$1:$DZU$1000000,1534,FALSE)</f>
        <v>#N/A</v>
      </c>
      <c r="D91" s="1" t="e">
        <f>VLOOKUP(A1,Data!$A$1:$DZU$1000000,1535,FALSE)</f>
        <v>#N/A</v>
      </c>
      <c r="E91" s="1" t="e">
        <f>VLOOKUP(A1,Data!$A$1:$DZU$1000000,1536,FALSE)</f>
        <v>#N/A</v>
      </c>
      <c r="F91" s="1" t="e">
        <f>VLOOKUP(A1,Data!$A$1:$DZU$1000000,1537,FALSE)</f>
        <v>#N/A</v>
      </c>
      <c r="G91" s="1" t="e">
        <f>VLOOKUP(A1,Data!$A$1:$DZU$1000000,1538,FALSE)</f>
        <v>#N/A</v>
      </c>
      <c r="H91" s="1" t="e">
        <f>VLOOKUP(A1,Data!$A$1:$DZU$1000000,1539,FALSE)</f>
        <v>#N/A</v>
      </c>
      <c r="I91" s="1" t="e">
        <f>VLOOKUP(A1,Data!$A$1:$DZU$1000000,1540,FALSE)</f>
        <v>#N/A</v>
      </c>
      <c r="J91" s="1" t="e">
        <f>VLOOKUP(A1,Data!$A$1:$DZU$1000000,1541,FALSE)</f>
        <v>#N/A</v>
      </c>
      <c r="K91" s="1" t="e">
        <f>VLOOKUP(A1,Data!$A$1:$DZU$1000000,1542,FALSE)</f>
        <v>#N/A</v>
      </c>
      <c r="L91" s="1" t="e">
        <f>VLOOKUP(A1,Data!$A$1:$DZU$1000000,1543,FALSE)</f>
        <v>#N/A</v>
      </c>
      <c r="M91" s="1" t="e">
        <f>VLOOKUP(A1,Data!$A$1:$DZU$1000000,1544,FALSE)</f>
        <v>#N/A</v>
      </c>
      <c r="N91" s="1" t="e">
        <f>VLOOKUP(A1,Data!$A$1:$DZU$1000000,1545,FALSE)</f>
        <v>#N/A</v>
      </c>
      <c r="O91" s="1" t="e">
        <f>VLOOKUP(A1,Data!$A$1:$DZU$1000000,1546,FALSE)</f>
        <v>#N/A</v>
      </c>
      <c r="P91" s="1" t="e">
        <f>VLOOKUP(A1,Data!$A$1:$DZU$1000000,1547,FALSE)</f>
        <v>#N/A</v>
      </c>
      <c r="Q91" s="1" t="e">
        <f>VLOOKUP(A1,Data!$A$1:$DZU$1000000,1548,FALSE)</f>
        <v>#N/A</v>
      </c>
    </row>
    <row r="92" spans="1:17" x14ac:dyDescent="0.35">
      <c r="A92" s="1" t="e">
        <f>VLOOKUP(A1,Data!$A$1:$DZU$1000000,1549,FALSE)</f>
        <v>#N/A</v>
      </c>
      <c r="B92" s="1" t="e">
        <f>VLOOKUP(A1,Data!$A$1:$DZU$1000000,1550,FALSE)</f>
        <v>#N/A</v>
      </c>
      <c r="C92" s="1" t="e">
        <f>VLOOKUP(A1,Data!$A$1:$DZU$1000000,1551,FALSE)</f>
        <v>#N/A</v>
      </c>
      <c r="D92" s="1" t="e">
        <f>VLOOKUP(A1,Data!$A$1:$DZU$1000000,1552,FALSE)</f>
        <v>#N/A</v>
      </c>
      <c r="E92" s="1" t="e">
        <f>VLOOKUP(A1,Data!$A$1:$DZU$1000000,1553,FALSE)</f>
        <v>#N/A</v>
      </c>
      <c r="F92" s="1" t="e">
        <f>VLOOKUP(A1,Data!$A$1:$DZU$1000000,1554,FALSE)</f>
        <v>#N/A</v>
      </c>
      <c r="G92" s="1" t="e">
        <f>VLOOKUP(A1,Data!$A$1:$DZU$1000000,1555,FALSE)</f>
        <v>#N/A</v>
      </c>
      <c r="H92" s="1" t="e">
        <f>VLOOKUP(A1,Data!$A$1:$DZU$1000000,1556,FALSE)</f>
        <v>#N/A</v>
      </c>
      <c r="I92" s="1" t="e">
        <f>VLOOKUP(A1,Data!$A$1:$DZU$1000000,1557,FALSE)</f>
        <v>#N/A</v>
      </c>
      <c r="J92" s="1" t="e">
        <f>VLOOKUP(A1,Data!$A$1:$DZU$1000000,1558,FALSE)</f>
        <v>#N/A</v>
      </c>
      <c r="K92" s="1" t="e">
        <f>VLOOKUP(A1,Data!$A$1:$DZU$1000000,1559,FALSE)</f>
        <v>#N/A</v>
      </c>
      <c r="L92" s="1" t="e">
        <f>VLOOKUP(A1,Data!$A$1:$DZU$1000000,1560,FALSE)</f>
        <v>#N/A</v>
      </c>
      <c r="M92" s="1" t="e">
        <f>VLOOKUP(A1,Data!$A$1:$DZU$1000000,1561,FALSE)</f>
        <v>#N/A</v>
      </c>
      <c r="N92" s="1" t="e">
        <f>VLOOKUP(A1,Data!$A$1:$DZU$1000000,1562,FALSE)</f>
        <v>#N/A</v>
      </c>
      <c r="O92" s="1" t="e">
        <f>VLOOKUP(A1,Data!$A$1:$DZU$1000000,1563,FALSE)</f>
        <v>#N/A</v>
      </c>
      <c r="P92" s="1" t="e">
        <f>VLOOKUP(A1,Data!$A$1:$DZU$1000000,1564,FALSE)</f>
        <v>#N/A</v>
      </c>
      <c r="Q92" s="1" t="e">
        <f>VLOOKUP(A1,Data!$A$1:$DZU$1000000,1565,FALSE)</f>
        <v>#N/A</v>
      </c>
    </row>
    <row r="93" spans="1:17" x14ac:dyDescent="0.35">
      <c r="A93" s="1" t="e">
        <f>VLOOKUP(A1,Data!$A$1:$DZU$1000000,1566,FALSE)</f>
        <v>#N/A</v>
      </c>
      <c r="B93" s="1" t="e">
        <f>VLOOKUP(A1,Data!$A$1:$DZU$1000000,1567,FALSE)</f>
        <v>#N/A</v>
      </c>
      <c r="C93" s="1" t="e">
        <f>VLOOKUP(A1,Data!$A$1:$DZU$1000000,1568,FALSE)</f>
        <v>#N/A</v>
      </c>
      <c r="D93" s="1" t="e">
        <f>VLOOKUP(A1,Data!$A$1:$DZU$1000000,1569,FALSE)</f>
        <v>#N/A</v>
      </c>
      <c r="E93" s="1" t="e">
        <f>VLOOKUP(A1,Data!$A$1:$DZU$1000000,1570,FALSE)</f>
        <v>#N/A</v>
      </c>
      <c r="F93" s="1" t="e">
        <f>VLOOKUP(A1,Data!$A$1:$DZU$1000000,1571,FALSE)</f>
        <v>#N/A</v>
      </c>
      <c r="G93" s="1" t="e">
        <f>VLOOKUP(A1,Data!$A$1:$DZU$1000000,1572,FALSE)</f>
        <v>#N/A</v>
      </c>
      <c r="H93" s="1" t="e">
        <f>VLOOKUP(A1,Data!$A$1:$DZU$1000000,1573,FALSE)</f>
        <v>#N/A</v>
      </c>
      <c r="I93" s="1" t="e">
        <f>VLOOKUP(A1,Data!$A$1:$DZU$1000000,1574,FALSE)</f>
        <v>#N/A</v>
      </c>
      <c r="J93" s="1" t="e">
        <f>VLOOKUP(A1,Data!$A$1:$DZU$1000000,1575,FALSE)</f>
        <v>#N/A</v>
      </c>
      <c r="K93" s="1" t="e">
        <f>VLOOKUP(A1,Data!$A$1:$DZU$1000000,1576,FALSE)</f>
        <v>#N/A</v>
      </c>
      <c r="L93" s="1" t="e">
        <f>VLOOKUP(A1,Data!$A$1:$DZU$1000000,1577,FALSE)</f>
        <v>#N/A</v>
      </c>
      <c r="M93" s="1" t="e">
        <f>VLOOKUP(A1,Data!$A$1:$DZU$1000000,1578,FALSE)</f>
        <v>#N/A</v>
      </c>
      <c r="N93" s="1" t="e">
        <f>VLOOKUP(A1,Data!$A$1:$DZU$1000000,1579,FALSE)</f>
        <v>#N/A</v>
      </c>
      <c r="O93" s="1" t="e">
        <f>VLOOKUP(A1,Data!$A$1:$DZU$1000000,1580,FALSE)</f>
        <v>#N/A</v>
      </c>
      <c r="P93" s="1" t="e">
        <f>VLOOKUP(A1,Data!$A$1:$DZU$1000000,1581,FALSE)</f>
        <v>#N/A</v>
      </c>
      <c r="Q93" s="1" t="e">
        <f>VLOOKUP(A1,Data!$A$1:$DZU$1000000,1582,FALSE)</f>
        <v>#N/A</v>
      </c>
    </row>
    <row r="94" spans="1:17" x14ac:dyDescent="0.35">
      <c r="A94" s="1" t="e">
        <f>VLOOKUP(A1,Data!$A$1:$DZU$1000000,1583,FALSE)</f>
        <v>#N/A</v>
      </c>
      <c r="B94" s="1" t="e">
        <f>VLOOKUP(A1,Data!$A$1:$DZU$1000000,1584,FALSE)</f>
        <v>#N/A</v>
      </c>
      <c r="C94" s="1" t="e">
        <f>VLOOKUP(A1,Data!$A$1:$DZU$1000000,1585,FALSE)</f>
        <v>#N/A</v>
      </c>
      <c r="D94" s="1" t="e">
        <f>VLOOKUP(A1,Data!$A$1:$DZU$1000000,1586,FALSE)</f>
        <v>#N/A</v>
      </c>
      <c r="E94" s="1" t="e">
        <f>VLOOKUP(A1,Data!$A$1:$DZU$1000000,1587,FALSE)</f>
        <v>#N/A</v>
      </c>
      <c r="F94" s="1" t="e">
        <f>VLOOKUP(A1,Data!$A$1:$DZU$1000000,1588,FALSE)</f>
        <v>#N/A</v>
      </c>
      <c r="G94" s="1" t="e">
        <f>VLOOKUP(A1,Data!$A$1:$DZU$1000000,1589,FALSE)</f>
        <v>#N/A</v>
      </c>
      <c r="H94" s="1" t="e">
        <f>VLOOKUP(A1,Data!$A$1:$DZU$1000000,1590,FALSE)</f>
        <v>#N/A</v>
      </c>
      <c r="I94" s="1" t="e">
        <f>VLOOKUP(A1,Data!$A$1:$DZU$1000000,1591,FALSE)</f>
        <v>#N/A</v>
      </c>
      <c r="J94" s="1" t="e">
        <f>VLOOKUP(A1,Data!$A$1:$DZU$1000000,1592,FALSE)</f>
        <v>#N/A</v>
      </c>
      <c r="K94" s="1" t="e">
        <f>VLOOKUP(A1,Data!$A$1:$DZU$1000000,1593,FALSE)</f>
        <v>#N/A</v>
      </c>
      <c r="L94" s="1" t="e">
        <f>VLOOKUP(A1,Data!$A$1:$DZU$1000000,1594,FALSE)</f>
        <v>#N/A</v>
      </c>
      <c r="M94" s="1" t="e">
        <f>VLOOKUP(A1,Data!$A$1:$DZU$1000000,1595,FALSE)</f>
        <v>#N/A</v>
      </c>
      <c r="N94" s="1" t="e">
        <f>VLOOKUP(A1,Data!$A$1:$DZU$1000000,1596,FALSE)</f>
        <v>#N/A</v>
      </c>
      <c r="O94" s="1" t="e">
        <f>VLOOKUP(A1,Data!$A$1:$DZU$1000000,1597,FALSE)</f>
        <v>#N/A</v>
      </c>
      <c r="P94" s="1" t="e">
        <f>VLOOKUP(A1,Data!$A$1:$DZU$1000000,1598,FALSE)</f>
        <v>#N/A</v>
      </c>
      <c r="Q94" s="1" t="e">
        <f>VLOOKUP(A1,Data!$A$1:$DZU$1000000,1599,FALSE)</f>
        <v>#N/A</v>
      </c>
    </row>
    <row r="95" spans="1:17" x14ac:dyDescent="0.35">
      <c r="A95" s="1" t="e">
        <f>VLOOKUP(A1,Data!$A$1:$DZU$1000000,1600,FALSE)</f>
        <v>#N/A</v>
      </c>
      <c r="B95" s="1" t="e">
        <f>VLOOKUP(A1,Data!$A$1:$DZU$1000000,1601,FALSE)</f>
        <v>#N/A</v>
      </c>
      <c r="C95" s="1" t="e">
        <f>VLOOKUP(A1,Data!$A$1:$DZU$1000000,1602,FALSE)</f>
        <v>#N/A</v>
      </c>
      <c r="D95" s="1" t="e">
        <f>VLOOKUP(A1,Data!$A$1:$DZU$1000000,1603,FALSE)</f>
        <v>#N/A</v>
      </c>
      <c r="E95" s="1" t="e">
        <f>VLOOKUP(A1,Data!$A$1:$DZU$1000000,1604,FALSE)</f>
        <v>#N/A</v>
      </c>
      <c r="F95" s="1" t="e">
        <f>VLOOKUP(A1,Data!$A$1:$DZU$1000000,1605,FALSE)</f>
        <v>#N/A</v>
      </c>
      <c r="G95" s="1" t="e">
        <f>VLOOKUP(A1,Data!$A$1:$DZU$1000000,1606,FALSE)</f>
        <v>#N/A</v>
      </c>
      <c r="H95" s="1" t="e">
        <f>VLOOKUP(A1,Data!$A$1:$DZU$1000000,1607,FALSE)</f>
        <v>#N/A</v>
      </c>
      <c r="I95" s="1" t="e">
        <f>VLOOKUP(A1,Data!$A$1:$DZU$1000000,1608,FALSE)</f>
        <v>#N/A</v>
      </c>
      <c r="J95" s="1" t="e">
        <f>VLOOKUP(A1,Data!$A$1:$DZU$1000000,1609,FALSE)</f>
        <v>#N/A</v>
      </c>
      <c r="K95" s="1" t="e">
        <f>VLOOKUP(A1,Data!$A$1:$DZU$1000000,1610,FALSE)</f>
        <v>#N/A</v>
      </c>
      <c r="L95" s="1" t="e">
        <f>VLOOKUP(A1,Data!$A$1:$DZU$1000000,1611,FALSE)</f>
        <v>#N/A</v>
      </c>
      <c r="M95" s="1" t="e">
        <f>VLOOKUP(A1,Data!$A$1:$DZU$1000000,1612,FALSE)</f>
        <v>#N/A</v>
      </c>
      <c r="N95" s="1" t="e">
        <f>VLOOKUP(A1,Data!$A$1:$DZU$1000000,1613,FALSE)</f>
        <v>#N/A</v>
      </c>
      <c r="O95" s="1" t="e">
        <f>VLOOKUP(A1,Data!$A$1:$DZU$1000000,1614,FALSE)</f>
        <v>#N/A</v>
      </c>
      <c r="P95" s="1" t="e">
        <f>VLOOKUP(A1,Data!$A$1:$DZU$1000000,1615,FALSE)</f>
        <v>#N/A</v>
      </c>
      <c r="Q95" s="1" t="e">
        <f>VLOOKUP(A1,Data!$A$1:$DZU$1000000,1616,FALSE)</f>
        <v>#N/A</v>
      </c>
    </row>
    <row r="96" spans="1:17" x14ac:dyDescent="0.35">
      <c r="A96" s="1" t="e">
        <f>VLOOKUP(A1,Data!$A$1:$DZU$1000000,1617,FALSE)</f>
        <v>#N/A</v>
      </c>
      <c r="B96" s="1" t="e">
        <f>VLOOKUP(A1,Data!$A$1:$DZU$1000000,1618,FALSE)</f>
        <v>#N/A</v>
      </c>
      <c r="C96" s="1" t="e">
        <f>VLOOKUP(A1,Data!$A$1:$DZU$1000000,1619,FALSE)</f>
        <v>#N/A</v>
      </c>
      <c r="D96" s="1" t="e">
        <f>VLOOKUP(A1,Data!$A$1:$DZU$1000000,1620,FALSE)</f>
        <v>#N/A</v>
      </c>
      <c r="E96" s="1" t="e">
        <f>VLOOKUP(A1,Data!$A$1:$DZU$1000000,1621,FALSE)</f>
        <v>#N/A</v>
      </c>
      <c r="F96" s="1" t="e">
        <f>VLOOKUP(A1,Data!$A$1:$DZU$1000000,1622,FALSE)</f>
        <v>#N/A</v>
      </c>
      <c r="G96" s="1" t="e">
        <f>VLOOKUP(A1,Data!$A$1:$DZU$1000000,1623,FALSE)</f>
        <v>#N/A</v>
      </c>
      <c r="H96" s="1" t="e">
        <f>VLOOKUP(A1,Data!$A$1:$DZU$1000000,1624,FALSE)</f>
        <v>#N/A</v>
      </c>
      <c r="I96" s="1" t="e">
        <f>VLOOKUP(A1,Data!$A$1:$DZU$1000000,1625,FALSE)</f>
        <v>#N/A</v>
      </c>
      <c r="J96" s="1" t="e">
        <f>VLOOKUP(A1,Data!$A$1:$DZU$1000000,1626,FALSE)</f>
        <v>#N/A</v>
      </c>
      <c r="K96" s="1" t="e">
        <f>VLOOKUP(A1,Data!$A$1:$DZU$1000000,1627,FALSE)</f>
        <v>#N/A</v>
      </c>
      <c r="L96" s="1" t="e">
        <f>VLOOKUP(A1,Data!$A$1:$DZU$1000000,1628,FALSE)</f>
        <v>#N/A</v>
      </c>
      <c r="M96" s="1" t="e">
        <f>VLOOKUP(A1,Data!$A$1:$DZU$1000000,1629,FALSE)</f>
        <v>#N/A</v>
      </c>
      <c r="N96" s="1" t="e">
        <f>VLOOKUP(A1,Data!$A$1:$DZU$1000000,1630,FALSE)</f>
        <v>#N/A</v>
      </c>
      <c r="O96" s="1" t="e">
        <f>VLOOKUP(A1,Data!$A$1:$DZU$1000000,1631,FALSE)</f>
        <v>#N/A</v>
      </c>
      <c r="P96" s="1" t="e">
        <f>VLOOKUP(A1,Data!$A$1:$DZU$1000000,1632,FALSE)</f>
        <v>#N/A</v>
      </c>
      <c r="Q96" s="1" t="e">
        <f>VLOOKUP(A1,Data!$A$1:$DZU$1000000,1633,FALSE)</f>
        <v>#N/A</v>
      </c>
    </row>
    <row r="97" spans="1:17" x14ac:dyDescent="0.35">
      <c r="A97" s="1" t="e">
        <f>VLOOKUP(A1,Data!$A$1:$DZU$1000000,1634,FALSE)</f>
        <v>#N/A</v>
      </c>
      <c r="B97" s="1" t="e">
        <f>VLOOKUP(A1,Data!$A$1:$DZU$1000000,1635,FALSE)</f>
        <v>#N/A</v>
      </c>
      <c r="C97" s="1" t="e">
        <f>VLOOKUP(A1,Data!$A$1:$DZU$1000000,1636,FALSE)</f>
        <v>#N/A</v>
      </c>
      <c r="D97" s="1" t="e">
        <f>VLOOKUP(A1,Data!$A$1:$DZU$1000000,1637,FALSE)</f>
        <v>#N/A</v>
      </c>
      <c r="E97" s="1" t="e">
        <f>VLOOKUP(A1,Data!$A$1:$DZU$1000000,1638,FALSE)</f>
        <v>#N/A</v>
      </c>
      <c r="F97" s="1" t="e">
        <f>VLOOKUP(A1,Data!$A$1:$DZU$1000000,1639,FALSE)</f>
        <v>#N/A</v>
      </c>
      <c r="G97" s="1" t="e">
        <f>VLOOKUP(A1,Data!$A$1:$DZU$1000000,1640,FALSE)</f>
        <v>#N/A</v>
      </c>
      <c r="H97" s="1" t="e">
        <f>VLOOKUP(A1,Data!$A$1:$DZU$1000000,1641,FALSE)</f>
        <v>#N/A</v>
      </c>
      <c r="I97" s="1" t="e">
        <f>VLOOKUP(A1,Data!$A$1:$DZU$1000000,1642,FALSE)</f>
        <v>#N/A</v>
      </c>
      <c r="J97" s="1" t="e">
        <f>VLOOKUP(A1,Data!$A$1:$DZU$1000000,1643,FALSE)</f>
        <v>#N/A</v>
      </c>
      <c r="K97" s="1" t="e">
        <f>VLOOKUP(A1,Data!$A$1:$DZU$1000000,1644,FALSE)</f>
        <v>#N/A</v>
      </c>
      <c r="L97" s="1" t="e">
        <f>VLOOKUP(A1,Data!$A$1:$DZU$1000000,1645,FALSE)</f>
        <v>#N/A</v>
      </c>
      <c r="M97" s="1" t="e">
        <f>VLOOKUP(A1,Data!$A$1:$DZU$1000000,1646,FALSE)</f>
        <v>#N/A</v>
      </c>
      <c r="N97" s="1" t="e">
        <f>VLOOKUP(A1,Data!$A$1:$DZU$1000000,1647,FALSE)</f>
        <v>#N/A</v>
      </c>
      <c r="O97" s="1" t="e">
        <f>VLOOKUP(A1,Data!$A$1:$DZU$1000000,1648,FALSE)</f>
        <v>#N/A</v>
      </c>
      <c r="P97" s="1" t="e">
        <f>VLOOKUP(A1,Data!$A$1:$DZU$1000000,1649,FALSE)</f>
        <v>#N/A</v>
      </c>
      <c r="Q97" s="1" t="e">
        <f>VLOOKUP(A1,Data!$A$1:$DZU$1000000,1650,FALSE)</f>
        <v>#N/A</v>
      </c>
    </row>
    <row r="98" spans="1:17" x14ac:dyDescent="0.35">
      <c r="A98" s="1" t="e">
        <f>VLOOKUP(A1,Data!$A$1:$DZU$1000000,1651,FALSE)</f>
        <v>#N/A</v>
      </c>
      <c r="B98" s="1" t="e">
        <f>VLOOKUP(A1,Data!$A$1:$DZU$1000000,1652,FALSE)</f>
        <v>#N/A</v>
      </c>
      <c r="C98" s="1" t="e">
        <f>VLOOKUP(A1,Data!$A$1:$DZU$1000000,1653,FALSE)</f>
        <v>#N/A</v>
      </c>
      <c r="D98" s="1" t="e">
        <f>VLOOKUP(A1,Data!$A$1:$DZU$1000000,1654,FALSE)</f>
        <v>#N/A</v>
      </c>
      <c r="E98" s="1" t="e">
        <f>VLOOKUP(A1,Data!$A$1:$DZU$1000000,1655,FALSE)</f>
        <v>#N/A</v>
      </c>
      <c r="F98" s="1" t="e">
        <f>VLOOKUP(A1,Data!$A$1:$DZU$1000000,1656,FALSE)</f>
        <v>#N/A</v>
      </c>
      <c r="G98" s="1" t="e">
        <f>VLOOKUP(A1,Data!$A$1:$DZU$1000000,1657,FALSE)</f>
        <v>#N/A</v>
      </c>
      <c r="H98" s="1" t="e">
        <f>VLOOKUP(A1,Data!$A$1:$DZU$1000000,1658,FALSE)</f>
        <v>#N/A</v>
      </c>
      <c r="I98" s="1" t="e">
        <f>VLOOKUP(A1,Data!$A$1:$DZU$1000000,1659,FALSE)</f>
        <v>#N/A</v>
      </c>
      <c r="J98" s="1" t="e">
        <f>VLOOKUP(A1,Data!$A$1:$DZU$1000000,1660,FALSE)</f>
        <v>#N/A</v>
      </c>
      <c r="K98" s="1" t="e">
        <f>VLOOKUP(A1,Data!$A$1:$DZU$1000000,1661,FALSE)</f>
        <v>#N/A</v>
      </c>
      <c r="L98" s="1" t="e">
        <f>VLOOKUP(A1,Data!$A$1:$DZU$1000000,1662,FALSE)</f>
        <v>#N/A</v>
      </c>
      <c r="M98" s="1" t="e">
        <f>VLOOKUP(A1,Data!$A$1:$DZU$1000000,1663,FALSE)</f>
        <v>#N/A</v>
      </c>
      <c r="N98" s="1" t="e">
        <f>VLOOKUP(A1,Data!$A$1:$DZU$1000000,1664,FALSE)</f>
        <v>#N/A</v>
      </c>
      <c r="O98" s="1" t="e">
        <f>VLOOKUP(A1,Data!$A$1:$DZU$1000000,1665,FALSE)</f>
        <v>#N/A</v>
      </c>
      <c r="P98" s="1" t="e">
        <f>VLOOKUP(A1,Data!$A$1:$DZU$1000000,1666,FALSE)</f>
        <v>#N/A</v>
      </c>
      <c r="Q98" s="1" t="e">
        <f>VLOOKUP(A1,Data!$A$1:$DZU$1000000,1667,FALSE)</f>
        <v>#N/A</v>
      </c>
    </row>
    <row r="99" spans="1:17" x14ac:dyDescent="0.35">
      <c r="A99" s="1" t="e">
        <f>VLOOKUP(A1,Data!$A$1:$DZU$1000000,1668,FALSE)</f>
        <v>#N/A</v>
      </c>
      <c r="B99" s="1" t="e">
        <f>VLOOKUP(A1,Data!$A$1:$DZU$1000000,1669,FALSE)</f>
        <v>#N/A</v>
      </c>
      <c r="C99" s="1" t="e">
        <f>VLOOKUP(A1,Data!$A$1:$DZU$1000000,1670,FALSE)</f>
        <v>#N/A</v>
      </c>
      <c r="D99" s="1" t="e">
        <f>VLOOKUP(A1,Data!$A$1:$DZU$1000000,1671,FALSE)</f>
        <v>#N/A</v>
      </c>
      <c r="E99" s="1" t="e">
        <f>VLOOKUP(A1,Data!$A$1:$DZU$1000000,1672,FALSE)</f>
        <v>#N/A</v>
      </c>
      <c r="F99" s="1" t="e">
        <f>VLOOKUP(A1,Data!$A$1:$DZU$1000000,1673,FALSE)</f>
        <v>#N/A</v>
      </c>
      <c r="G99" s="1" t="e">
        <f>VLOOKUP(A1,Data!$A$1:$DZU$1000000,1674,FALSE)</f>
        <v>#N/A</v>
      </c>
      <c r="H99" s="1" t="e">
        <f>VLOOKUP(A1,Data!$A$1:$DZU$1000000,1675,FALSE)</f>
        <v>#N/A</v>
      </c>
      <c r="I99" s="1" t="e">
        <f>VLOOKUP(A1,Data!$A$1:$DZU$1000000,1676,FALSE)</f>
        <v>#N/A</v>
      </c>
      <c r="J99" s="1" t="e">
        <f>VLOOKUP(A1,Data!$A$1:$DZU$1000000,1677,FALSE)</f>
        <v>#N/A</v>
      </c>
      <c r="K99" s="1" t="e">
        <f>VLOOKUP(A1,Data!$A$1:$DZU$1000000,1678,FALSE)</f>
        <v>#N/A</v>
      </c>
      <c r="L99" s="1" t="e">
        <f>VLOOKUP(A1,Data!$A$1:$DZU$1000000,1679,FALSE)</f>
        <v>#N/A</v>
      </c>
      <c r="M99" s="1" t="e">
        <f>VLOOKUP(A1,Data!$A$1:$DZU$1000000,1680,FALSE)</f>
        <v>#N/A</v>
      </c>
      <c r="N99" s="1" t="e">
        <f>VLOOKUP(A1,Data!$A$1:$DZU$1000000,1681,FALSE)</f>
        <v>#N/A</v>
      </c>
      <c r="O99" s="1" t="e">
        <f>VLOOKUP(A1,Data!$A$1:$DZU$1000000,1682,FALSE)</f>
        <v>#N/A</v>
      </c>
      <c r="P99" s="1" t="e">
        <f>VLOOKUP(A1,Data!$A$1:$DZU$1000000,1683,FALSE)</f>
        <v>#N/A</v>
      </c>
      <c r="Q99" s="1" t="e">
        <f>VLOOKUP(A1,Data!$A$1:$DZU$1000000,1684,FALSE)</f>
        <v>#N/A</v>
      </c>
    </row>
    <row r="100" spans="1:17" x14ac:dyDescent="0.35">
      <c r="A100" s="1" t="e">
        <f>VLOOKUP(A1,Data!$A$1:$DZU$1000000,1685,FALSE)</f>
        <v>#N/A</v>
      </c>
      <c r="B100" s="1" t="e">
        <f>VLOOKUP(A1,Data!$A$1:$DZU$1000000,1686,FALSE)</f>
        <v>#N/A</v>
      </c>
      <c r="C100" s="1" t="e">
        <f>VLOOKUP(A1,Data!$A$1:$DZU$1000000,1687,FALSE)</f>
        <v>#N/A</v>
      </c>
      <c r="D100" s="1" t="e">
        <f>VLOOKUP(A1,Data!$A$1:$DZU$1000000,1688,FALSE)</f>
        <v>#N/A</v>
      </c>
      <c r="E100" s="1" t="e">
        <f>VLOOKUP(A1,Data!$A$1:$DZU$1000000,1689,FALSE)</f>
        <v>#N/A</v>
      </c>
      <c r="F100" s="1" t="e">
        <f>VLOOKUP(A1,Data!$A$1:$DZU$1000000,1690,FALSE)</f>
        <v>#N/A</v>
      </c>
      <c r="G100" s="1" t="e">
        <f>VLOOKUP(A1,Data!$A$1:$DZU$1000000,1691,FALSE)</f>
        <v>#N/A</v>
      </c>
      <c r="H100" s="1" t="e">
        <f>VLOOKUP(A1,Data!$A$1:$DZU$1000000,1692,FALSE)</f>
        <v>#N/A</v>
      </c>
      <c r="I100" s="1" t="e">
        <f>VLOOKUP(A1,Data!$A$1:$DZU$1000000,1693,FALSE)</f>
        <v>#N/A</v>
      </c>
      <c r="J100" s="1" t="e">
        <f>VLOOKUP(A1,Data!$A$1:$DZU$1000000,1694,FALSE)</f>
        <v>#N/A</v>
      </c>
      <c r="K100" s="1" t="e">
        <f>VLOOKUP(A1,Data!$A$1:$DZU$1000000,1695,FALSE)</f>
        <v>#N/A</v>
      </c>
      <c r="L100" s="1" t="e">
        <f>VLOOKUP(A1,Data!$A$1:$DZU$1000000,1696,FALSE)</f>
        <v>#N/A</v>
      </c>
      <c r="M100" s="1" t="e">
        <f>VLOOKUP(A1,Data!$A$1:$DZU$1000000,1697,FALSE)</f>
        <v>#N/A</v>
      </c>
      <c r="N100" s="1" t="e">
        <f>VLOOKUP(A1,Data!$A$1:$DZU$1000000,1698,FALSE)</f>
        <v>#N/A</v>
      </c>
      <c r="O100" s="1" t="e">
        <f>VLOOKUP(A1,Data!$A$1:$DZU$1000000,1699,FALSE)</f>
        <v>#N/A</v>
      </c>
      <c r="P100" s="1" t="e">
        <f>VLOOKUP(A1,Data!$A$1:$DZU$1000000,1700,FALSE)</f>
        <v>#N/A</v>
      </c>
      <c r="Q100" s="1" t="e">
        <f>VLOOKUP(A1,Data!$A$1:$DZU$1000000,1701,FALSE)</f>
        <v>#N/A</v>
      </c>
    </row>
    <row r="101" spans="1:17" x14ac:dyDescent="0.35">
      <c r="A101" s="1" t="e">
        <f>VLOOKUP(A1,Data!$A$1:$DZU$1000000,1702,FALSE)</f>
        <v>#N/A</v>
      </c>
      <c r="B101" s="1" t="e">
        <f>VLOOKUP(A1,Data!$A$1:$DZU$1000000,1703,FALSE)</f>
        <v>#N/A</v>
      </c>
      <c r="C101" s="1" t="e">
        <f>VLOOKUP(A1,Data!$A$1:$DZU$1000000,1704,FALSE)</f>
        <v>#N/A</v>
      </c>
      <c r="D101" s="1" t="e">
        <f>VLOOKUP(A1,Data!$A$1:$DZU$1000000,1705,FALSE)</f>
        <v>#N/A</v>
      </c>
      <c r="E101" s="1" t="e">
        <f>VLOOKUP(A1,Data!$A$1:$DZU$1000000,1706,FALSE)</f>
        <v>#N/A</v>
      </c>
      <c r="F101" s="1" t="e">
        <f>VLOOKUP(A1,Data!$A$1:$DZU$1000000,1707,FALSE)</f>
        <v>#N/A</v>
      </c>
      <c r="G101" s="1" t="e">
        <f>VLOOKUP(A1,Data!$A$1:$DZU$1000000,1708,FALSE)</f>
        <v>#N/A</v>
      </c>
      <c r="H101" s="1" t="e">
        <f>VLOOKUP(A1,Data!$A$1:$DZU$1000000,1709,FALSE)</f>
        <v>#N/A</v>
      </c>
      <c r="I101" s="1" t="e">
        <f>VLOOKUP(A1,Data!$A$1:$DZU$1000000,1710,FALSE)</f>
        <v>#N/A</v>
      </c>
      <c r="J101" s="1" t="e">
        <f>VLOOKUP(A1,Data!$A$1:$DZU$1000000,1711,FALSE)</f>
        <v>#N/A</v>
      </c>
      <c r="K101" s="1" t="e">
        <f>VLOOKUP(A1,Data!$A$1:$DZU$1000000,1712,FALSE)</f>
        <v>#N/A</v>
      </c>
      <c r="L101" s="1" t="e">
        <f>VLOOKUP(A1,Data!$A$1:$DZU$1000000,1713,FALSE)</f>
        <v>#N/A</v>
      </c>
      <c r="M101" s="1" t="e">
        <f>VLOOKUP(A1,Data!$A$1:$DZU$1000000,1714,FALSE)</f>
        <v>#N/A</v>
      </c>
      <c r="N101" s="1" t="e">
        <f>VLOOKUP(A1,Data!$A$1:$DZU$1000000,1715,FALSE)</f>
        <v>#N/A</v>
      </c>
      <c r="O101" s="1" t="e">
        <f>VLOOKUP(A1,Data!$A$1:$DZU$1000000,1716,FALSE)</f>
        <v>#N/A</v>
      </c>
      <c r="P101" s="1" t="e">
        <f>VLOOKUP(A1,Data!$A$1:$DZU$1000000,1717,FALSE)</f>
        <v>#N/A</v>
      </c>
      <c r="Q101" s="1" t="e">
        <f>VLOOKUP(A1,Data!$A$1:$DZU$1000000,1718,FALSE)</f>
        <v>#N/A</v>
      </c>
    </row>
    <row r="102" spans="1:17" x14ac:dyDescent="0.35">
      <c r="A102" s="1" t="e">
        <f>VLOOKUP(A1,Data!$A$1:$DZU$1000000,1719,FALSE)</f>
        <v>#N/A</v>
      </c>
      <c r="B102" s="1" t="e">
        <f>VLOOKUP(A1,Data!$A$1:$DZU$1000000,1720,FALSE)</f>
        <v>#N/A</v>
      </c>
      <c r="C102" s="1" t="e">
        <f>VLOOKUP(A1,Data!$A$1:$DZU$1000000,1721,FALSE)</f>
        <v>#N/A</v>
      </c>
      <c r="D102" s="1" t="e">
        <f>VLOOKUP(A1,Data!$A$1:$DZU$1000000,1722,FALSE)</f>
        <v>#N/A</v>
      </c>
      <c r="E102" s="1" t="e">
        <f>VLOOKUP(A1,Data!$A$1:$DZU$1000000,1723,FALSE)</f>
        <v>#N/A</v>
      </c>
      <c r="F102" s="1" t="e">
        <f>VLOOKUP(A1,Data!$A$1:$DZU$1000000,1724,FALSE)</f>
        <v>#N/A</v>
      </c>
      <c r="G102" s="1" t="e">
        <f>VLOOKUP(A1,Data!$A$1:$DZU$1000000,1725,FALSE)</f>
        <v>#N/A</v>
      </c>
      <c r="H102" s="1" t="e">
        <f>VLOOKUP(A1,Data!$A$1:$DZU$1000000,1726,FALSE)</f>
        <v>#N/A</v>
      </c>
      <c r="I102" s="1" t="e">
        <f>VLOOKUP(A1,Data!$A$1:$DZU$1000000,1727,FALSE)</f>
        <v>#N/A</v>
      </c>
      <c r="J102" s="1" t="e">
        <f>VLOOKUP(A1,Data!$A$1:$DZU$1000000,1728,FALSE)</f>
        <v>#N/A</v>
      </c>
      <c r="K102" s="1" t="e">
        <f>VLOOKUP(A1,Data!$A$1:$DZU$1000000,1729,FALSE)</f>
        <v>#N/A</v>
      </c>
      <c r="L102" s="1" t="e">
        <f>VLOOKUP(A1,Data!$A$1:$DZU$1000000,1730,FALSE)</f>
        <v>#N/A</v>
      </c>
      <c r="M102" s="1" t="e">
        <f>VLOOKUP(A1,Data!$A$1:$DZU$1000000,1731,FALSE)</f>
        <v>#N/A</v>
      </c>
      <c r="N102" s="1" t="e">
        <f>VLOOKUP(A1,Data!$A$1:$DZU$1000000,1732,FALSE)</f>
        <v>#N/A</v>
      </c>
      <c r="O102" s="1" t="e">
        <f>VLOOKUP(A1,Data!$A$1:$DZU$1000000,1733,FALSE)</f>
        <v>#N/A</v>
      </c>
      <c r="P102" s="1" t="e">
        <f>VLOOKUP(A1,Data!$A$1:$DZU$1000000,1734,FALSE)</f>
        <v>#N/A</v>
      </c>
      <c r="Q102" s="1" t="e">
        <f>VLOOKUP(A1,Data!$A$1:$DZU$1000000,1735,FALSE)</f>
        <v>#N/A</v>
      </c>
    </row>
    <row r="103" spans="1:17" x14ac:dyDescent="0.35">
      <c r="A103" s="1" t="e">
        <f>VLOOKUP(A1,Data!$A$1:$DZU$1000000,1736,FALSE)</f>
        <v>#N/A</v>
      </c>
      <c r="B103" s="1" t="e">
        <f>VLOOKUP(A1,Data!$A$1:$DZU$1000000,1737,FALSE)</f>
        <v>#N/A</v>
      </c>
      <c r="C103" s="1" t="e">
        <f>VLOOKUP(A1,Data!$A$1:$DZU$1000000,1738,FALSE)</f>
        <v>#N/A</v>
      </c>
      <c r="D103" s="1" t="e">
        <f>VLOOKUP(A1,Data!$A$1:$DZU$1000000,1739,FALSE)</f>
        <v>#N/A</v>
      </c>
      <c r="E103" s="1" t="e">
        <f>VLOOKUP(A1,Data!$A$1:$DZU$1000000,1740,FALSE)</f>
        <v>#N/A</v>
      </c>
      <c r="F103" s="1" t="e">
        <f>VLOOKUP(A1,Data!$A$1:$DZU$1000000,1741,FALSE)</f>
        <v>#N/A</v>
      </c>
      <c r="G103" s="1" t="e">
        <f>VLOOKUP(A1,Data!$A$1:$DZU$1000000,1742,FALSE)</f>
        <v>#N/A</v>
      </c>
      <c r="H103" s="1" t="e">
        <f>VLOOKUP(A1,Data!$A$1:$DZU$1000000,1743,FALSE)</f>
        <v>#N/A</v>
      </c>
      <c r="I103" s="1" t="e">
        <f>VLOOKUP(A1,Data!$A$1:$DZU$1000000,1744,FALSE)</f>
        <v>#N/A</v>
      </c>
      <c r="J103" s="1" t="e">
        <f>VLOOKUP(A1,Data!$A$1:$DZU$1000000,1745,FALSE)</f>
        <v>#N/A</v>
      </c>
      <c r="K103" s="1" t="e">
        <f>VLOOKUP(A1,Data!$A$1:$DZU$1000000,1746,FALSE)</f>
        <v>#N/A</v>
      </c>
      <c r="L103" s="1" t="e">
        <f>VLOOKUP(A1,Data!$A$1:$DZU$1000000,1747,FALSE)</f>
        <v>#N/A</v>
      </c>
      <c r="M103" s="1" t="e">
        <f>VLOOKUP(A1,Data!$A$1:$DZU$1000000,1748,FALSE)</f>
        <v>#N/A</v>
      </c>
      <c r="N103" s="1" t="e">
        <f>VLOOKUP(A1,Data!$A$1:$DZU$1000000,1749,FALSE)</f>
        <v>#N/A</v>
      </c>
      <c r="O103" s="1" t="e">
        <f>VLOOKUP(A1,Data!$A$1:$DZU$1000000,1750,FALSE)</f>
        <v>#N/A</v>
      </c>
      <c r="P103" s="1" t="e">
        <f>VLOOKUP(A1,Data!$A$1:$DZU$1000000,1751,FALSE)</f>
        <v>#N/A</v>
      </c>
      <c r="Q103" s="1" t="e">
        <f>VLOOKUP(A1,Data!$A$1:$DZU$1000000,1752,FALSE)</f>
        <v>#N/A</v>
      </c>
    </row>
    <row r="104" spans="1:17" x14ac:dyDescent="0.35">
      <c r="A104" s="1" t="e">
        <f>VLOOKUP(A1,Data!$A$1:$DZU$1000000,1753,FALSE)</f>
        <v>#N/A</v>
      </c>
      <c r="B104" s="1" t="e">
        <f>VLOOKUP(A1,Data!$A$1:$DZU$1000000,1754,FALSE)</f>
        <v>#N/A</v>
      </c>
      <c r="C104" s="1" t="e">
        <f>VLOOKUP(A1,Data!$A$1:$DZU$1000000,1755,FALSE)</f>
        <v>#N/A</v>
      </c>
      <c r="D104" s="1" t="e">
        <f>VLOOKUP(A1,Data!$A$1:$DZU$1000000,1756,FALSE)</f>
        <v>#N/A</v>
      </c>
      <c r="E104" s="1" t="e">
        <f>VLOOKUP(A1,Data!$A$1:$DZU$1000000,1757,FALSE)</f>
        <v>#N/A</v>
      </c>
      <c r="F104" s="1" t="e">
        <f>VLOOKUP(A1,Data!$A$1:$DZU$1000000,1758,FALSE)</f>
        <v>#N/A</v>
      </c>
      <c r="G104" s="1" t="e">
        <f>VLOOKUP(A1,Data!$A$1:$DZU$1000000,1759,FALSE)</f>
        <v>#N/A</v>
      </c>
      <c r="H104" s="1" t="e">
        <f>VLOOKUP(A1,Data!$A$1:$DZU$1000000,1760,FALSE)</f>
        <v>#N/A</v>
      </c>
      <c r="I104" s="1" t="e">
        <f>VLOOKUP(A1,Data!$A$1:$DZU$1000000,1761,FALSE)</f>
        <v>#N/A</v>
      </c>
      <c r="J104" s="1" t="e">
        <f>VLOOKUP(A1,Data!$A$1:$DZU$1000000,1762,FALSE)</f>
        <v>#N/A</v>
      </c>
      <c r="K104" s="1" t="e">
        <f>VLOOKUP(A1,Data!$A$1:$DZU$1000000,1763,FALSE)</f>
        <v>#N/A</v>
      </c>
      <c r="L104" s="1" t="e">
        <f>VLOOKUP(A1,Data!$A$1:$DZU$1000000,1764,FALSE)</f>
        <v>#N/A</v>
      </c>
      <c r="M104" s="1" t="e">
        <f>VLOOKUP(A1,Data!$A$1:$DZU$1000000,1765,FALSE)</f>
        <v>#N/A</v>
      </c>
      <c r="N104" s="1" t="e">
        <f>VLOOKUP(A1,Data!$A$1:$DZU$1000000,1766,FALSE)</f>
        <v>#N/A</v>
      </c>
      <c r="O104" s="1" t="e">
        <f>VLOOKUP(A1,Data!$A$1:$DZU$1000000,1767,FALSE)</f>
        <v>#N/A</v>
      </c>
      <c r="P104" s="1" t="e">
        <f>VLOOKUP(A1,Data!$A$1:$DZU$1000000,1768,FALSE)</f>
        <v>#N/A</v>
      </c>
      <c r="Q104" s="1" t="e">
        <f>VLOOKUP(A1,Data!$A$1:$DZU$1000000,1769,FALSE)</f>
        <v>#N/A</v>
      </c>
    </row>
    <row r="105" spans="1:17" x14ac:dyDescent="0.35">
      <c r="A105" s="1" t="e">
        <f>VLOOKUP(A1,Data!$A$1:$DZU$1000000,1770,FALSE)</f>
        <v>#N/A</v>
      </c>
      <c r="B105" s="1" t="e">
        <f>VLOOKUP(A1,Data!$A$1:$DZU$1000000,1771,FALSE)</f>
        <v>#N/A</v>
      </c>
      <c r="C105" s="1" t="e">
        <f>VLOOKUP(A1,Data!$A$1:$DZU$1000000,1772,FALSE)</f>
        <v>#N/A</v>
      </c>
      <c r="D105" s="1" t="e">
        <f>VLOOKUP(A1,Data!$A$1:$DZU$1000000,1773,FALSE)</f>
        <v>#N/A</v>
      </c>
      <c r="E105" s="1" t="e">
        <f>VLOOKUP(A1,Data!$A$1:$DZU$1000000,1774,FALSE)</f>
        <v>#N/A</v>
      </c>
      <c r="F105" s="1" t="e">
        <f>VLOOKUP(A1,Data!$A$1:$DZU$1000000,1775,FALSE)</f>
        <v>#N/A</v>
      </c>
      <c r="G105" s="1" t="e">
        <f>VLOOKUP(A1,Data!$A$1:$DZU$1000000,1776,FALSE)</f>
        <v>#N/A</v>
      </c>
      <c r="H105" s="1" t="e">
        <f>VLOOKUP(A1,Data!$A$1:$DZU$1000000,1777,FALSE)</f>
        <v>#N/A</v>
      </c>
      <c r="I105" s="1" t="e">
        <f>VLOOKUP(A1,Data!$A$1:$DZU$1000000,1778,FALSE)</f>
        <v>#N/A</v>
      </c>
      <c r="J105" s="1" t="e">
        <f>VLOOKUP(A1,Data!$A$1:$DZU$1000000,1779,FALSE)</f>
        <v>#N/A</v>
      </c>
      <c r="K105" s="1" t="e">
        <f>VLOOKUP(A1,Data!$A$1:$DZU$1000000,1780,FALSE)</f>
        <v>#N/A</v>
      </c>
      <c r="L105" s="1" t="e">
        <f>VLOOKUP(A1,Data!$A$1:$DZU$1000000,1781,FALSE)</f>
        <v>#N/A</v>
      </c>
      <c r="M105" s="1" t="e">
        <f>VLOOKUP(A1,Data!$A$1:$DZU$1000000,1782,FALSE)</f>
        <v>#N/A</v>
      </c>
      <c r="N105" s="1" t="e">
        <f>VLOOKUP(A1,Data!$A$1:$DZU$1000000,1783,FALSE)</f>
        <v>#N/A</v>
      </c>
      <c r="O105" s="1" t="e">
        <f>VLOOKUP(A1,Data!$A$1:$DZU$1000000,1784,FALSE)</f>
        <v>#N/A</v>
      </c>
      <c r="P105" s="1" t="e">
        <f>VLOOKUP(A1,Data!$A$1:$DZU$1000000,1785,FALSE)</f>
        <v>#N/A</v>
      </c>
      <c r="Q105" s="1" t="e">
        <f>VLOOKUP(A1,Data!$A$1:$DZU$1000000,1786,FALSE)</f>
        <v>#N/A</v>
      </c>
    </row>
    <row r="106" spans="1:17" x14ac:dyDescent="0.35">
      <c r="A106" s="1" t="e">
        <f>VLOOKUP(A1,Data!$A$1:$DZU$1000000,1787,FALSE)</f>
        <v>#N/A</v>
      </c>
      <c r="B106" s="1" t="e">
        <f>VLOOKUP(A1,Data!$A$1:$DZU$1000000,1788,FALSE)</f>
        <v>#N/A</v>
      </c>
      <c r="C106" s="1" t="e">
        <f>VLOOKUP(A1,Data!$A$1:$DZU$1000000,1789,FALSE)</f>
        <v>#N/A</v>
      </c>
      <c r="D106" s="1" t="e">
        <f>VLOOKUP(A1,Data!$A$1:$DZU$1000000,1790,FALSE)</f>
        <v>#N/A</v>
      </c>
      <c r="E106" s="1" t="e">
        <f>VLOOKUP(A1,Data!$A$1:$DZU$1000000,1791,FALSE)</f>
        <v>#N/A</v>
      </c>
      <c r="F106" s="1" t="e">
        <f>VLOOKUP(A1,Data!$A$1:$DZU$1000000,1792,FALSE)</f>
        <v>#N/A</v>
      </c>
      <c r="G106" s="1" t="e">
        <f>VLOOKUP(A1,Data!$A$1:$DZU$1000000,1793,FALSE)</f>
        <v>#N/A</v>
      </c>
      <c r="H106" s="1" t="e">
        <f>VLOOKUP(A1,Data!$A$1:$DZU$1000000,1794,FALSE)</f>
        <v>#N/A</v>
      </c>
      <c r="I106" s="1" t="e">
        <f>VLOOKUP(A1,Data!$A$1:$DZU$1000000,1795,FALSE)</f>
        <v>#N/A</v>
      </c>
      <c r="J106" s="1" t="e">
        <f>VLOOKUP(A1,Data!$A$1:$DZU$1000000,1796,FALSE)</f>
        <v>#N/A</v>
      </c>
      <c r="K106" s="1" t="e">
        <f>VLOOKUP(A1,Data!$A$1:$DZU$1000000,1797,FALSE)</f>
        <v>#N/A</v>
      </c>
      <c r="L106" s="1" t="e">
        <f>VLOOKUP(A1,Data!$A$1:$DZU$1000000,1798,FALSE)</f>
        <v>#N/A</v>
      </c>
      <c r="M106" s="1" t="e">
        <f>VLOOKUP(A1,Data!$A$1:$DZU$1000000,1799,FALSE)</f>
        <v>#N/A</v>
      </c>
      <c r="N106" s="1" t="e">
        <f>VLOOKUP(A1,Data!$A$1:$DZU$1000000,1800,FALSE)</f>
        <v>#N/A</v>
      </c>
      <c r="O106" s="1" t="e">
        <f>VLOOKUP(A1,Data!$A$1:$DZU$1000000,1801,FALSE)</f>
        <v>#N/A</v>
      </c>
      <c r="P106" s="1" t="e">
        <f>VLOOKUP(A1,Data!$A$1:$DZU$1000000,1802,FALSE)</f>
        <v>#N/A</v>
      </c>
      <c r="Q106" s="1" t="e">
        <f>VLOOKUP(A1,Data!$A$1:$DZU$1000000,1803,FALSE)</f>
        <v>#N/A</v>
      </c>
    </row>
    <row r="107" spans="1:17" x14ac:dyDescent="0.35">
      <c r="A107" s="1" t="e">
        <f>VLOOKUP(A1,Data!$A$1:$DZU$1000000,1804,FALSE)</f>
        <v>#N/A</v>
      </c>
      <c r="B107" s="1" t="e">
        <f>VLOOKUP(A1,Data!$A$1:$DZU$1000000,1805,FALSE)</f>
        <v>#N/A</v>
      </c>
      <c r="C107" s="1" t="e">
        <f>VLOOKUP(A1,Data!$A$1:$DZU$1000000,1806,FALSE)</f>
        <v>#N/A</v>
      </c>
      <c r="D107" s="1" t="e">
        <f>VLOOKUP(A1,Data!$A$1:$DZU$1000000,1807,FALSE)</f>
        <v>#N/A</v>
      </c>
      <c r="E107" s="1" t="e">
        <f>VLOOKUP(A1,Data!$A$1:$DZU$1000000,1808,FALSE)</f>
        <v>#N/A</v>
      </c>
      <c r="F107" s="1" t="e">
        <f>VLOOKUP(A1,Data!$A$1:$DZU$1000000,1809,FALSE)</f>
        <v>#N/A</v>
      </c>
      <c r="G107" s="1" t="e">
        <f>VLOOKUP(A1,Data!$A$1:$DZU$1000000,1810,FALSE)</f>
        <v>#N/A</v>
      </c>
      <c r="H107" s="1" t="e">
        <f>VLOOKUP(A1,Data!$A$1:$DZU$1000000,1811,FALSE)</f>
        <v>#N/A</v>
      </c>
      <c r="I107" s="1" t="e">
        <f>VLOOKUP(A1,Data!$A$1:$DZU$1000000,1812,FALSE)</f>
        <v>#N/A</v>
      </c>
      <c r="J107" s="1" t="e">
        <f>VLOOKUP(A1,Data!$A$1:$DZU$1000000,1813,FALSE)</f>
        <v>#N/A</v>
      </c>
      <c r="K107" s="1" t="e">
        <f>VLOOKUP(A1,Data!$A$1:$DZU$1000000,1814,FALSE)</f>
        <v>#N/A</v>
      </c>
      <c r="L107" s="1" t="e">
        <f>VLOOKUP(A1,Data!$A$1:$DZU$1000000,1815,FALSE)</f>
        <v>#N/A</v>
      </c>
      <c r="M107" s="1" t="e">
        <f>VLOOKUP(A1,Data!$A$1:$DZU$1000000,1816,FALSE)</f>
        <v>#N/A</v>
      </c>
      <c r="N107" s="1" t="e">
        <f>VLOOKUP(A1,Data!$A$1:$DZU$1000000,1817,FALSE)</f>
        <v>#N/A</v>
      </c>
      <c r="O107" s="1" t="e">
        <f>VLOOKUP(A1,Data!$A$1:$DZU$1000000,1818,FALSE)</f>
        <v>#N/A</v>
      </c>
      <c r="P107" s="1" t="e">
        <f>VLOOKUP(A1,Data!$A$1:$DZU$1000000,1819,FALSE)</f>
        <v>#N/A</v>
      </c>
      <c r="Q107" s="1" t="e">
        <f>VLOOKUP(A1,Data!$A$1:$DZU$1000000,1820,FALSE)</f>
        <v>#N/A</v>
      </c>
    </row>
    <row r="108" spans="1:17" x14ac:dyDescent="0.35">
      <c r="A108" s="1" t="e">
        <f>VLOOKUP(A1,Data!$A$1:$DZU$1000000,1821,FALSE)</f>
        <v>#N/A</v>
      </c>
      <c r="B108" s="1" t="e">
        <f>VLOOKUP(A1,Data!$A$1:$DZU$1000000,1822,FALSE)</f>
        <v>#N/A</v>
      </c>
      <c r="C108" s="1" t="e">
        <f>VLOOKUP(A1,Data!$A$1:$DZU$1000000,1823,FALSE)</f>
        <v>#N/A</v>
      </c>
      <c r="D108" s="1" t="e">
        <f>VLOOKUP(A1,Data!$A$1:$DZU$1000000,1824,FALSE)</f>
        <v>#N/A</v>
      </c>
      <c r="E108" s="1" t="e">
        <f>VLOOKUP(A1,Data!$A$1:$DZU$1000000,1825,FALSE)</f>
        <v>#N/A</v>
      </c>
      <c r="F108" s="1" t="e">
        <f>VLOOKUP(A1,Data!$A$1:$DZU$1000000,1826,FALSE)</f>
        <v>#N/A</v>
      </c>
      <c r="G108" s="1" t="e">
        <f>VLOOKUP(A1,Data!$A$1:$DZU$1000000,1827,FALSE)</f>
        <v>#N/A</v>
      </c>
      <c r="H108" s="1" t="e">
        <f>VLOOKUP(A1,Data!$A$1:$DZU$1000000,1828,FALSE)</f>
        <v>#N/A</v>
      </c>
      <c r="I108" s="1" t="e">
        <f>VLOOKUP(A1,Data!$A$1:$DZU$1000000,1829,FALSE)</f>
        <v>#N/A</v>
      </c>
      <c r="J108" s="1" t="e">
        <f>VLOOKUP(A1,Data!$A$1:$DZU$1000000,1830,FALSE)</f>
        <v>#N/A</v>
      </c>
      <c r="K108" s="1" t="e">
        <f>VLOOKUP(A1,Data!$A$1:$DZU$1000000,1831,FALSE)</f>
        <v>#N/A</v>
      </c>
      <c r="L108" s="1" t="e">
        <f>VLOOKUP(A1,Data!$A$1:$DZU$1000000,1832,FALSE)</f>
        <v>#N/A</v>
      </c>
      <c r="M108" s="1" t="e">
        <f>VLOOKUP(A1,Data!$A$1:$DZU$1000000,1833,FALSE)</f>
        <v>#N/A</v>
      </c>
      <c r="N108" s="1" t="e">
        <f>VLOOKUP(A1,Data!$A$1:$DZU$1000000,1834,FALSE)</f>
        <v>#N/A</v>
      </c>
      <c r="O108" s="1" t="e">
        <f>VLOOKUP(A1,Data!$A$1:$DZU$1000000,1835,FALSE)</f>
        <v>#N/A</v>
      </c>
      <c r="P108" s="1" t="e">
        <f>VLOOKUP(A1,Data!$A$1:$DZU$1000000,1836,FALSE)</f>
        <v>#N/A</v>
      </c>
      <c r="Q108" s="1" t="e">
        <f>VLOOKUP(A1,Data!$A$1:$DZU$1000000,1837,FALSE)</f>
        <v>#N/A</v>
      </c>
    </row>
    <row r="109" spans="1:17" x14ac:dyDescent="0.35">
      <c r="A109" s="1" t="e">
        <f>VLOOKUP(A1,Data!$A$1:$DZU$1000000,1838,FALSE)</f>
        <v>#N/A</v>
      </c>
      <c r="B109" s="1" t="e">
        <f>VLOOKUP(A1,Data!$A$1:$DZU$1000000,1839,FALSE)</f>
        <v>#N/A</v>
      </c>
      <c r="C109" s="1" t="e">
        <f>VLOOKUP(A1,Data!$A$1:$DZU$1000000,1840,FALSE)</f>
        <v>#N/A</v>
      </c>
      <c r="D109" s="1" t="e">
        <f>VLOOKUP(A1,Data!$A$1:$DZU$1000000,1841,FALSE)</f>
        <v>#N/A</v>
      </c>
      <c r="E109" s="1" t="e">
        <f>VLOOKUP(A1,Data!$A$1:$DZU$1000000,1842,FALSE)</f>
        <v>#N/A</v>
      </c>
      <c r="F109" s="1" t="e">
        <f>VLOOKUP(A1,Data!$A$1:$DZU$1000000,1843,FALSE)</f>
        <v>#N/A</v>
      </c>
      <c r="G109" s="1" t="e">
        <f>VLOOKUP(A1,Data!$A$1:$DZU$1000000,1844,FALSE)</f>
        <v>#N/A</v>
      </c>
      <c r="H109" s="1" t="e">
        <f>VLOOKUP(A1,Data!$A$1:$DZU$1000000,1845,FALSE)</f>
        <v>#N/A</v>
      </c>
      <c r="I109" s="1" t="e">
        <f>VLOOKUP(A1,Data!$A$1:$DZU$1000000,1846,FALSE)</f>
        <v>#N/A</v>
      </c>
      <c r="J109" s="1" t="e">
        <f>VLOOKUP(A1,Data!$A$1:$DZU$1000000,1847,FALSE)</f>
        <v>#N/A</v>
      </c>
      <c r="K109" s="1" t="e">
        <f>VLOOKUP(A1,Data!$A$1:$DZU$1000000,1848,FALSE)</f>
        <v>#N/A</v>
      </c>
      <c r="L109" s="1" t="e">
        <f>VLOOKUP(A1,Data!$A$1:$DZU$1000000,1849,FALSE)</f>
        <v>#N/A</v>
      </c>
      <c r="M109" s="1" t="e">
        <f>VLOOKUP(A1,Data!$A$1:$DZU$1000000,1850,FALSE)</f>
        <v>#N/A</v>
      </c>
      <c r="N109" s="1" t="e">
        <f>VLOOKUP(A1,Data!$A$1:$DZU$1000000,1851,FALSE)</f>
        <v>#N/A</v>
      </c>
      <c r="O109" s="1" t="e">
        <f>VLOOKUP(A1,Data!$A$1:$DZU$1000000,1852,FALSE)</f>
        <v>#N/A</v>
      </c>
      <c r="P109" s="1" t="e">
        <f>VLOOKUP(A1,Data!$A$1:$DZU$1000000,1853,FALSE)</f>
        <v>#N/A</v>
      </c>
      <c r="Q109" s="1" t="e">
        <f>VLOOKUP(A1,Data!$A$1:$DZU$1000000,1854,FALSE)</f>
        <v>#N/A</v>
      </c>
    </row>
    <row r="110" spans="1:17" x14ac:dyDescent="0.35">
      <c r="A110" s="1" t="e">
        <f>VLOOKUP(A1,Data!$A$1:$DZU$1000000,1855,FALSE)</f>
        <v>#N/A</v>
      </c>
      <c r="B110" s="1" t="e">
        <f>VLOOKUP(A1,Data!$A$1:$DZU$1000000,1856,FALSE)</f>
        <v>#N/A</v>
      </c>
      <c r="C110" s="1" t="e">
        <f>VLOOKUP(A1,Data!$A$1:$DZU$1000000,1857,FALSE)</f>
        <v>#N/A</v>
      </c>
      <c r="D110" s="1" t="e">
        <f>VLOOKUP(A1,Data!$A$1:$DZU$1000000,1858,FALSE)</f>
        <v>#N/A</v>
      </c>
      <c r="E110" s="1" t="e">
        <f>VLOOKUP(A1,Data!$A$1:$DZU$1000000,1859,FALSE)</f>
        <v>#N/A</v>
      </c>
      <c r="F110" s="1" t="e">
        <f>VLOOKUP(A1,Data!$A$1:$DZU$1000000,1860,FALSE)</f>
        <v>#N/A</v>
      </c>
      <c r="G110" s="1" t="e">
        <f>VLOOKUP(A1,Data!$A$1:$DZU$1000000,1861,FALSE)</f>
        <v>#N/A</v>
      </c>
      <c r="H110" s="1" t="e">
        <f>VLOOKUP(A1,Data!$A$1:$DZU$1000000,1862,FALSE)</f>
        <v>#N/A</v>
      </c>
      <c r="I110" s="1" t="e">
        <f>VLOOKUP(A1,Data!$A$1:$DZU$1000000,1863,FALSE)</f>
        <v>#N/A</v>
      </c>
      <c r="J110" s="1" t="e">
        <f>VLOOKUP(A1,Data!$A$1:$DZU$1000000,1864,FALSE)</f>
        <v>#N/A</v>
      </c>
      <c r="K110" s="1" t="e">
        <f>VLOOKUP(A1,Data!$A$1:$DZU$1000000,1865,FALSE)</f>
        <v>#N/A</v>
      </c>
      <c r="L110" s="1" t="e">
        <f>VLOOKUP(A1,Data!$A$1:$DZU$1000000,1866,FALSE)</f>
        <v>#N/A</v>
      </c>
      <c r="M110" s="1" t="e">
        <f>VLOOKUP(A1,Data!$A$1:$DZU$1000000,1867,FALSE)</f>
        <v>#N/A</v>
      </c>
      <c r="N110" s="1" t="e">
        <f>VLOOKUP(A1,Data!$A$1:$DZU$1000000,1868,FALSE)</f>
        <v>#N/A</v>
      </c>
      <c r="O110" s="1" t="e">
        <f>VLOOKUP(A1,Data!$A$1:$DZU$1000000,1869,FALSE)</f>
        <v>#N/A</v>
      </c>
      <c r="P110" s="1" t="e">
        <f>VLOOKUP(A1,Data!$A$1:$DZU$1000000,1870,FALSE)</f>
        <v>#N/A</v>
      </c>
      <c r="Q110" s="1" t="e">
        <f>VLOOKUP(A1,Data!$A$1:$DZU$1000000,1871,FALSE)</f>
        <v>#N/A</v>
      </c>
    </row>
    <row r="111" spans="1:17" x14ac:dyDescent="0.35">
      <c r="A111" s="1" t="e">
        <f>VLOOKUP(A1,Data!$A$1:$DZU$1000000,1872,FALSE)</f>
        <v>#N/A</v>
      </c>
      <c r="B111" s="1" t="e">
        <f>VLOOKUP(A1,Data!$A$1:$DZU$1000000,1873,FALSE)</f>
        <v>#N/A</v>
      </c>
      <c r="C111" s="1" t="e">
        <f>VLOOKUP(A1,Data!$A$1:$DZU$1000000,1874,FALSE)</f>
        <v>#N/A</v>
      </c>
      <c r="D111" s="1" t="e">
        <f>VLOOKUP(A1,Data!$A$1:$DZU$1000000,1875,FALSE)</f>
        <v>#N/A</v>
      </c>
      <c r="E111" s="1" t="e">
        <f>VLOOKUP(A1,Data!$A$1:$DZU$1000000,1876,FALSE)</f>
        <v>#N/A</v>
      </c>
      <c r="F111" s="1" t="e">
        <f>VLOOKUP(A1,Data!$A$1:$DZU$1000000,1877,FALSE)</f>
        <v>#N/A</v>
      </c>
      <c r="G111" s="1" t="e">
        <f>VLOOKUP(A1,Data!$A$1:$DZU$1000000,1878,FALSE)</f>
        <v>#N/A</v>
      </c>
      <c r="H111" s="1" t="e">
        <f>VLOOKUP(A1,Data!$A$1:$DZU$1000000,1879,FALSE)</f>
        <v>#N/A</v>
      </c>
      <c r="I111" s="1" t="e">
        <f>VLOOKUP(A1,Data!$A$1:$DZU$1000000,1880,FALSE)</f>
        <v>#N/A</v>
      </c>
      <c r="J111" s="1" t="e">
        <f>VLOOKUP(A1,Data!$A$1:$DZU$1000000,1881,FALSE)</f>
        <v>#N/A</v>
      </c>
      <c r="K111" s="1" t="e">
        <f>VLOOKUP(A1,Data!$A$1:$DZU$1000000,1882,FALSE)</f>
        <v>#N/A</v>
      </c>
      <c r="L111" s="1" t="e">
        <f>VLOOKUP(A1,Data!$A$1:$DZU$1000000,1883,FALSE)</f>
        <v>#N/A</v>
      </c>
      <c r="M111" s="1" t="e">
        <f>VLOOKUP(A1,Data!$A$1:$DZU$1000000,1884,FALSE)</f>
        <v>#N/A</v>
      </c>
      <c r="N111" s="1" t="e">
        <f>VLOOKUP(A1,Data!$A$1:$DZU$1000000,1885,FALSE)</f>
        <v>#N/A</v>
      </c>
      <c r="O111" s="1" t="e">
        <f>VLOOKUP(A1,Data!$A$1:$DZU$1000000,1886,FALSE)</f>
        <v>#N/A</v>
      </c>
      <c r="P111" s="1" t="e">
        <f>VLOOKUP(A1,Data!$A$1:$DZU$1000000,1887,FALSE)</f>
        <v>#N/A</v>
      </c>
      <c r="Q111" s="1" t="e">
        <f>VLOOKUP(A1,Data!$A$1:$DZU$1000000,1888,FALSE)</f>
        <v>#N/A</v>
      </c>
    </row>
    <row r="112" spans="1:17" x14ac:dyDescent="0.35">
      <c r="A112" s="1" t="e">
        <f>VLOOKUP(A1,Data!$A$1:$DZU$1000000,1889,FALSE)</f>
        <v>#N/A</v>
      </c>
      <c r="B112" s="1" t="e">
        <f>VLOOKUP(A1,Data!$A$1:$DZU$1000000,1890,FALSE)</f>
        <v>#N/A</v>
      </c>
      <c r="C112" s="1" t="e">
        <f>VLOOKUP(A1,Data!$A$1:$DZU$1000000,1891,FALSE)</f>
        <v>#N/A</v>
      </c>
      <c r="D112" s="1" t="e">
        <f>VLOOKUP(A1,Data!$A$1:$DZU$1000000,1892,FALSE)</f>
        <v>#N/A</v>
      </c>
      <c r="E112" s="1" t="e">
        <f>VLOOKUP(A1,Data!$A$1:$DZU$1000000,1893,FALSE)</f>
        <v>#N/A</v>
      </c>
      <c r="F112" s="1" t="e">
        <f>VLOOKUP(A1,Data!$A$1:$DZU$1000000,1894,FALSE)</f>
        <v>#N/A</v>
      </c>
      <c r="G112" s="1" t="e">
        <f>VLOOKUP(A1,Data!$A$1:$DZU$1000000,1895,FALSE)</f>
        <v>#N/A</v>
      </c>
      <c r="H112" s="1" t="e">
        <f>VLOOKUP(A1,Data!$A$1:$DZU$1000000,1896,FALSE)</f>
        <v>#N/A</v>
      </c>
      <c r="I112" s="1" t="e">
        <f>VLOOKUP(A1,Data!$A$1:$DZU$1000000,1897,FALSE)</f>
        <v>#N/A</v>
      </c>
      <c r="J112" s="1" t="e">
        <f>VLOOKUP(A1,Data!$A$1:$DZU$1000000,1898,FALSE)</f>
        <v>#N/A</v>
      </c>
      <c r="K112" s="1" t="e">
        <f>VLOOKUP(A1,Data!$A$1:$DZU$1000000,1899,FALSE)</f>
        <v>#N/A</v>
      </c>
      <c r="L112" s="1" t="e">
        <f>VLOOKUP(A1,Data!$A$1:$DZU$1000000,1900,FALSE)</f>
        <v>#N/A</v>
      </c>
      <c r="M112" s="1" t="e">
        <f>VLOOKUP(A1,Data!$A$1:$DZU$1000000,1901,FALSE)</f>
        <v>#N/A</v>
      </c>
      <c r="N112" s="1" t="e">
        <f>VLOOKUP(A1,Data!$A$1:$DZU$1000000,1902,FALSE)</f>
        <v>#N/A</v>
      </c>
      <c r="O112" s="1" t="e">
        <f>VLOOKUP(A1,Data!$A$1:$DZU$1000000,1903,FALSE)</f>
        <v>#N/A</v>
      </c>
      <c r="P112" s="1" t="e">
        <f>VLOOKUP(A1,Data!$A$1:$DZU$1000000,1904,FALSE)</f>
        <v>#N/A</v>
      </c>
      <c r="Q112" s="1" t="e">
        <f>VLOOKUP(A1,Data!$A$1:$DZU$1000000,1905,FALSE)</f>
        <v>#N/A</v>
      </c>
    </row>
    <row r="113" spans="1:17" x14ac:dyDescent="0.35">
      <c r="A113" s="1" t="e">
        <f>VLOOKUP(A1,Data!$A$1:$DZU$1000000,1906,FALSE)</f>
        <v>#N/A</v>
      </c>
      <c r="B113" s="1" t="e">
        <f>VLOOKUP(A1,Data!$A$1:$DZU$1000000,1907,FALSE)</f>
        <v>#N/A</v>
      </c>
      <c r="C113" s="1" t="e">
        <f>VLOOKUP(A1,Data!$A$1:$DZU$1000000,1908,FALSE)</f>
        <v>#N/A</v>
      </c>
      <c r="D113" s="1" t="e">
        <f>VLOOKUP(A1,Data!$A$1:$DZU$1000000,1909,FALSE)</f>
        <v>#N/A</v>
      </c>
      <c r="E113" s="1" t="e">
        <f>VLOOKUP(A1,Data!$A$1:$DZU$1000000,1910,FALSE)</f>
        <v>#N/A</v>
      </c>
      <c r="F113" s="1" t="e">
        <f>VLOOKUP(A1,Data!$A$1:$DZU$1000000,1911,FALSE)</f>
        <v>#N/A</v>
      </c>
      <c r="G113" s="1" t="e">
        <f>VLOOKUP(A1,Data!$A$1:$DZU$1000000,1912,FALSE)</f>
        <v>#N/A</v>
      </c>
      <c r="H113" s="1" t="e">
        <f>VLOOKUP(A1,Data!$A$1:$DZU$1000000,1913,FALSE)</f>
        <v>#N/A</v>
      </c>
      <c r="I113" s="1" t="e">
        <f>VLOOKUP(A1,Data!$A$1:$DZU$1000000,1914,FALSE)</f>
        <v>#N/A</v>
      </c>
      <c r="J113" s="1" t="e">
        <f>VLOOKUP(A1,Data!$A$1:$DZU$1000000,1915,FALSE)</f>
        <v>#N/A</v>
      </c>
      <c r="K113" s="1" t="e">
        <f>VLOOKUP(A1,Data!$A$1:$DZU$1000000,1916,FALSE)</f>
        <v>#N/A</v>
      </c>
      <c r="L113" s="1" t="e">
        <f>VLOOKUP(A1,Data!$A$1:$DZU$1000000,1917,FALSE)</f>
        <v>#N/A</v>
      </c>
      <c r="M113" s="1" t="e">
        <f>VLOOKUP(A1,Data!$A$1:$DZU$1000000,1918,FALSE)</f>
        <v>#N/A</v>
      </c>
      <c r="N113" s="1" t="e">
        <f>VLOOKUP(A1,Data!$A$1:$DZU$1000000,1919,FALSE)</f>
        <v>#N/A</v>
      </c>
      <c r="O113" s="1" t="e">
        <f>VLOOKUP(A1,Data!$A$1:$DZU$1000000,1920,FALSE)</f>
        <v>#N/A</v>
      </c>
      <c r="P113" s="1" t="e">
        <f>VLOOKUP(A1,Data!$A$1:$DZU$1000000,1921,FALSE)</f>
        <v>#N/A</v>
      </c>
      <c r="Q113" s="1" t="e">
        <f>VLOOKUP(A1,Data!$A$1:$DZU$1000000,1922,FALSE)</f>
        <v>#N/A</v>
      </c>
    </row>
    <row r="114" spans="1:17" x14ac:dyDescent="0.35">
      <c r="A114" s="1" t="e">
        <f>VLOOKUP(A1,Data!$A$1:$DZU$1000000,1923,FALSE)</f>
        <v>#N/A</v>
      </c>
      <c r="B114" s="1" t="e">
        <f>VLOOKUP(A1,Data!$A$1:$DZU$1000000,1924,FALSE)</f>
        <v>#N/A</v>
      </c>
      <c r="C114" s="1" t="e">
        <f>VLOOKUP(A1,Data!$A$1:$DZU$1000000,1925,FALSE)</f>
        <v>#N/A</v>
      </c>
      <c r="D114" s="1" t="e">
        <f>VLOOKUP(A1,Data!$A$1:$DZU$1000000,1926,FALSE)</f>
        <v>#N/A</v>
      </c>
      <c r="E114" s="1" t="e">
        <f>VLOOKUP(A1,Data!$A$1:$DZU$1000000,1927,FALSE)</f>
        <v>#N/A</v>
      </c>
      <c r="F114" s="1" t="e">
        <f>VLOOKUP(A1,Data!$A$1:$DZU$1000000,1928,FALSE)</f>
        <v>#N/A</v>
      </c>
      <c r="G114" s="1" t="e">
        <f>VLOOKUP(A1,Data!$A$1:$DZU$1000000,1929,FALSE)</f>
        <v>#N/A</v>
      </c>
      <c r="H114" s="1" t="e">
        <f>VLOOKUP(A1,Data!$A$1:$DZU$1000000,1930,FALSE)</f>
        <v>#N/A</v>
      </c>
      <c r="I114" s="1" t="e">
        <f>VLOOKUP(A1,Data!$A$1:$DZU$1000000,1931,FALSE)</f>
        <v>#N/A</v>
      </c>
      <c r="J114" s="1" t="e">
        <f>VLOOKUP(A1,Data!$A$1:$DZU$1000000,1932,FALSE)</f>
        <v>#N/A</v>
      </c>
      <c r="K114" s="1" t="e">
        <f>VLOOKUP(A1,Data!$A$1:$DZU$1000000,1933,FALSE)</f>
        <v>#N/A</v>
      </c>
      <c r="L114" s="1" t="e">
        <f>VLOOKUP(A1,Data!$A$1:$DZU$1000000,1934,FALSE)</f>
        <v>#N/A</v>
      </c>
      <c r="M114" s="1" t="e">
        <f>VLOOKUP(A1,Data!$A$1:$DZU$1000000,1935,FALSE)</f>
        <v>#N/A</v>
      </c>
      <c r="N114" s="1" t="e">
        <f>VLOOKUP(A1,Data!$A$1:$DZU$1000000,1936,FALSE)</f>
        <v>#N/A</v>
      </c>
      <c r="O114" s="1" t="e">
        <f>VLOOKUP(A1,Data!$A$1:$DZU$1000000,1937,FALSE)</f>
        <v>#N/A</v>
      </c>
      <c r="P114" s="1" t="e">
        <f>VLOOKUP(A1,Data!$A$1:$DZU$1000000,1938,FALSE)</f>
        <v>#N/A</v>
      </c>
      <c r="Q114" s="1" t="e">
        <f>VLOOKUP(A1,Data!$A$1:$DZU$1000000,1939,FALSE)</f>
        <v>#N/A</v>
      </c>
    </row>
    <row r="115" spans="1:17" x14ac:dyDescent="0.35">
      <c r="A115" s="1" t="e">
        <f>VLOOKUP(A1,Data!$A$1:$DZU$1000000,1940,FALSE)</f>
        <v>#N/A</v>
      </c>
      <c r="B115" s="1" t="e">
        <f>VLOOKUP(A1,Data!$A$1:$DZU$1000000,1941,FALSE)</f>
        <v>#N/A</v>
      </c>
      <c r="C115" s="1" t="e">
        <f>VLOOKUP(A1,Data!$A$1:$DZU$1000000,1942,FALSE)</f>
        <v>#N/A</v>
      </c>
      <c r="D115" s="1" t="e">
        <f>VLOOKUP(A1,Data!$A$1:$DZU$1000000,1943,FALSE)</f>
        <v>#N/A</v>
      </c>
      <c r="E115" s="1" t="e">
        <f>VLOOKUP(A1,Data!$A$1:$DZU$1000000,1944,FALSE)</f>
        <v>#N/A</v>
      </c>
      <c r="F115" s="1" t="e">
        <f>VLOOKUP(A1,Data!$A$1:$DZU$1000000,1945,FALSE)</f>
        <v>#N/A</v>
      </c>
      <c r="G115" s="1" t="e">
        <f>VLOOKUP(A1,Data!$A$1:$DZU$1000000,1946,FALSE)</f>
        <v>#N/A</v>
      </c>
      <c r="H115" s="1" t="e">
        <f>VLOOKUP(A1,Data!$A$1:$DZU$1000000,1947,FALSE)</f>
        <v>#N/A</v>
      </c>
      <c r="I115" s="1" t="e">
        <f>VLOOKUP(A1,Data!$A$1:$DZU$1000000,1948,FALSE)</f>
        <v>#N/A</v>
      </c>
      <c r="J115" s="1" t="e">
        <f>VLOOKUP(A1,Data!$A$1:$DZU$1000000,1949,FALSE)</f>
        <v>#N/A</v>
      </c>
      <c r="K115" s="1" t="e">
        <f>VLOOKUP(A1,Data!$A$1:$DZU$1000000,1950,FALSE)</f>
        <v>#N/A</v>
      </c>
      <c r="L115" s="1" t="e">
        <f>VLOOKUP(A1,Data!$A$1:$DZU$1000000,1951,FALSE)</f>
        <v>#N/A</v>
      </c>
      <c r="M115" s="1" t="e">
        <f>VLOOKUP(A1,Data!$A$1:$DZU$1000000,1952,FALSE)</f>
        <v>#N/A</v>
      </c>
      <c r="N115" s="1" t="e">
        <f>VLOOKUP(A1,Data!$A$1:$DZU$1000000,1953,FALSE)</f>
        <v>#N/A</v>
      </c>
      <c r="O115" s="1" t="e">
        <f>VLOOKUP(A1,Data!$A$1:$DZU$1000000,1954,FALSE)</f>
        <v>#N/A</v>
      </c>
      <c r="P115" s="1" t="e">
        <f>VLOOKUP(A1,Data!$A$1:$DZU$1000000,1955,FALSE)</f>
        <v>#N/A</v>
      </c>
      <c r="Q115" s="1" t="e">
        <f>VLOOKUP(A1,Data!$A$1:$DZU$1000000,1956,FALSE)</f>
        <v>#N/A</v>
      </c>
    </row>
    <row r="116" spans="1:17" x14ac:dyDescent="0.35">
      <c r="A116" s="1" t="e">
        <f>VLOOKUP(A1,Data!$A$1:$DZU$1000000,1957,FALSE)</f>
        <v>#N/A</v>
      </c>
      <c r="B116" s="1" t="e">
        <f>VLOOKUP(A1,Data!$A$1:$DZU$1000000,1958,FALSE)</f>
        <v>#N/A</v>
      </c>
      <c r="C116" s="1" t="e">
        <f>VLOOKUP(A1,Data!$A$1:$DZU$1000000,1959,FALSE)</f>
        <v>#N/A</v>
      </c>
      <c r="D116" s="1" t="e">
        <f>VLOOKUP(A1,Data!$A$1:$DZU$1000000,1960,FALSE)</f>
        <v>#N/A</v>
      </c>
      <c r="E116" s="1" t="e">
        <f>VLOOKUP(A1,Data!$A$1:$DZU$1000000,1961,FALSE)</f>
        <v>#N/A</v>
      </c>
      <c r="F116" s="1" t="e">
        <f>VLOOKUP(A1,Data!$A$1:$DZU$1000000,1962,FALSE)</f>
        <v>#N/A</v>
      </c>
      <c r="G116" s="1" t="e">
        <f>VLOOKUP(A1,Data!$A$1:$DZU$1000000,1963,FALSE)</f>
        <v>#N/A</v>
      </c>
      <c r="H116" s="1" t="e">
        <f>VLOOKUP(A1,Data!$A$1:$DZU$1000000,1964,FALSE)</f>
        <v>#N/A</v>
      </c>
      <c r="I116" s="1" t="e">
        <f>VLOOKUP(A1,Data!$A$1:$DZU$1000000,1965,FALSE)</f>
        <v>#N/A</v>
      </c>
      <c r="J116" s="1" t="e">
        <f>VLOOKUP(A1,Data!$A$1:$DZU$1000000,1966,FALSE)</f>
        <v>#N/A</v>
      </c>
      <c r="K116" s="1" t="e">
        <f>VLOOKUP(A1,Data!$A$1:$DZU$1000000,1967,FALSE)</f>
        <v>#N/A</v>
      </c>
      <c r="L116" s="1" t="e">
        <f>VLOOKUP(A1,Data!$A$1:$DZU$1000000,1968,FALSE)</f>
        <v>#N/A</v>
      </c>
      <c r="M116" s="1" t="e">
        <f>VLOOKUP(A1,Data!$A$1:$DZU$1000000,1969,FALSE)</f>
        <v>#N/A</v>
      </c>
      <c r="N116" s="1" t="e">
        <f>VLOOKUP(A1,Data!$A$1:$DZU$1000000,1970,FALSE)</f>
        <v>#N/A</v>
      </c>
      <c r="O116" s="1" t="e">
        <f>VLOOKUP(A1,Data!$A$1:$DZU$1000000,1971,FALSE)</f>
        <v>#N/A</v>
      </c>
      <c r="P116" s="1" t="e">
        <f>VLOOKUP(A1,Data!$A$1:$DZU$1000000,1972,FALSE)</f>
        <v>#N/A</v>
      </c>
      <c r="Q116" s="1" t="e">
        <f>VLOOKUP(A1,Data!$A$1:$DZU$1000000,1973,FALSE)</f>
        <v>#N/A</v>
      </c>
    </row>
    <row r="117" spans="1:17" x14ac:dyDescent="0.35">
      <c r="A117" s="1" t="e">
        <f>VLOOKUP(A1,Data!$A$1:$DZU$1000000,1974,FALSE)</f>
        <v>#N/A</v>
      </c>
      <c r="B117" s="1" t="e">
        <f>VLOOKUP(A1,Data!$A$1:$DZU$1000000,1975,FALSE)</f>
        <v>#N/A</v>
      </c>
      <c r="C117" s="1" t="e">
        <f>VLOOKUP(A1,Data!$A$1:$DZU$1000000,1976,FALSE)</f>
        <v>#N/A</v>
      </c>
      <c r="D117" s="1" t="e">
        <f>VLOOKUP(A1,Data!$A$1:$DZU$1000000,1977,FALSE)</f>
        <v>#N/A</v>
      </c>
      <c r="E117" s="1" t="e">
        <f>VLOOKUP(A1,Data!$A$1:$DZU$1000000,1978,FALSE)</f>
        <v>#N/A</v>
      </c>
      <c r="F117" s="1" t="e">
        <f>VLOOKUP(A1,Data!$A$1:$DZU$1000000,1979,FALSE)</f>
        <v>#N/A</v>
      </c>
      <c r="G117" s="1" t="e">
        <f>VLOOKUP(A1,Data!$A$1:$DZU$1000000,1980,FALSE)</f>
        <v>#N/A</v>
      </c>
      <c r="H117" s="1" t="e">
        <f>VLOOKUP(A1,Data!$A$1:$DZU$1000000,1981,FALSE)</f>
        <v>#N/A</v>
      </c>
      <c r="I117" s="1" t="e">
        <f>VLOOKUP(A1,Data!$A$1:$DZU$1000000,1982,FALSE)</f>
        <v>#N/A</v>
      </c>
      <c r="J117" s="1" t="e">
        <f>VLOOKUP(A1,Data!$A$1:$DZU$1000000,1983,FALSE)</f>
        <v>#N/A</v>
      </c>
      <c r="K117" s="1" t="e">
        <f>VLOOKUP(A1,Data!$A$1:$DZU$1000000,1984,FALSE)</f>
        <v>#N/A</v>
      </c>
      <c r="L117" s="1" t="e">
        <f>VLOOKUP(A1,Data!$A$1:$DZU$1000000,1985,FALSE)</f>
        <v>#N/A</v>
      </c>
      <c r="M117" s="1" t="e">
        <f>VLOOKUP(A1,Data!$A$1:$DZU$1000000,1986,FALSE)</f>
        <v>#N/A</v>
      </c>
      <c r="N117" s="1" t="e">
        <f>VLOOKUP(A1,Data!$A$1:$DZU$1000000,1987,FALSE)</f>
        <v>#N/A</v>
      </c>
      <c r="O117" s="1" t="e">
        <f>VLOOKUP(A1,Data!$A$1:$DZU$1000000,1988,FALSE)</f>
        <v>#N/A</v>
      </c>
      <c r="P117" s="1" t="e">
        <f>VLOOKUP(A1,Data!$A$1:$DZU$1000000,1989,FALSE)</f>
        <v>#N/A</v>
      </c>
      <c r="Q117" s="1" t="e">
        <f>VLOOKUP(A1,Data!$A$1:$DZU$1000000,1990,FALSE)</f>
        <v>#N/A</v>
      </c>
    </row>
    <row r="118" spans="1:17" x14ac:dyDescent="0.35">
      <c r="A118" s="1" t="e">
        <f>VLOOKUP(A1,Data!$A$1:$DZU$1000000,1991,FALSE)</f>
        <v>#N/A</v>
      </c>
      <c r="B118" s="1" t="e">
        <f>VLOOKUP(A1,Data!$A$1:$DZU$1000000,1992,FALSE)</f>
        <v>#N/A</v>
      </c>
      <c r="C118" s="1" t="e">
        <f>VLOOKUP(A1,Data!$A$1:$DZU$1000000,1993,FALSE)</f>
        <v>#N/A</v>
      </c>
      <c r="D118" s="1" t="e">
        <f>VLOOKUP(A1,Data!$A$1:$DZU$1000000,1994,FALSE)</f>
        <v>#N/A</v>
      </c>
      <c r="E118" s="1" t="e">
        <f>VLOOKUP(A1,Data!$A$1:$DZU$1000000,1995,FALSE)</f>
        <v>#N/A</v>
      </c>
      <c r="F118" s="1" t="e">
        <f>VLOOKUP(A1,Data!$A$1:$DZU$1000000,1996,FALSE)</f>
        <v>#N/A</v>
      </c>
      <c r="G118" s="1" t="e">
        <f>VLOOKUP(A1,Data!$A$1:$DZU$1000000,1997,FALSE)</f>
        <v>#N/A</v>
      </c>
      <c r="H118" s="1" t="e">
        <f>VLOOKUP(A1,Data!$A$1:$DZU$1000000,1998,FALSE)</f>
        <v>#N/A</v>
      </c>
      <c r="I118" s="1" t="e">
        <f>VLOOKUP(A1,Data!$A$1:$DZU$1000000,1999,FALSE)</f>
        <v>#N/A</v>
      </c>
      <c r="J118" s="1" t="e">
        <f>VLOOKUP(A1,Data!$A$1:$DZU$1000000,2000,FALSE)</f>
        <v>#N/A</v>
      </c>
      <c r="K118" s="1" t="e">
        <f>VLOOKUP(A1,Data!$A$1:$DZU$1000000,2001,FALSE)</f>
        <v>#N/A</v>
      </c>
      <c r="L118" s="1" t="e">
        <f>VLOOKUP(A1,Data!$A$1:$DZU$1000000,2002,FALSE)</f>
        <v>#N/A</v>
      </c>
      <c r="M118" s="1" t="e">
        <f>VLOOKUP(A1,Data!$A$1:$DZU$1000000,2003,FALSE)</f>
        <v>#N/A</v>
      </c>
      <c r="N118" s="1" t="e">
        <f>VLOOKUP(A1,Data!$A$1:$DZU$1000000,2004,FALSE)</f>
        <v>#N/A</v>
      </c>
      <c r="O118" s="1" t="e">
        <f>VLOOKUP(A1,Data!$A$1:$DZU$1000000,2005,FALSE)</f>
        <v>#N/A</v>
      </c>
      <c r="P118" s="1" t="e">
        <f>VLOOKUP(A1,Data!$A$1:$DZU$1000000,2006,FALSE)</f>
        <v>#N/A</v>
      </c>
      <c r="Q118" s="1" t="e">
        <f>VLOOKUP(A1,Data!$A$1:$DZU$1000000,2007,FALSE)</f>
        <v>#N/A</v>
      </c>
    </row>
    <row r="119" spans="1:17" x14ac:dyDescent="0.35">
      <c r="A119" s="1" t="e">
        <f>VLOOKUP(A1,Data!$A$1:$DZU$1000000,2008,FALSE)</f>
        <v>#N/A</v>
      </c>
      <c r="B119" s="1" t="e">
        <f>VLOOKUP(A1,Data!$A$1:$DZU$1000000,2009,FALSE)</f>
        <v>#N/A</v>
      </c>
      <c r="C119" s="1" t="e">
        <f>VLOOKUP(A1,Data!$A$1:$DZU$1000000,2010,FALSE)</f>
        <v>#N/A</v>
      </c>
      <c r="D119" s="1" t="e">
        <f>VLOOKUP(A1,Data!$A$1:$DZU$1000000,2011,FALSE)</f>
        <v>#N/A</v>
      </c>
      <c r="E119" s="1" t="e">
        <f>VLOOKUP(A1,Data!$A$1:$DZU$1000000,2012,FALSE)</f>
        <v>#N/A</v>
      </c>
      <c r="F119" s="1" t="e">
        <f>VLOOKUP(A1,Data!$A$1:$DZU$1000000,2013,FALSE)</f>
        <v>#N/A</v>
      </c>
      <c r="G119" s="1" t="e">
        <f>VLOOKUP(A1,Data!$A$1:$DZU$1000000,2014,FALSE)</f>
        <v>#N/A</v>
      </c>
      <c r="H119" s="1" t="e">
        <f>VLOOKUP(A1,Data!$A$1:$DZU$1000000,2015,FALSE)</f>
        <v>#N/A</v>
      </c>
      <c r="I119" s="1" t="e">
        <f>VLOOKUP(A1,Data!$A$1:$DZU$1000000,2016,FALSE)</f>
        <v>#N/A</v>
      </c>
      <c r="J119" s="1" t="e">
        <f>VLOOKUP(A1,Data!$A$1:$DZU$1000000,2017,FALSE)</f>
        <v>#N/A</v>
      </c>
      <c r="K119" s="1" t="e">
        <f>VLOOKUP(A1,Data!$A$1:$DZU$1000000,2018,FALSE)</f>
        <v>#N/A</v>
      </c>
      <c r="L119" s="1" t="e">
        <f>VLOOKUP(A1,Data!$A$1:$DZU$1000000,2019,FALSE)</f>
        <v>#N/A</v>
      </c>
      <c r="M119" s="1" t="e">
        <f>VLOOKUP(A1,Data!$A$1:$DZU$1000000,2020,FALSE)</f>
        <v>#N/A</v>
      </c>
      <c r="N119" s="1" t="e">
        <f>VLOOKUP(A1,Data!$A$1:$DZU$1000000,2021,FALSE)</f>
        <v>#N/A</v>
      </c>
      <c r="O119" s="1" t="e">
        <f>VLOOKUP(A1,Data!$A$1:$DZU$1000000,2022,FALSE)</f>
        <v>#N/A</v>
      </c>
      <c r="P119" s="1" t="e">
        <f>VLOOKUP(A1,Data!$A$1:$DZU$1000000,2023,FALSE)</f>
        <v>#N/A</v>
      </c>
      <c r="Q119" s="1" t="e">
        <f>VLOOKUP(A1,Data!$A$1:$DZU$1000000,2024,FALSE)</f>
        <v>#N/A</v>
      </c>
    </row>
    <row r="120" spans="1:17" x14ac:dyDescent="0.35">
      <c r="A120" s="1" t="e">
        <f>VLOOKUP(A1,Data!$A$1:$DZU$1000000,2025,FALSE)</f>
        <v>#N/A</v>
      </c>
      <c r="B120" s="1" t="e">
        <f>VLOOKUP(A1,Data!$A$1:$DZU$1000000,2026,FALSE)</f>
        <v>#N/A</v>
      </c>
      <c r="C120" s="1" t="e">
        <f>VLOOKUP(A1,Data!$A$1:$DZU$1000000,2027,FALSE)</f>
        <v>#N/A</v>
      </c>
      <c r="D120" s="1" t="e">
        <f>VLOOKUP(A1,Data!$A$1:$DZU$1000000,2028,FALSE)</f>
        <v>#N/A</v>
      </c>
      <c r="E120" s="1" t="e">
        <f>VLOOKUP(A1,Data!$A$1:$DZU$1000000,2029,FALSE)</f>
        <v>#N/A</v>
      </c>
      <c r="F120" s="1" t="e">
        <f>VLOOKUP(A1,Data!$A$1:$DZU$1000000,2030,FALSE)</f>
        <v>#N/A</v>
      </c>
      <c r="G120" s="1" t="e">
        <f>VLOOKUP(A1,Data!$A$1:$DZU$1000000,2031,FALSE)</f>
        <v>#N/A</v>
      </c>
      <c r="H120" s="1" t="e">
        <f>VLOOKUP(A1,Data!$A$1:$DZU$1000000,2032,FALSE)</f>
        <v>#N/A</v>
      </c>
      <c r="I120" s="1" t="e">
        <f>VLOOKUP(A1,Data!$A$1:$DZU$1000000,2033,FALSE)</f>
        <v>#N/A</v>
      </c>
      <c r="J120" s="1" t="e">
        <f>VLOOKUP(A1,Data!$A$1:$DZU$1000000,2034,FALSE)</f>
        <v>#N/A</v>
      </c>
      <c r="K120" s="1" t="e">
        <f>VLOOKUP(A1,Data!$A$1:$DZU$1000000,2035,FALSE)</f>
        <v>#N/A</v>
      </c>
      <c r="L120" s="1" t="e">
        <f>VLOOKUP(A1,Data!$A$1:$DZU$1000000,2036,FALSE)</f>
        <v>#N/A</v>
      </c>
      <c r="M120" s="1" t="e">
        <f>VLOOKUP(A1,Data!$A$1:$DZU$1000000,2037,FALSE)</f>
        <v>#N/A</v>
      </c>
      <c r="N120" s="1" t="e">
        <f>VLOOKUP(A1,Data!$A$1:$DZU$1000000,2038,FALSE)</f>
        <v>#N/A</v>
      </c>
      <c r="O120" s="1" t="e">
        <f>VLOOKUP(A1,Data!$A$1:$DZU$1000000,2039,FALSE)</f>
        <v>#N/A</v>
      </c>
      <c r="P120" s="1" t="e">
        <f>VLOOKUP(A1,Data!$A$1:$DZU$1000000,2040,FALSE)</f>
        <v>#N/A</v>
      </c>
      <c r="Q120" s="1" t="e">
        <f>VLOOKUP(A1,Data!$A$1:$DZU$1000000,2041,FALSE)</f>
        <v>#N/A</v>
      </c>
    </row>
    <row r="121" spans="1:17" x14ac:dyDescent="0.35">
      <c r="A121" s="1" t="e">
        <f>VLOOKUP(A1,Data!$A$1:$DZU$1000000,2042,FALSE)</f>
        <v>#N/A</v>
      </c>
      <c r="B121" s="1" t="e">
        <f>VLOOKUP(A1,Data!$A$1:$DZU$1000000,2043,FALSE)</f>
        <v>#N/A</v>
      </c>
      <c r="C121" s="1" t="e">
        <f>VLOOKUP(A1,Data!$A$1:$DZU$1000000,2044,FALSE)</f>
        <v>#N/A</v>
      </c>
      <c r="D121" s="1" t="e">
        <f>VLOOKUP(A1,Data!$A$1:$DZU$1000000,2045,FALSE)</f>
        <v>#N/A</v>
      </c>
      <c r="E121" s="1" t="e">
        <f>VLOOKUP(A1,Data!$A$1:$DZU$1000000,2046,FALSE)</f>
        <v>#N/A</v>
      </c>
      <c r="F121" s="1" t="e">
        <f>VLOOKUP(A1,Data!$A$1:$DZU$1000000,2047,FALSE)</f>
        <v>#N/A</v>
      </c>
      <c r="G121" s="1" t="e">
        <f>VLOOKUP(A1,Data!$A$1:$DZU$1000000,2048,FALSE)</f>
        <v>#N/A</v>
      </c>
      <c r="H121" s="1" t="e">
        <f>VLOOKUP(A1,Data!$A$1:$DZU$1000000,2049,FALSE)</f>
        <v>#N/A</v>
      </c>
      <c r="I121" s="1" t="e">
        <f>VLOOKUP(A1,Data!$A$1:$DZU$1000000,2050,FALSE)</f>
        <v>#N/A</v>
      </c>
      <c r="J121" s="1" t="e">
        <f>VLOOKUP(A1,Data!$A$1:$DZU$1000000,2051,FALSE)</f>
        <v>#N/A</v>
      </c>
      <c r="K121" s="1" t="e">
        <f>VLOOKUP(A1,Data!$A$1:$DZU$1000000,2052,FALSE)</f>
        <v>#N/A</v>
      </c>
      <c r="L121" s="1" t="e">
        <f>VLOOKUP(A1,Data!$A$1:$DZU$1000000,2053,FALSE)</f>
        <v>#N/A</v>
      </c>
      <c r="M121" s="1" t="e">
        <f>VLOOKUP(A1,Data!$A$1:$DZU$1000000,2054,FALSE)</f>
        <v>#N/A</v>
      </c>
      <c r="N121" s="1" t="e">
        <f>VLOOKUP(A1,Data!$A$1:$DZU$1000000,2055,FALSE)</f>
        <v>#N/A</v>
      </c>
      <c r="O121" s="1" t="e">
        <f>VLOOKUP(A1,Data!$A$1:$DZU$1000000,2056,FALSE)</f>
        <v>#N/A</v>
      </c>
      <c r="P121" s="1" t="e">
        <f>VLOOKUP(A1,Data!$A$1:$DZU$1000000,2057,FALSE)</f>
        <v>#N/A</v>
      </c>
      <c r="Q121" s="1" t="e">
        <f>VLOOKUP(A1,Data!$A$1:$DZU$1000000,2058,FALSE)</f>
        <v>#N/A</v>
      </c>
    </row>
    <row r="122" spans="1:17" x14ac:dyDescent="0.35">
      <c r="A122" s="1" t="e">
        <f>VLOOKUP(A1,Data!$A$1:$DZU$1000000,2059,FALSE)</f>
        <v>#N/A</v>
      </c>
      <c r="B122" s="1" t="e">
        <f>VLOOKUP(A1,Data!$A$1:$DZU$1000000,2060,FALSE)</f>
        <v>#N/A</v>
      </c>
      <c r="C122" s="1" t="e">
        <f>VLOOKUP(A1,Data!$A$1:$DZU$1000000,2061,FALSE)</f>
        <v>#N/A</v>
      </c>
      <c r="D122" s="1" t="e">
        <f>VLOOKUP(A1,Data!$A$1:$DZU$1000000,2062,FALSE)</f>
        <v>#N/A</v>
      </c>
      <c r="E122" s="1" t="e">
        <f>VLOOKUP(A1,Data!$A$1:$DZU$1000000,2063,FALSE)</f>
        <v>#N/A</v>
      </c>
      <c r="F122" s="1" t="e">
        <f>VLOOKUP(A1,Data!$A$1:$DZU$1000000,2064,FALSE)</f>
        <v>#N/A</v>
      </c>
      <c r="G122" s="1" t="e">
        <f>VLOOKUP(A1,Data!$A$1:$DZU$1000000,2065,FALSE)</f>
        <v>#N/A</v>
      </c>
      <c r="H122" s="1" t="e">
        <f>VLOOKUP(A1,Data!$A$1:$DZU$1000000,2066,FALSE)</f>
        <v>#N/A</v>
      </c>
      <c r="I122" s="1" t="e">
        <f>VLOOKUP(A1,Data!$A$1:$DZU$1000000,2067,FALSE)</f>
        <v>#N/A</v>
      </c>
      <c r="J122" s="1" t="e">
        <f>VLOOKUP(A1,Data!$A$1:$DZU$1000000,2068,FALSE)</f>
        <v>#N/A</v>
      </c>
      <c r="K122" s="1" t="e">
        <f>VLOOKUP(A1,Data!$A$1:$DZU$1000000,2069,FALSE)</f>
        <v>#N/A</v>
      </c>
      <c r="L122" s="1" t="e">
        <f>VLOOKUP(A1,Data!$A$1:$DZU$1000000,2070,FALSE)</f>
        <v>#N/A</v>
      </c>
      <c r="M122" s="1" t="e">
        <f>VLOOKUP(A1,Data!$A$1:$DZU$1000000,2071,FALSE)</f>
        <v>#N/A</v>
      </c>
      <c r="N122" s="1" t="e">
        <f>VLOOKUP(A1,Data!$A$1:$DZU$1000000,2072,FALSE)</f>
        <v>#N/A</v>
      </c>
      <c r="O122" s="1" t="e">
        <f>VLOOKUP(A1,Data!$A$1:$DZU$1000000,2073,FALSE)</f>
        <v>#N/A</v>
      </c>
      <c r="P122" s="1" t="e">
        <f>VLOOKUP(A1,Data!$A$1:$DZU$1000000,2074,FALSE)</f>
        <v>#N/A</v>
      </c>
      <c r="Q122" s="1" t="e">
        <f>VLOOKUP(A1,Data!$A$1:$DZU$1000000,2075,FALSE)</f>
        <v>#N/A</v>
      </c>
    </row>
    <row r="123" spans="1:17" x14ac:dyDescent="0.35">
      <c r="A123" s="1" t="e">
        <f>VLOOKUP(A1,Data!$A$1:$DZU$1000000,2076,FALSE)</f>
        <v>#N/A</v>
      </c>
      <c r="B123" s="1" t="e">
        <f>VLOOKUP(A1,Data!$A$1:$DZU$1000000,2077,FALSE)</f>
        <v>#N/A</v>
      </c>
      <c r="C123" s="1" t="e">
        <f>VLOOKUP(A1,Data!$A$1:$DZU$1000000,2078,FALSE)</f>
        <v>#N/A</v>
      </c>
      <c r="D123" s="1" t="e">
        <f>VLOOKUP(A1,Data!$A$1:$DZU$1000000,2079,FALSE)</f>
        <v>#N/A</v>
      </c>
      <c r="E123" s="1" t="e">
        <f>VLOOKUP(A1,Data!$A$1:$DZU$1000000,2080,FALSE)</f>
        <v>#N/A</v>
      </c>
      <c r="F123" s="1" t="e">
        <f>VLOOKUP(A1,Data!$A$1:$DZU$1000000,2081,FALSE)</f>
        <v>#N/A</v>
      </c>
      <c r="G123" s="1" t="e">
        <f>VLOOKUP(A1,Data!$A$1:$DZU$1000000,2082,FALSE)</f>
        <v>#N/A</v>
      </c>
      <c r="H123" s="1" t="e">
        <f>VLOOKUP(A1,Data!$A$1:$DZU$1000000,2083,FALSE)</f>
        <v>#N/A</v>
      </c>
      <c r="I123" s="1" t="e">
        <f>VLOOKUP(A1,Data!$A$1:$DZU$1000000,2084,FALSE)</f>
        <v>#N/A</v>
      </c>
      <c r="J123" s="1" t="e">
        <f>VLOOKUP(A1,Data!$A$1:$DZU$1000000,2085,FALSE)</f>
        <v>#N/A</v>
      </c>
      <c r="K123" s="1" t="e">
        <f>VLOOKUP(A1,Data!$A$1:$DZU$1000000,2086,FALSE)</f>
        <v>#N/A</v>
      </c>
      <c r="L123" s="1" t="e">
        <f>VLOOKUP(A1,Data!$A$1:$DZU$1000000,2087,FALSE)</f>
        <v>#N/A</v>
      </c>
      <c r="M123" s="1" t="e">
        <f>VLOOKUP(A1,Data!$A$1:$DZU$1000000,2088,FALSE)</f>
        <v>#N/A</v>
      </c>
      <c r="N123" s="1" t="e">
        <f>VLOOKUP(A1,Data!$A$1:$DZU$1000000,2089,FALSE)</f>
        <v>#N/A</v>
      </c>
      <c r="O123" s="1" t="e">
        <f>VLOOKUP(A1,Data!$A$1:$DZU$1000000,2090,FALSE)</f>
        <v>#N/A</v>
      </c>
      <c r="P123" s="1" t="e">
        <f>VLOOKUP(A1,Data!$A$1:$DZU$1000000,2091,FALSE)</f>
        <v>#N/A</v>
      </c>
      <c r="Q123" s="1" t="e">
        <f>VLOOKUP(A1,Data!$A$1:$DZU$1000000,2092,FALSE)</f>
        <v>#N/A</v>
      </c>
    </row>
    <row r="124" spans="1:17" x14ac:dyDescent="0.35">
      <c r="A124" s="1" t="e">
        <f>VLOOKUP(A1,Data!$A$1:$DZU$1000000,2093,FALSE)</f>
        <v>#N/A</v>
      </c>
      <c r="B124" s="1" t="e">
        <f>VLOOKUP(A1,Data!$A$1:$DZU$1000000,2094,FALSE)</f>
        <v>#N/A</v>
      </c>
      <c r="C124" s="1" t="e">
        <f>VLOOKUP(A1,Data!$A$1:$DZU$1000000,2095,FALSE)</f>
        <v>#N/A</v>
      </c>
      <c r="D124" s="1" t="e">
        <f>VLOOKUP(A1,Data!$A$1:$DZU$1000000,2096,FALSE)</f>
        <v>#N/A</v>
      </c>
      <c r="E124" s="1" t="e">
        <f>VLOOKUP(A1,Data!$A$1:$DZU$1000000,2097,FALSE)</f>
        <v>#N/A</v>
      </c>
      <c r="F124" s="1" t="e">
        <f>VLOOKUP(A1,Data!$A$1:$DZU$1000000,2098,FALSE)</f>
        <v>#N/A</v>
      </c>
      <c r="G124" s="1" t="e">
        <f>VLOOKUP(A1,Data!$A$1:$DZU$1000000,2099,FALSE)</f>
        <v>#N/A</v>
      </c>
      <c r="H124" s="1" t="e">
        <f>VLOOKUP(A1,Data!$A$1:$DZU$1000000,2100,FALSE)</f>
        <v>#N/A</v>
      </c>
      <c r="I124" s="1" t="e">
        <f>VLOOKUP(A1,Data!$A$1:$DZU$1000000,2101,FALSE)</f>
        <v>#N/A</v>
      </c>
      <c r="J124" s="1" t="e">
        <f>VLOOKUP(A1,Data!$A$1:$DZU$1000000,2102,FALSE)</f>
        <v>#N/A</v>
      </c>
      <c r="K124" s="1" t="e">
        <f>VLOOKUP(A1,Data!$A$1:$DZU$1000000,2103,FALSE)</f>
        <v>#N/A</v>
      </c>
      <c r="L124" s="1" t="e">
        <f>VLOOKUP(A1,Data!$A$1:$DZU$1000000,2104,FALSE)</f>
        <v>#N/A</v>
      </c>
      <c r="M124" s="1" t="e">
        <f>VLOOKUP(A1,Data!$A$1:$DZU$1000000,2105,FALSE)</f>
        <v>#N/A</v>
      </c>
      <c r="N124" s="1" t="e">
        <f>VLOOKUP(A1,Data!$A$1:$DZU$1000000,2106,FALSE)</f>
        <v>#N/A</v>
      </c>
      <c r="O124" s="1" t="e">
        <f>VLOOKUP(A1,Data!$A$1:$DZU$1000000,2107,FALSE)</f>
        <v>#N/A</v>
      </c>
      <c r="P124" s="1" t="e">
        <f>VLOOKUP(A1,Data!$A$1:$DZU$1000000,2108,FALSE)</f>
        <v>#N/A</v>
      </c>
      <c r="Q124" s="1" t="e">
        <f>VLOOKUP(A1,Data!$A$1:$DZU$1000000,2109,FALSE)</f>
        <v>#N/A</v>
      </c>
    </row>
    <row r="125" spans="1:17" x14ac:dyDescent="0.35">
      <c r="A125" s="1" t="e">
        <f>VLOOKUP(A1,Data!$A$1:$DZU$1000000,2110,FALSE)</f>
        <v>#N/A</v>
      </c>
      <c r="B125" s="1" t="e">
        <f>VLOOKUP(A1,Data!$A$1:$DZU$1000000,2111,FALSE)</f>
        <v>#N/A</v>
      </c>
      <c r="C125" s="1" t="e">
        <f>VLOOKUP(A1,Data!$A$1:$DZU$1000000,2112,FALSE)</f>
        <v>#N/A</v>
      </c>
      <c r="D125" s="1" t="e">
        <f>VLOOKUP(A1,Data!$A$1:$DZU$1000000,2113,FALSE)</f>
        <v>#N/A</v>
      </c>
      <c r="E125" s="1" t="e">
        <f>VLOOKUP(A1,Data!$A$1:$DZU$1000000,2114,FALSE)</f>
        <v>#N/A</v>
      </c>
      <c r="F125" s="1" t="e">
        <f>VLOOKUP(A1,Data!$A$1:$DZU$1000000,2115,FALSE)</f>
        <v>#N/A</v>
      </c>
      <c r="G125" s="1" t="e">
        <f>VLOOKUP(A1,Data!$A$1:$DZU$1000000,2116,FALSE)</f>
        <v>#N/A</v>
      </c>
      <c r="H125" s="1" t="e">
        <f>VLOOKUP(A1,Data!$A$1:$DZU$1000000,2117,FALSE)</f>
        <v>#N/A</v>
      </c>
      <c r="I125" s="1" t="e">
        <f>VLOOKUP(A1,Data!$A$1:$DZU$1000000,2118,FALSE)</f>
        <v>#N/A</v>
      </c>
      <c r="J125" s="1" t="e">
        <f>VLOOKUP(A1,Data!$A$1:$DZU$1000000,2119,FALSE)</f>
        <v>#N/A</v>
      </c>
      <c r="K125" s="1" t="e">
        <f>VLOOKUP(A1,Data!$A$1:$DZU$1000000,2120,FALSE)</f>
        <v>#N/A</v>
      </c>
      <c r="L125" s="1" t="e">
        <f>VLOOKUP(A1,Data!$A$1:$DZU$1000000,2121,FALSE)</f>
        <v>#N/A</v>
      </c>
      <c r="M125" s="1" t="e">
        <f>VLOOKUP(A1,Data!$A$1:$DZU$1000000,2122,FALSE)</f>
        <v>#N/A</v>
      </c>
      <c r="N125" s="1" t="e">
        <f>VLOOKUP(A1,Data!$A$1:$DZU$1000000,2123,FALSE)</f>
        <v>#N/A</v>
      </c>
      <c r="O125" s="1" t="e">
        <f>VLOOKUP(A1,Data!$A$1:$DZU$1000000,2124,FALSE)</f>
        <v>#N/A</v>
      </c>
      <c r="P125" s="1" t="e">
        <f>VLOOKUP(A1,Data!$A$1:$DZU$1000000,2125,FALSE)</f>
        <v>#N/A</v>
      </c>
      <c r="Q125" s="1" t="e">
        <f>VLOOKUP(A1,Data!$A$1:$DZU$1000000,2126,FALSE)</f>
        <v>#N/A</v>
      </c>
    </row>
    <row r="126" spans="1:17" x14ac:dyDescent="0.35">
      <c r="A126" s="1" t="e">
        <f>VLOOKUP(A1,Data!$A$1:$DZU$1000000,2127,FALSE)</f>
        <v>#N/A</v>
      </c>
      <c r="B126" s="1" t="e">
        <f>VLOOKUP(A1,Data!$A$1:$DZU$1000000,2128,FALSE)</f>
        <v>#N/A</v>
      </c>
      <c r="C126" s="1" t="e">
        <f>VLOOKUP(A1,Data!$A$1:$DZU$1000000,2129,FALSE)</f>
        <v>#N/A</v>
      </c>
      <c r="D126" s="1" t="e">
        <f>VLOOKUP(A1,Data!$A$1:$DZU$1000000,2130,FALSE)</f>
        <v>#N/A</v>
      </c>
      <c r="E126" s="1" t="e">
        <f>VLOOKUP(A1,Data!$A$1:$DZU$1000000,2131,FALSE)</f>
        <v>#N/A</v>
      </c>
      <c r="F126" s="1" t="e">
        <f>VLOOKUP(A1,Data!$A$1:$DZU$1000000,2132,FALSE)</f>
        <v>#N/A</v>
      </c>
      <c r="G126" s="1" t="e">
        <f>VLOOKUP(A1,Data!$A$1:$DZU$1000000,2133,FALSE)</f>
        <v>#N/A</v>
      </c>
      <c r="H126" s="1" t="e">
        <f>VLOOKUP(A1,Data!$A$1:$DZU$1000000,2134,FALSE)</f>
        <v>#N/A</v>
      </c>
      <c r="I126" s="1" t="e">
        <f>VLOOKUP(A1,Data!$A$1:$DZU$1000000,2135,FALSE)</f>
        <v>#N/A</v>
      </c>
      <c r="J126" s="1" t="e">
        <f>VLOOKUP(A1,Data!$A$1:$DZU$1000000,2136,FALSE)</f>
        <v>#N/A</v>
      </c>
      <c r="K126" s="1" t="e">
        <f>VLOOKUP(A1,Data!$A$1:$DZU$1000000,2137,FALSE)</f>
        <v>#N/A</v>
      </c>
      <c r="L126" s="1" t="e">
        <f>VLOOKUP(A1,Data!$A$1:$DZU$1000000,2138,FALSE)</f>
        <v>#N/A</v>
      </c>
      <c r="M126" s="1" t="e">
        <f>VLOOKUP(A1,Data!$A$1:$DZU$1000000,2139,FALSE)</f>
        <v>#N/A</v>
      </c>
      <c r="N126" s="1" t="e">
        <f>VLOOKUP(A1,Data!$A$1:$DZU$1000000,2140,FALSE)</f>
        <v>#N/A</v>
      </c>
      <c r="O126" s="1" t="e">
        <f>VLOOKUP(A1,Data!$A$1:$DZU$1000000,2141,FALSE)</f>
        <v>#N/A</v>
      </c>
      <c r="P126" s="1" t="e">
        <f>VLOOKUP(A1,Data!$A$1:$DZU$1000000,2142,FALSE)</f>
        <v>#N/A</v>
      </c>
      <c r="Q126" s="1" t="e">
        <f>VLOOKUP(A1,Data!$A$1:$DZU$1000000,2143,FALSE)</f>
        <v>#N/A</v>
      </c>
    </row>
    <row r="127" spans="1:17" x14ac:dyDescent="0.35">
      <c r="A127" s="1" t="e">
        <f>VLOOKUP(A1,Data!$A$1:$DZU$1000000,2144,FALSE)</f>
        <v>#N/A</v>
      </c>
      <c r="B127" s="1" t="e">
        <f>VLOOKUP(A1,Data!$A$1:$DZU$1000000,2145,FALSE)</f>
        <v>#N/A</v>
      </c>
      <c r="C127" s="1" t="e">
        <f>VLOOKUP(A1,Data!$A$1:$DZU$1000000,2146,FALSE)</f>
        <v>#N/A</v>
      </c>
      <c r="D127" s="1" t="e">
        <f>VLOOKUP(A1,Data!$A$1:$DZU$1000000,2147,FALSE)</f>
        <v>#N/A</v>
      </c>
      <c r="E127" s="1" t="e">
        <f>VLOOKUP(A1,Data!$A$1:$DZU$1000000,2148,FALSE)</f>
        <v>#N/A</v>
      </c>
      <c r="F127" s="1" t="e">
        <f>VLOOKUP(A1,Data!$A$1:$DZU$1000000,2149,FALSE)</f>
        <v>#N/A</v>
      </c>
      <c r="G127" s="1" t="e">
        <f>VLOOKUP(A1,Data!$A$1:$DZU$1000000,2150,FALSE)</f>
        <v>#N/A</v>
      </c>
      <c r="H127" s="1" t="e">
        <f>VLOOKUP(A1,Data!$A$1:$DZU$1000000,2151,FALSE)</f>
        <v>#N/A</v>
      </c>
      <c r="I127" s="1" t="e">
        <f>VLOOKUP(A1,Data!$A$1:$DZU$1000000,2152,FALSE)</f>
        <v>#N/A</v>
      </c>
      <c r="J127" s="1" t="e">
        <f>VLOOKUP(A1,Data!$A$1:$DZU$1000000,2153,FALSE)</f>
        <v>#N/A</v>
      </c>
      <c r="K127" s="1" t="e">
        <f>VLOOKUP(A1,Data!$A$1:$DZU$1000000,2154,FALSE)</f>
        <v>#N/A</v>
      </c>
      <c r="L127" s="1" t="e">
        <f>VLOOKUP(A1,Data!$A$1:$DZU$1000000,2155,FALSE)</f>
        <v>#N/A</v>
      </c>
      <c r="M127" s="1" t="e">
        <f>VLOOKUP(A1,Data!$A$1:$DZU$1000000,2156,FALSE)</f>
        <v>#N/A</v>
      </c>
      <c r="N127" s="1" t="e">
        <f>VLOOKUP(A1,Data!$A$1:$DZU$1000000,2157,FALSE)</f>
        <v>#N/A</v>
      </c>
      <c r="O127" s="1" t="e">
        <f>VLOOKUP(A1,Data!$A$1:$DZU$1000000,2158,FALSE)</f>
        <v>#N/A</v>
      </c>
      <c r="P127" s="1" t="e">
        <f>VLOOKUP(A1,Data!$A$1:$DZU$1000000,2159,FALSE)</f>
        <v>#N/A</v>
      </c>
      <c r="Q127" s="1" t="e">
        <f>VLOOKUP(A1,Data!$A$1:$DZU$1000000,2160,FALSE)</f>
        <v>#N/A</v>
      </c>
    </row>
    <row r="128" spans="1:17" x14ac:dyDescent="0.35">
      <c r="A128" s="1" t="e">
        <f>VLOOKUP(A1,Data!$A$1:$DZU$1000000,2161,FALSE)</f>
        <v>#N/A</v>
      </c>
      <c r="B128" s="1" t="e">
        <f>VLOOKUP(A1,Data!$A$1:$DZU$1000000,2162,FALSE)</f>
        <v>#N/A</v>
      </c>
      <c r="C128" s="1" t="e">
        <f>VLOOKUP(A1,Data!$A$1:$DZU$1000000,2163,FALSE)</f>
        <v>#N/A</v>
      </c>
      <c r="D128" s="1" t="e">
        <f>VLOOKUP(A1,Data!$A$1:$DZU$1000000,2164,FALSE)</f>
        <v>#N/A</v>
      </c>
      <c r="E128" s="1" t="e">
        <f>VLOOKUP(A1,Data!$A$1:$DZU$1000000,2165,FALSE)</f>
        <v>#N/A</v>
      </c>
      <c r="F128" s="1" t="e">
        <f>VLOOKUP(A1,Data!$A$1:$DZU$1000000,2166,FALSE)</f>
        <v>#N/A</v>
      </c>
      <c r="G128" s="1" t="e">
        <f>VLOOKUP(A1,Data!$A$1:$DZU$1000000,2167,FALSE)</f>
        <v>#N/A</v>
      </c>
      <c r="H128" s="1" t="e">
        <f>VLOOKUP(A1,Data!$A$1:$DZU$1000000,2168,FALSE)</f>
        <v>#N/A</v>
      </c>
      <c r="I128" s="1" t="e">
        <f>VLOOKUP(A1,Data!$A$1:$DZU$1000000,2169,FALSE)</f>
        <v>#N/A</v>
      </c>
      <c r="J128" s="1" t="e">
        <f>VLOOKUP(A1,Data!$A$1:$DZU$1000000,2170,FALSE)</f>
        <v>#N/A</v>
      </c>
      <c r="K128" s="1" t="e">
        <f>VLOOKUP(A1,Data!$A$1:$DZU$1000000,2171,FALSE)</f>
        <v>#N/A</v>
      </c>
      <c r="L128" s="1" t="e">
        <f>VLOOKUP(A1,Data!$A$1:$DZU$1000000,2172,FALSE)</f>
        <v>#N/A</v>
      </c>
      <c r="M128" s="1" t="e">
        <f>VLOOKUP(A1,Data!$A$1:$DZU$1000000,2173,FALSE)</f>
        <v>#N/A</v>
      </c>
      <c r="N128" s="1" t="e">
        <f>VLOOKUP(A1,Data!$A$1:$DZU$1000000,2174,FALSE)</f>
        <v>#N/A</v>
      </c>
      <c r="O128" s="1" t="e">
        <f>VLOOKUP(A1,Data!$A$1:$DZU$1000000,2175,FALSE)</f>
        <v>#N/A</v>
      </c>
      <c r="P128" s="1" t="e">
        <f>VLOOKUP(A1,Data!$A$1:$DZU$1000000,2176,FALSE)</f>
        <v>#N/A</v>
      </c>
      <c r="Q128" s="1" t="e">
        <f>VLOOKUP(A1,Data!$A$1:$DZU$1000000,2177,FALSE)</f>
        <v>#N/A</v>
      </c>
    </row>
    <row r="129" spans="1:17" x14ac:dyDescent="0.35">
      <c r="A129" s="1" t="e">
        <f>VLOOKUP(A1,Data!$A$1:$DZU$1000000,2178,FALSE)</f>
        <v>#N/A</v>
      </c>
      <c r="B129" s="1" t="e">
        <f>VLOOKUP(A1,Data!$A$1:$DZU$1000000,2179,FALSE)</f>
        <v>#N/A</v>
      </c>
      <c r="C129" s="1" t="e">
        <f>VLOOKUP(A1,Data!$A$1:$DZU$1000000,2180,FALSE)</f>
        <v>#N/A</v>
      </c>
      <c r="D129" s="1" t="e">
        <f>VLOOKUP(A1,Data!$A$1:$DZU$1000000,2181,FALSE)</f>
        <v>#N/A</v>
      </c>
      <c r="E129" s="1" t="e">
        <f>VLOOKUP(A1,Data!$A$1:$DZU$1000000,2182,FALSE)</f>
        <v>#N/A</v>
      </c>
      <c r="F129" s="1" t="e">
        <f>VLOOKUP(A1,Data!$A$1:$DZU$1000000,2183,FALSE)</f>
        <v>#N/A</v>
      </c>
      <c r="G129" s="1" t="e">
        <f>VLOOKUP(A1,Data!$A$1:$DZU$1000000,2184,FALSE)</f>
        <v>#N/A</v>
      </c>
      <c r="H129" s="1" t="e">
        <f>VLOOKUP(A1,Data!$A$1:$DZU$1000000,2185,FALSE)</f>
        <v>#N/A</v>
      </c>
      <c r="I129" s="1" t="e">
        <f>VLOOKUP(A1,Data!$A$1:$DZU$1000000,2186,FALSE)</f>
        <v>#N/A</v>
      </c>
      <c r="J129" s="1" t="e">
        <f>VLOOKUP(A1,Data!$A$1:$DZU$1000000,2187,FALSE)</f>
        <v>#N/A</v>
      </c>
      <c r="K129" s="1" t="e">
        <f>VLOOKUP(A1,Data!$A$1:$DZU$1000000,2188,FALSE)</f>
        <v>#N/A</v>
      </c>
      <c r="L129" s="1" t="e">
        <f>VLOOKUP(A1,Data!$A$1:$DZU$1000000,2189,FALSE)</f>
        <v>#N/A</v>
      </c>
      <c r="M129" s="1" t="e">
        <f>VLOOKUP(A1,Data!$A$1:$DZU$1000000,2190,FALSE)</f>
        <v>#N/A</v>
      </c>
      <c r="N129" s="1" t="e">
        <f>VLOOKUP(A1,Data!$A$1:$DZU$1000000,2191,FALSE)</f>
        <v>#N/A</v>
      </c>
      <c r="O129" s="1" t="e">
        <f>VLOOKUP(A1,Data!$A$1:$DZU$1000000,2192,FALSE)</f>
        <v>#N/A</v>
      </c>
      <c r="P129" s="1" t="e">
        <f>VLOOKUP(A1,Data!$A$1:$DZU$1000000,2193,FALSE)</f>
        <v>#N/A</v>
      </c>
      <c r="Q129" s="1" t="e">
        <f>VLOOKUP(A1,Data!$A$1:$DZU$1000000,2194,FALSE)</f>
        <v>#N/A</v>
      </c>
    </row>
    <row r="130" spans="1:17" x14ac:dyDescent="0.35">
      <c r="A130" s="1" t="e">
        <f>VLOOKUP(A1,Data!$A$1:$DZU$1000000,2195,FALSE)</f>
        <v>#N/A</v>
      </c>
      <c r="B130" s="1" t="e">
        <f>VLOOKUP(A1,Data!$A$1:$DZU$1000000,2196,FALSE)</f>
        <v>#N/A</v>
      </c>
      <c r="C130" s="1" t="e">
        <f>VLOOKUP(A1,Data!$A$1:$DZU$1000000,2197,FALSE)</f>
        <v>#N/A</v>
      </c>
      <c r="D130" s="1" t="e">
        <f>VLOOKUP(A1,Data!$A$1:$DZU$1000000,2198,FALSE)</f>
        <v>#N/A</v>
      </c>
      <c r="E130" s="1" t="e">
        <f>VLOOKUP(A1,Data!$A$1:$DZU$1000000,2199,FALSE)</f>
        <v>#N/A</v>
      </c>
      <c r="F130" s="1" t="e">
        <f>VLOOKUP(A1,Data!$A$1:$DZU$1000000,2200,FALSE)</f>
        <v>#N/A</v>
      </c>
      <c r="G130" s="1" t="e">
        <f>VLOOKUP(A1,Data!$A$1:$DZU$1000000,2201,FALSE)</f>
        <v>#N/A</v>
      </c>
      <c r="H130" s="1" t="e">
        <f>VLOOKUP(A1,Data!$A$1:$DZU$1000000,2202,FALSE)</f>
        <v>#N/A</v>
      </c>
      <c r="I130" s="1" t="e">
        <f>VLOOKUP(A1,Data!$A$1:$DZU$1000000,2203,FALSE)</f>
        <v>#N/A</v>
      </c>
      <c r="J130" s="1" t="e">
        <f>VLOOKUP(A1,Data!$A$1:$DZU$1000000,2204,FALSE)</f>
        <v>#N/A</v>
      </c>
      <c r="K130" s="1" t="e">
        <f>VLOOKUP(A1,Data!$A$1:$DZU$1000000,2205,FALSE)</f>
        <v>#N/A</v>
      </c>
      <c r="L130" s="1" t="e">
        <f>VLOOKUP(A1,Data!$A$1:$DZU$1000000,2206,FALSE)</f>
        <v>#N/A</v>
      </c>
      <c r="M130" s="1" t="e">
        <f>VLOOKUP(A1,Data!$A$1:$DZU$1000000,2207,FALSE)</f>
        <v>#N/A</v>
      </c>
      <c r="N130" s="1" t="e">
        <f>VLOOKUP(A1,Data!$A$1:$DZU$1000000,2208,FALSE)</f>
        <v>#N/A</v>
      </c>
      <c r="O130" s="1" t="e">
        <f>VLOOKUP(A1,Data!$A$1:$DZU$1000000,2209,FALSE)</f>
        <v>#N/A</v>
      </c>
      <c r="P130" s="1" t="e">
        <f>VLOOKUP(A1,Data!$A$1:$DZU$1000000,2210,FALSE)</f>
        <v>#N/A</v>
      </c>
      <c r="Q130" s="1" t="e">
        <f>VLOOKUP(A1,Data!$A$1:$DZU$1000000,2211,FALSE)</f>
        <v>#N/A</v>
      </c>
    </row>
    <row r="131" spans="1:17" x14ac:dyDescent="0.35">
      <c r="A131" s="1" t="e">
        <f>VLOOKUP(A1,Data!$A$1:$DZU$1000000,2212,FALSE)</f>
        <v>#N/A</v>
      </c>
      <c r="B131" s="1" t="e">
        <f>VLOOKUP(A1,Data!$A$1:$DZU$1000000,2213,FALSE)</f>
        <v>#N/A</v>
      </c>
      <c r="C131" s="1" t="e">
        <f>VLOOKUP(A1,Data!$A$1:$DZU$1000000,2214,FALSE)</f>
        <v>#N/A</v>
      </c>
      <c r="D131" s="1" t="e">
        <f>VLOOKUP(A1,Data!$A$1:$DZU$1000000,2215,FALSE)</f>
        <v>#N/A</v>
      </c>
      <c r="E131" s="1" t="e">
        <f>VLOOKUP(A1,Data!$A$1:$DZU$1000000,2216,FALSE)</f>
        <v>#N/A</v>
      </c>
      <c r="F131" s="1" t="e">
        <f>VLOOKUP(A1,Data!$A$1:$DZU$1000000,2217,FALSE)</f>
        <v>#N/A</v>
      </c>
      <c r="G131" s="1" t="e">
        <f>VLOOKUP(A1,Data!$A$1:$DZU$1000000,2218,FALSE)</f>
        <v>#N/A</v>
      </c>
      <c r="H131" s="1" t="e">
        <f>VLOOKUP(A1,Data!$A$1:$DZU$1000000,2219,FALSE)</f>
        <v>#N/A</v>
      </c>
      <c r="I131" s="1" t="e">
        <f>VLOOKUP(A1,Data!$A$1:$DZU$1000000,2220,FALSE)</f>
        <v>#N/A</v>
      </c>
      <c r="J131" s="1" t="e">
        <f>VLOOKUP(A1,Data!$A$1:$DZU$1000000,2221,FALSE)</f>
        <v>#N/A</v>
      </c>
      <c r="K131" s="1" t="e">
        <f>VLOOKUP(A1,Data!$A$1:$DZU$1000000,2222,FALSE)</f>
        <v>#N/A</v>
      </c>
      <c r="L131" s="1" t="e">
        <f>VLOOKUP(A1,Data!$A$1:$DZU$1000000,2223,FALSE)</f>
        <v>#N/A</v>
      </c>
      <c r="M131" s="1" t="e">
        <f>VLOOKUP(A1,Data!$A$1:$DZU$1000000,2224,FALSE)</f>
        <v>#N/A</v>
      </c>
      <c r="N131" s="1" t="e">
        <f>VLOOKUP(A1,Data!$A$1:$DZU$1000000,2225,FALSE)</f>
        <v>#N/A</v>
      </c>
      <c r="O131" s="1" t="e">
        <f>VLOOKUP(A1,Data!$A$1:$DZU$1000000,2226,FALSE)</f>
        <v>#N/A</v>
      </c>
      <c r="P131" s="1" t="e">
        <f>VLOOKUP(A1,Data!$A$1:$DZU$1000000,2227,FALSE)</f>
        <v>#N/A</v>
      </c>
      <c r="Q131" s="1" t="e">
        <f>VLOOKUP(A1,Data!$A$1:$DZU$1000000,2228,FALSE)</f>
        <v>#N/A</v>
      </c>
    </row>
    <row r="132" spans="1:17" x14ac:dyDescent="0.35">
      <c r="A132" s="1" t="e">
        <f>VLOOKUP(A1,Data!$A$1:$DZU$1000000,2229,FALSE)</f>
        <v>#N/A</v>
      </c>
      <c r="B132" s="1" t="e">
        <f>VLOOKUP(A1,Data!$A$1:$DZU$1000000,2230,FALSE)</f>
        <v>#N/A</v>
      </c>
      <c r="C132" s="1" t="e">
        <f>VLOOKUP(A1,Data!$A$1:$DZU$1000000,2231,FALSE)</f>
        <v>#N/A</v>
      </c>
      <c r="D132" s="1" t="e">
        <f>VLOOKUP(A1,Data!$A$1:$DZU$1000000,2232,FALSE)</f>
        <v>#N/A</v>
      </c>
      <c r="E132" s="1" t="e">
        <f>VLOOKUP(A1,Data!$A$1:$DZU$1000000,2233,FALSE)</f>
        <v>#N/A</v>
      </c>
      <c r="F132" s="1" t="e">
        <f>VLOOKUP(A1,Data!$A$1:$DZU$1000000,2234,FALSE)</f>
        <v>#N/A</v>
      </c>
      <c r="G132" s="1" t="e">
        <f>VLOOKUP(A1,Data!$A$1:$DZU$1000000,2235,FALSE)</f>
        <v>#N/A</v>
      </c>
      <c r="H132" s="1" t="e">
        <f>VLOOKUP(A1,Data!$A$1:$DZU$1000000,2236,FALSE)</f>
        <v>#N/A</v>
      </c>
      <c r="I132" s="1" t="e">
        <f>VLOOKUP(A1,Data!$A$1:$DZU$1000000,2237,FALSE)</f>
        <v>#N/A</v>
      </c>
      <c r="J132" s="1" t="e">
        <f>VLOOKUP(A1,Data!$A$1:$DZU$1000000,2238,FALSE)</f>
        <v>#N/A</v>
      </c>
      <c r="K132" s="1" t="e">
        <f>VLOOKUP(A1,Data!$A$1:$DZU$1000000,2239,FALSE)</f>
        <v>#N/A</v>
      </c>
      <c r="L132" s="1" t="e">
        <f>VLOOKUP(A1,Data!$A$1:$DZU$1000000,2240,FALSE)</f>
        <v>#N/A</v>
      </c>
      <c r="M132" s="1" t="e">
        <f>VLOOKUP(A1,Data!$A$1:$DZU$1000000,2241,FALSE)</f>
        <v>#N/A</v>
      </c>
      <c r="N132" s="1" t="e">
        <f>VLOOKUP(A1,Data!$A$1:$DZU$1000000,2242,FALSE)</f>
        <v>#N/A</v>
      </c>
      <c r="O132" s="1" t="e">
        <f>VLOOKUP(A1,Data!$A$1:$DZU$1000000,2243,FALSE)</f>
        <v>#N/A</v>
      </c>
      <c r="P132" s="1" t="e">
        <f>VLOOKUP(A1,Data!$A$1:$DZU$1000000,2244,FALSE)</f>
        <v>#N/A</v>
      </c>
      <c r="Q132" s="1" t="e">
        <f>VLOOKUP(A1,Data!$A$1:$DZU$1000000,2245,FALSE)</f>
        <v>#N/A</v>
      </c>
    </row>
    <row r="133" spans="1:17" x14ac:dyDescent="0.35">
      <c r="A133" s="1" t="e">
        <f>VLOOKUP(A1,Data!$A$1:$DZU$1000000,2246,FALSE)</f>
        <v>#N/A</v>
      </c>
      <c r="B133" s="1" t="e">
        <f>VLOOKUP(A1,Data!$A$1:$DZU$1000000,2247,FALSE)</f>
        <v>#N/A</v>
      </c>
      <c r="C133" s="1" t="e">
        <f>VLOOKUP(A1,Data!$A$1:$DZU$1000000,2248,FALSE)</f>
        <v>#N/A</v>
      </c>
      <c r="D133" s="1" t="e">
        <f>VLOOKUP(A1,Data!$A$1:$DZU$1000000,2249,FALSE)</f>
        <v>#N/A</v>
      </c>
      <c r="E133" s="1" t="e">
        <f>VLOOKUP(A1,Data!$A$1:$DZU$1000000,2250,FALSE)</f>
        <v>#N/A</v>
      </c>
      <c r="F133" s="1" t="e">
        <f>VLOOKUP(A1,Data!$A$1:$DZU$1000000,2251,FALSE)</f>
        <v>#N/A</v>
      </c>
      <c r="G133" s="1" t="e">
        <f>VLOOKUP(A1,Data!$A$1:$DZU$1000000,2252,FALSE)</f>
        <v>#N/A</v>
      </c>
      <c r="H133" s="1" t="e">
        <f>VLOOKUP(A1,Data!$A$1:$DZU$1000000,2253,FALSE)</f>
        <v>#N/A</v>
      </c>
      <c r="I133" s="1" t="e">
        <f>VLOOKUP(A1,Data!$A$1:$DZU$1000000,2254,FALSE)</f>
        <v>#N/A</v>
      </c>
      <c r="J133" s="1" t="e">
        <f>VLOOKUP(A1,Data!$A$1:$DZU$1000000,2255,FALSE)</f>
        <v>#N/A</v>
      </c>
      <c r="K133" s="1" t="e">
        <f>VLOOKUP(A1,Data!$A$1:$DZU$1000000,2256,FALSE)</f>
        <v>#N/A</v>
      </c>
      <c r="L133" s="1" t="e">
        <f>VLOOKUP(A1,Data!$A$1:$DZU$1000000,2257,FALSE)</f>
        <v>#N/A</v>
      </c>
      <c r="M133" s="1" t="e">
        <f>VLOOKUP(A1,Data!$A$1:$DZU$1000000,2258,FALSE)</f>
        <v>#N/A</v>
      </c>
      <c r="N133" s="1" t="e">
        <f>VLOOKUP(A1,Data!$A$1:$DZU$1000000,2259,FALSE)</f>
        <v>#N/A</v>
      </c>
      <c r="O133" s="1" t="e">
        <f>VLOOKUP(A1,Data!$A$1:$DZU$1000000,2260,FALSE)</f>
        <v>#N/A</v>
      </c>
      <c r="P133" s="1" t="e">
        <f>VLOOKUP(A1,Data!$A$1:$DZU$1000000,2261,FALSE)</f>
        <v>#N/A</v>
      </c>
      <c r="Q133" s="1" t="e">
        <f>VLOOKUP(A1,Data!$A$1:$DZU$1000000,2262,FALSE)</f>
        <v>#N/A</v>
      </c>
    </row>
    <row r="134" spans="1:17" x14ac:dyDescent="0.35">
      <c r="A134" s="1" t="e">
        <f>VLOOKUP(A1,Data!$A$1:$DZU$1000000,2263,FALSE)</f>
        <v>#N/A</v>
      </c>
      <c r="B134" s="1" t="e">
        <f>VLOOKUP(A1,Data!$A$1:$DZU$1000000,2264,FALSE)</f>
        <v>#N/A</v>
      </c>
      <c r="C134" s="1" t="e">
        <f>VLOOKUP(A1,Data!$A$1:$DZU$1000000,2265,FALSE)</f>
        <v>#N/A</v>
      </c>
      <c r="D134" s="1" t="e">
        <f>VLOOKUP(A1,Data!$A$1:$DZU$1000000,2266,FALSE)</f>
        <v>#N/A</v>
      </c>
      <c r="E134" s="1" t="e">
        <f>VLOOKUP(A1,Data!$A$1:$DZU$1000000,2267,FALSE)</f>
        <v>#N/A</v>
      </c>
      <c r="F134" s="1" t="e">
        <f>VLOOKUP(A1,Data!$A$1:$DZU$1000000,2268,FALSE)</f>
        <v>#N/A</v>
      </c>
      <c r="G134" s="1" t="e">
        <f>VLOOKUP(A1,Data!$A$1:$DZU$1000000,2269,FALSE)</f>
        <v>#N/A</v>
      </c>
      <c r="H134" s="1" t="e">
        <f>VLOOKUP(A1,Data!$A$1:$DZU$1000000,2270,FALSE)</f>
        <v>#N/A</v>
      </c>
      <c r="I134" s="1" t="e">
        <f>VLOOKUP(A1,Data!$A$1:$DZU$1000000,2271,FALSE)</f>
        <v>#N/A</v>
      </c>
      <c r="J134" s="1" t="e">
        <f>VLOOKUP(A1,Data!$A$1:$DZU$1000000,2272,FALSE)</f>
        <v>#N/A</v>
      </c>
      <c r="K134" s="1" t="e">
        <f>VLOOKUP(A1,Data!$A$1:$DZU$1000000,2273,FALSE)</f>
        <v>#N/A</v>
      </c>
      <c r="L134" s="1" t="e">
        <f>VLOOKUP(A1,Data!$A$1:$DZU$1000000,2274,FALSE)</f>
        <v>#N/A</v>
      </c>
      <c r="M134" s="1" t="e">
        <f>VLOOKUP(A1,Data!$A$1:$DZU$1000000,2275,FALSE)</f>
        <v>#N/A</v>
      </c>
      <c r="N134" s="1" t="e">
        <f>VLOOKUP(A1,Data!$A$1:$DZU$1000000,2276,FALSE)</f>
        <v>#N/A</v>
      </c>
      <c r="O134" s="1" t="e">
        <f>VLOOKUP(A1,Data!$A$1:$DZU$1000000,2277,FALSE)</f>
        <v>#N/A</v>
      </c>
      <c r="P134" s="1" t="e">
        <f>VLOOKUP(A1,Data!$A$1:$DZU$1000000,2278,FALSE)</f>
        <v>#N/A</v>
      </c>
      <c r="Q134" s="1" t="e">
        <f>VLOOKUP(A1,Data!$A$1:$DZU$1000000,2279,FALSE)</f>
        <v>#N/A</v>
      </c>
    </row>
    <row r="135" spans="1:17" x14ac:dyDescent="0.35">
      <c r="A135" s="1" t="e">
        <f>VLOOKUP(A1,Data!$A$1:$DZU$1000000,2280,FALSE)</f>
        <v>#N/A</v>
      </c>
      <c r="B135" s="1" t="e">
        <f>VLOOKUP(A1,Data!$A$1:$DZU$1000000,2281,FALSE)</f>
        <v>#N/A</v>
      </c>
      <c r="C135" s="1" t="e">
        <f>VLOOKUP(A1,Data!$A$1:$DZU$1000000,2282,FALSE)</f>
        <v>#N/A</v>
      </c>
      <c r="D135" s="1" t="e">
        <f>VLOOKUP(A1,Data!$A$1:$DZU$1000000,2283,FALSE)</f>
        <v>#N/A</v>
      </c>
      <c r="E135" s="1" t="e">
        <f>VLOOKUP(A1,Data!$A$1:$DZU$1000000,2284,FALSE)</f>
        <v>#N/A</v>
      </c>
      <c r="F135" s="1" t="e">
        <f>VLOOKUP(A1,Data!$A$1:$DZU$1000000,2285,FALSE)</f>
        <v>#N/A</v>
      </c>
      <c r="G135" s="1" t="e">
        <f>VLOOKUP(A1,Data!$A$1:$DZU$1000000,2286,FALSE)</f>
        <v>#N/A</v>
      </c>
      <c r="H135" s="1" t="e">
        <f>VLOOKUP(A1,Data!$A$1:$DZU$1000000,2287,FALSE)</f>
        <v>#N/A</v>
      </c>
      <c r="I135" s="1" t="e">
        <f>VLOOKUP(A1,Data!$A$1:$DZU$1000000,2288,FALSE)</f>
        <v>#N/A</v>
      </c>
      <c r="J135" s="1" t="e">
        <f>VLOOKUP(A1,Data!$A$1:$DZU$1000000,2289,FALSE)</f>
        <v>#N/A</v>
      </c>
      <c r="K135" s="1" t="e">
        <f>VLOOKUP(A1,Data!$A$1:$DZU$1000000,2290,FALSE)</f>
        <v>#N/A</v>
      </c>
      <c r="L135" s="1" t="e">
        <f>VLOOKUP(A1,Data!$A$1:$DZU$1000000,2291,FALSE)</f>
        <v>#N/A</v>
      </c>
      <c r="M135" s="1" t="e">
        <f>VLOOKUP(A1,Data!$A$1:$DZU$1000000,2292,FALSE)</f>
        <v>#N/A</v>
      </c>
      <c r="N135" s="1" t="e">
        <f>VLOOKUP(A1,Data!$A$1:$DZU$1000000,2293,FALSE)</f>
        <v>#N/A</v>
      </c>
      <c r="O135" s="1" t="e">
        <f>VLOOKUP(A1,Data!$A$1:$DZU$1000000,2294,FALSE)</f>
        <v>#N/A</v>
      </c>
      <c r="P135" s="1" t="e">
        <f>VLOOKUP(A1,Data!$A$1:$DZU$1000000,2295,FALSE)</f>
        <v>#N/A</v>
      </c>
      <c r="Q135" s="1" t="e">
        <f>VLOOKUP(A1,Data!$A$1:$DZU$1000000,2296,FALSE)</f>
        <v>#N/A</v>
      </c>
    </row>
    <row r="136" spans="1:17" x14ac:dyDescent="0.35">
      <c r="A136" s="1" t="e">
        <f>VLOOKUP(A1,Data!$A$1:$DZU$1000000,2297,FALSE)</f>
        <v>#N/A</v>
      </c>
      <c r="B136" s="1" t="e">
        <f>VLOOKUP(A1,Data!$A$1:$DZU$1000000,2298,FALSE)</f>
        <v>#N/A</v>
      </c>
      <c r="C136" s="1" t="e">
        <f>VLOOKUP(A1,Data!$A$1:$DZU$1000000,2299,FALSE)</f>
        <v>#N/A</v>
      </c>
      <c r="D136" s="1" t="e">
        <f>VLOOKUP(A1,Data!$A$1:$DZU$1000000,2300,FALSE)</f>
        <v>#N/A</v>
      </c>
      <c r="E136" s="1" t="e">
        <f>VLOOKUP(A1,Data!$A$1:$DZU$1000000,2301,FALSE)</f>
        <v>#N/A</v>
      </c>
      <c r="F136" s="1" t="e">
        <f>VLOOKUP(A1,Data!$A$1:$DZU$1000000,2302,FALSE)</f>
        <v>#N/A</v>
      </c>
      <c r="G136" s="1" t="e">
        <f>VLOOKUP(A1,Data!$A$1:$DZU$1000000,2303,FALSE)</f>
        <v>#N/A</v>
      </c>
      <c r="H136" s="1" t="e">
        <f>VLOOKUP(A1,Data!$A$1:$DZU$1000000,2304,FALSE)</f>
        <v>#N/A</v>
      </c>
      <c r="I136" s="1" t="e">
        <f>VLOOKUP(A1,Data!$A$1:$DZU$1000000,2305,FALSE)</f>
        <v>#N/A</v>
      </c>
      <c r="J136" s="1" t="e">
        <f>VLOOKUP(A1,Data!$A$1:$DZU$1000000,2306,FALSE)</f>
        <v>#N/A</v>
      </c>
      <c r="K136" s="1" t="e">
        <f>VLOOKUP(A1,Data!$A$1:$DZU$1000000,2307,FALSE)</f>
        <v>#N/A</v>
      </c>
      <c r="L136" s="1" t="e">
        <f>VLOOKUP(A1,Data!$A$1:$DZU$1000000,2308,FALSE)</f>
        <v>#N/A</v>
      </c>
      <c r="M136" s="1" t="e">
        <f>VLOOKUP(A1,Data!$A$1:$DZU$1000000,2309,FALSE)</f>
        <v>#N/A</v>
      </c>
      <c r="N136" s="1" t="e">
        <f>VLOOKUP(A1,Data!$A$1:$DZU$1000000,2310,FALSE)</f>
        <v>#N/A</v>
      </c>
      <c r="O136" s="1" t="e">
        <f>VLOOKUP(A1,Data!$A$1:$DZU$1000000,2311,FALSE)</f>
        <v>#N/A</v>
      </c>
      <c r="P136" s="1" t="e">
        <f>VLOOKUP(A1,Data!$A$1:$DZU$1000000,2312,FALSE)</f>
        <v>#N/A</v>
      </c>
      <c r="Q136" s="1" t="e">
        <f>VLOOKUP(A1,Data!$A$1:$DZU$1000000,2313,FALSE)</f>
        <v>#N/A</v>
      </c>
    </row>
    <row r="137" spans="1:17" x14ac:dyDescent="0.35">
      <c r="A137" s="1" t="e">
        <f>VLOOKUP(A1,Data!$A$1:$DZU$1000000,2314,FALSE)</f>
        <v>#N/A</v>
      </c>
      <c r="B137" s="1" t="e">
        <f>VLOOKUP(A1,Data!$A$1:$DZU$1000000,2315,FALSE)</f>
        <v>#N/A</v>
      </c>
      <c r="C137" s="1" t="e">
        <f>VLOOKUP(A1,Data!$A$1:$DZU$1000000,2316,FALSE)</f>
        <v>#N/A</v>
      </c>
      <c r="D137" s="1" t="e">
        <f>VLOOKUP(A1,Data!$A$1:$DZU$1000000,2317,FALSE)</f>
        <v>#N/A</v>
      </c>
      <c r="E137" s="1" t="e">
        <f>VLOOKUP(A1,Data!$A$1:$DZU$1000000,2318,FALSE)</f>
        <v>#N/A</v>
      </c>
      <c r="F137" s="1" t="e">
        <f>VLOOKUP(A1,Data!$A$1:$DZU$1000000,2319,FALSE)</f>
        <v>#N/A</v>
      </c>
      <c r="G137" s="1" t="e">
        <f>VLOOKUP(A1,Data!$A$1:$DZU$1000000,2320,FALSE)</f>
        <v>#N/A</v>
      </c>
      <c r="H137" s="1" t="e">
        <f>VLOOKUP(A1,Data!$A$1:$DZU$1000000,2321,FALSE)</f>
        <v>#N/A</v>
      </c>
      <c r="I137" s="1" t="e">
        <f>VLOOKUP(A1,Data!$A$1:$DZU$1000000,2322,FALSE)</f>
        <v>#N/A</v>
      </c>
      <c r="J137" s="1" t="e">
        <f>VLOOKUP(A1,Data!$A$1:$DZU$1000000,2323,FALSE)</f>
        <v>#N/A</v>
      </c>
      <c r="K137" s="1" t="e">
        <f>VLOOKUP(A1,Data!$A$1:$DZU$1000000,2324,FALSE)</f>
        <v>#N/A</v>
      </c>
      <c r="L137" s="1" t="e">
        <f>VLOOKUP(A1,Data!$A$1:$DZU$1000000,2325,FALSE)</f>
        <v>#N/A</v>
      </c>
      <c r="M137" s="1" t="e">
        <f>VLOOKUP(A1,Data!$A$1:$DZU$1000000,2326,FALSE)</f>
        <v>#N/A</v>
      </c>
      <c r="N137" s="1" t="e">
        <f>VLOOKUP(A1,Data!$A$1:$DZU$1000000,2327,FALSE)</f>
        <v>#N/A</v>
      </c>
      <c r="O137" s="1" t="e">
        <f>VLOOKUP(A1,Data!$A$1:$DZU$1000000,2328,FALSE)</f>
        <v>#N/A</v>
      </c>
      <c r="P137" s="1" t="e">
        <f>VLOOKUP(A1,Data!$A$1:$DZU$1000000,2329,FALSE)</f>
        <v>#N/A</v>
      </c>
      <c r="Q137" s="1" t="e">
        <f>VLOOKUP(A1,Data!$A$1:$DZU$1000000,2330,FALSE)</f>
        <v>#N/A</v>
      </c>
    </row>
    <row r="138" spans="1:17" x14ac:dyDescent="0.35">
      <c r="A138" s="1" t="e">
        <f>VLOOKUP(A1,Data!$A$1:$DZU$1000000,2331,FALSE)</f>
        <v>#N/A</v>
      </c>
      <c r="B138" s="1" t="e">
        <f>VLOOKUP(A1,Data!$A$1:$DZU$1000000,2332,FALSE)</f>
        <v>#N/A</v>
      </c>
      <c r="C138" s="1" t="e">
        <f>VLOOKUP(A1,Data!$A$1:$DZU$1000000,2333,FALSE)</f>
        <v>#N/A</v>
      </c>
      <c r="D138" s="1" t="e">
        <f>VLOOKUP(A1,Data!$A$1:$DZU$1000000,2334,FALSE)</f>
        <v>#N/A</v>
      </c>
      <c r="E138" s="1" t="e">
        <f>VLOOKUP(A1,Data!$A$1:$DZU$1000000,2335,FALSE)</f>
        <v>#N/A</v>
      </c>
      <c r="F138" s="1" t="e">
        <f>VLOOKUP(A1,Data!$A$1:$DZU$1000000,2336,FALSE)</f>
        <v>#N/A</v>
      </c>
      <c r="G138" s="1" t="e">
        <f>VLOOKUP(A1,Data!$A$1:$DZU$1000000,2337,FALSE)</f>
        <v>#N/A</v>
      </c>
      <c r="H138" s="1" t="e">
        <f>VLOOKUP(A1,Data!$A$1:$DZU$1000000,2338,FALSE)</f>
        <v>#N/A</v>
      </c>
      <c r="I138" s="1" t="e">
        <f>VLOOKUP(A1,Data!$A$1:$DZU$1000000,2339,FALSE)</f>
        <v>#N/A</v>
      </c>
      <c r="J138" s="1" t="e">
        <f>VLOOKUP(A1,Data!$A$1:$DZU$1000000,2340,FALSE)</f>
        <v>#N/A</v>
      </c>
      <c r="K138" s="1" t="e">
        <f>VLOOKUP(A1,Data!$A$1:$DZU$1000000,2341,FALSE)</f>
        <v>#N/A</v>
      </c>
      <c r="L138" s="1" t="e">
        <f>VLOOKUP(A1,Data!$A$1:$DZU$1000000,2342,FALSE)</f>
        <v>#N/A</v>
      </c>
      <c r="M138" s="1" t="e">
        <f>VLOOKUP(A1,Data!$A$1:$DZU$1000000,2343,FALSE)</f>
        <v>#N/A</v>
      </c>
      <c r="N138" s="1" t="e">
        <f>VLOOKUP(A1,Data!$A$1:$DZU$1000000,2344,FALSE)</f>
        <v>#N/A</v>
      </c>
      <c r="O138" s="1" t="e">
        <f>VLOOKUP(A1,Data!$A$1:$DZU$1000000,2345,FALSE)</f>
        <v>#N/A</v>
      </c>
      <c r="P138" s="1" t="e">
        <f>VLOOKUP(A1,Data!$A$1:$DZU$1000000,2346,FALSE)</f>
        <v>#N/A</v>
      </c>
      <c r="Q138" s="1" t="e">
        <f>VLOOKUP(A1,Data!$A$1:$DZU$1000000,2347,FALSE)</f>
        <v>#N/A</v>
      </c>
    </row>
    <row r="139" spans="1:17" x14ac:dyDescent="0.35">
      <c r="A139" s="1" t="e">
        <f>VLOOKUP(A1,Data!$A$1:$DZU$1000000,2348,FALSE)</f>
        <v>#N/A</v>
      </c>
      <c r="B139" s="1" t="e">
        <f>VLOOKUP(A1,Data!$A$1:$DZU$1000000,2349,FALSE)</f>
        <v>#N/A</v>
      </c>
      <c r="C139" s="1" t="e">
        <f>VLOOKUP(A1,Data!$A$1:$DZU$1000000,2350,FALSE)</f>
        <v>#N/A</v>
      </c>
      <c r="D139" s="1" t="e">
        <f>VLOOKUP(A1,Data!$A$1:$DZU$1000000,2351,FALSE)</f>
        <v>#N/A</v>
      </c>
      <c r="E139" s="1" t="e">
        <f>VLOOKUP(A1,Data!$A$1:$DZU$1000000,2352,FALSE)</f>
        <v>#N/A</v>
      </c>
      <c r="F139" s="1" t="e">
        <f>VLOOKUP(A1,Data!$A$1:$DZU$1000000,2353,FALSE)</f>
        <v>#N/A</v>
      </c>
      <c r="G139" s="1" t="e">
        <f>VLOOKUP(A1,Data!$A$1:$DZU$1000000,2354,FALSE)</f>
        <v>#N/A</v>
      </c>
      <c r="H139" s="1" t="e">
        <f>VLOOKUP(A1,Data!$A$1:$DZU$1000000,2355,FALSE)</f>
        <v>#N/A</v>
      </c>
      <c r="I139" s="1" t="e">
        <f>VLOOKUP(A1,Data!$A$1:$DZU$1000000,2356,FALSE)</f>
        <v>#N/A</v>
      </c>
      <c r="J139" s="1" t="e">
        <f>VLOOKUP(A1,Data!$A$1:$DZU$1000000,2357,FALSE)</f>
        <v>#N/A</v>
      </c>
      <c r="K139" s="1" t="e">
        <f>VLOOKUP(A1,Data!$A$1:$DZU$1000000,2358,FALSE)</f>
        <v>#N/A</v>
      </c>
      <c r="L139" s="1" t="e">
        <f>VLOOKUP(A1,Data!$A$1:$DZU$1000000,2359,FALSE)</f>
        <v>#N/A</v>
      </c>
      <c r="M139" s="1" t="e">
        <f>VLOOKUP(A1,Data!$A$1:$DZU$1000000,2360,FALSE)</f>
        <v>#N/A</v>
      </c>
      <c r="N139" s="1" t="e">
        <f>VLOOKUP(A1,Data!$A$1:$DZU$1000000,2361,FALSE)</f>
        <v>#N/A</v>
      </c>
      <c r="O139" s="1" t="e">
        <f>VLOOKUP(A1,Data!$A$1:$DZU$1000000,2362,FALSE)</f>
        <v>#N/A</v>
      </c>
      <c r="P139" s="1" t="e">
        <f>VLOOKUP(A1,Data!$A$1:$DZU$1000000,2363,FALSE)</f>
        <v>#N/A</v>
      </c>
      <c r="Q139" s="1" t="e">
        <f>VLOOKUP(A1,Data!$A$1:$DZU$1000000,2364,FALSE)</f>
        <v>#N/A</v>
      </c>
    </row>
    <row r="140" spans="1:17" x14ac:dyDescent="0.35">
      <c r="A140" s="1" t="e">
        <f>VLOOKUP(A1,Data!$A$1:$DZU$1000000,2365,FALSE)</f>
        <v>#N/A</v>
      </c>
      <c r="B140" s="1" t="e">
        <f>VLOOKUP(A1,Data!$A$1:$DZU$1000000,2366,FALSE)</f>
        <v>#N/A</v>
      </c>
      <c r="C140" s="1" t="e">
        <f>VLOOKUP(A1,Data!$A$1:$DZU$1000000,2367,FALSE)</f>
        <v>#N/A</v>
      </c>
      <c r="D140" s="1" t="e">
        <f>VLOOKUP(A1,Data!$A$1:$DZU$1000000,2368,FALSE)</f>
        <v>#N/A</v>
      </c>
      <c r="E140" s="1" t="e">
        <f>VLOOKUP(A1,Data!$A$1:$DZU$1000000,2369,FALSE)</f>
        <v>#N/A</v>
      </c>
      <c r="F140" s="1" t="e">
        <f>VLOOKUP(A1,Data!$A$1:$DZU$1000000,2370,FALSE)</f>
        <v>#N/A</v>
      </c>
      <c r="G140" s="1" t="e">
        <f>VLOOKUP(A1,Data!$A$1:$DZU$1000000,2371,FALSE)</f>
        <v>#N/A</v>
      </c>
      <c r="H140" s="1" t="e">
        <f>VLOOKUP(A1,Data!$A$1:$DZU$1000000,2372,FALSE)</f>
        <v>#N/A</v>
      </c>
      <c r="I140" s="1" t="e">
        <f>VLOOKUP(A1,Data!$A$1:$DZU$1000000,2373,FALSE)</f>
        <v>#N/A</v>
      </c>
      <c r="J140" s="1" t="e">
        <f>VLOOKUP(A1,Data!$A$1:$DZU$1000000,2374,FALSE)</f>
        <v>#N/A</v>
      </c>
      <c r="K140" s="1" t="e">
        <f>VLOOKUP(A1,Data!$A$1:$DZU$1000000,2375,FALSE)</f>
        <v>#N/A</v>
      </c>
      <c r="L140" s="1" t="e">
        <f>VLOOKUP(A1,Data!$A$1:$DZU$1000000,2376,FALSE)</f>
        <v>#N/A</v>
      </c>
      <c r="M140" s="1" t="e">
        <f>VLOOKUP(A1,Data!$A$1:$DZU$1000000,2377,FALSE)</f>
        <v>#N/A</v>
      </c>
      <c r="N140" s="1" t="e">
        <f>VLOOKUP(A1,Data!$A$1:$DZU$1000000,2378,FALSE)</f>
        <v>#N/A</v>
      </c>
      <c r="O140" s="1" t="e">
        <f>VLOOKUP(A1,Data!$A$1:$DZU$1000000,2379,FALSE)</f>
        <v>#N/A</v>
      </c>
      <c r="P140" s="1" t="e">
        <f>VLOOKUP(A1,Data!$A$1:$DZU$1000000,2380,FALSE)</f>
        <v>#N/A</v>
      </c>
      <c r="Q140" s="1" t="e">
        <f>VLOOKUP(A1,Data!$A$1:$DZU$1000000,2381,FALSE)</f>
        <v>#N/A</v>
      </c>
    </row>
    <row r="141" spans="1:17" x14ac:dyDescent="0.35">
      <c r="A141" s="1" t="e">
        <f>VLOOKUP(A1,Data!$A$1:$DZU$1000000,2382,FALSE)</f>
        <v>#N/A</v>
      </c>
      <c r="B141" s="1" t="e">
        <f>VLOOKUP(A1,Data!$A$1:$DZU$1000000,2383,FALSE)</f>
        <v>#N/A</v>
      </c>
      <c r="C141" s="1" t="e">
        <f>VLOOKUP(A1,Data!$A$1:$DZU$1000000,2384,FALSE)</f>
        <v>#N/A</v>
      </c>
      <c r="D141" s="1" t="e">
        <f>VLOOKUP(A1,Data!$A$1:$DZU$1000000,2385,FALSE)</f>
        <v>#N/A</v>
      </c>
      <c r="E141" s="1" t="e">
        <f>VLOOKUP(A1,Data!$A$1:$DZU$1000000,2386,FALSE)</f>
        <v>#N/A</v>
      </c>
      <c r="F141" s="1" t="e">
        <f>VLOOKUP(A1,Data!$A$1:$DZU$1000000,2387,FALSE)</f>
        <v>#N/A</v>
      </c>
      <c r="G141" s="1" t="e">
        <f>VLOOKUP(A1,Data!$A$1:$DZU$1000000,2388,FALSE)</f>
        <v>#N/A</v>
      </c>
      <c r="H141" s="1" t="e">
        <f>VLOOKUP(A1,Data!$A$1:$DZU$1000000,2389,FALSE)</f>
        <v>#N/A</v>
      </c>
      <c r="I141" s="1" t="e">
        <f>VLOOKUP(A1,Data!$A$1:$DZU$1000000,2390,FALSE)</f>
        <v>#N/A</v>
      </c>
      <c r="J141" s="1" t="e">
        <f>VLOOKUP(A1,Data!$A$1:$DZU$1000000,2391,FALSE)</f>
        <v>#N/A</v>
      </c>
      <c r="K141" s="1" t="e">
        <f>VLOOKUP(A1,Data!$A$1:$DZU$1000000,2392,FALSE)</f>
        <v>#N/A</v>
      </c>
      <c r="L141" s="1" t="e">
        <f>VLOOKUP(A1,Data!$A$1:$DZU$1000000,2393,FALSE)</f>
        <v>#N/A</v>
      </c>
      <c r="M141" s="1" t="e">
        <f>VLOOKUP(A1,Data!$A$1:$DZU$1000000,2394,FALSE)</f>
        <v>#N/A</v>
      </c>
      <c r="N141" s="1" t="e">
        <f>VLOOKUP(A1,Data!$A$1:$DZU$1000000,2395,FALSE)</f>
        <v>#N/A</v>
      </c>
      <c r="O141" s="1" t="e">
        <f>VLOOKUP(A1,Data!$A$1:$DZU$1000000,2396,FALSE)</f>
        <v>#N/A</v>
      </c>
      <c r="P141" s="1" t="e">
        <f>VLOOKUP(A1,Data!$A$1:$DZU$1000000,2397,FALSE)</f>
        <v>#N/A</v>
      </c>
      <c r="Q141" s="1" t="e">
        <f>VLOOKUP(A1,Data!$A$1:$DZU$1000000,2398,FALSE)</f>
        <v>#N/A</v>
      </c>
    </row>
    <row r="142" spans="1:17" x14ac:dyDescent="0.35">
      <c r="A142" s="1" t="e">
        <f>VLOOKUP(A1,Data!$A$1:$DZU$1000000,2399,FALSE)</f>
        <v>#N/A</v>
      </c>
      <c r="B142" s="1" t="e">
        <f>VLOOKUP(A1,Data!$A$1:$DZU$1000000,2400,FALSE)</f>
        <v>#N/A</v>
      </c>
      <c r="C142" s="1" t="e">
        <f>VLOOKUP(A1,Data!$A$1:$DZU$1000000,2401,FALSE)</f>
        <v>#N/A</v>
      </c>
      <c r="D142" s="1" t="e">
        <f>VLOOKUP(A1,Data!$A$1:$DZU$1000000,2402,FALSE)</f>
        <v>#N/A</v>
      </c>
      <c r="E142" s="1" t="e">
        <f>VLOOKUP(A1,Data!$A$1:$DZU$1000000,2403,FALSE)</f>
        <v>#N/A</v>
      </c>
      <c r="F142" s="1" t="e">
        <f>VLOOKUP(A1,Data!$A$1:$DZU$1000000,2404,FALSE)</f>
        <v>#N/A</v>
      </c>
      <c r="G142" s="1" t="e">
        <f>VLOOKUP(A1,Data!$A$1:$DZU$1000000,2405,FALSE)</f>
        <v>#N/A</v>
      </c>
      <c r="H142" s="1" t="e">
        <f>VLOOKUP(A1,Data!$A$1:$DZU$1000000,2406,FALSE)</f>
        <v>#N/A</v>
      </c>
      <c r="I142" s="1" t="e">
        <f>VLOOKUP(A1,Data!$A$1:$DZU$1000000,2407,FALSE)</f>
        <v>#N/A</v>
      </c>
      <c r="J142" s="1" t="e">
        <f>VLOOKUP(A1,Data!$A$1:$DZU$1000000,2408,FALSE)</f>
        <v>#N/A</v>
      </c>
      <c r="K142" s="1" t="e">
        <f>VLOOKUP(A1,Data!$A$1:$DZU$1000000,2409,FALSE)</f>
        <v>#N/A</v>
      </c>
      <c r="L142" s="1" t="e">
        <f>VLOOKUP(A1,Data!$A$1:$DZU$1000000,2410,FALSE)</f>
        <v>#N/A</v>
      </c>
      <c r="M142" s="1" t="e">
        <f>VLOOKUP(A1,Data!$A$1:$DZU$1000000,2411,FALSE)</f>
        <v>#N/A</v>
      </c>
      <c r="N142" s="1" t="e">
        <f>VLOOKUP(A1,Data!$A$1:$DZU$1000000,2412,FALSE)</f>
        <v>#N/A</v>
      </c>
      <c r="O142" s="1" t="e">
        <f>VLOOKUP(A1,Data!$A$1:$DZU$1000000,2413,FALSE)</f>
        <v>#N/A</v>
      </c>
      <c r="P142" s="1" t="e">
        <f>VLOOKUP(A1,Data!$A$1:$DZU$1000000,2414,FALSE)</f>
        <v>#N/A</v>
      </c>
      <c r="Q142" s="1" t="e">
        <f>VLOOKUP(A1,Data!$A$1:$DZU$1000000,2415,FALSE)</f>
        <v>#N/A</v>
      </c>
    </row>
    <row r="143" spans="1:17" x14ac:dyDescent="0.35">
      <c r="A143" s="1" t="e">
        <f>VLOOKUP(A1,Data!$A$1:$DZU$1000000,2416,FALSE)</f>
        <v>#N/A</v>
      </c>
      <c r="B143" s="1" t="e">
        <f>VLOOKUP(A1,Data!$A$1:$DZU$1000000,2417,FALSE)</f>
        <v>#N/A</v>
      </c>
      <c r="C143" s="1" t="e">
        <f>VLOOKUP(A1,Data!$A$1:$DZU$1000000,2418,FALSE)</f>
        <v>#N/A</v>
      </c>
      <c r="D143" s="1" t="e">
        <f>VLOOKUP(A1,Data!$A$1:$DZU$1000000,2419,FALSE)</f>
        <v>#N/A</v>
      </c>
      <c r="E143" s="1" t="e">
        <f>VLOOKUP(A1,Data!$A$1:$DZU$1000000,2420,FALSE)</f>
        <v>#N/A</v>
      </c>
      <c r="F143" s="1" t="e">
        <f>VLOOKUP(A1,Data!$A$1:$DZU$1000000,2421,FALSE)</f>
        <v>#N/A</v>
      </c>
      <c r="G143" s="1" t="e">
        <f>VLOOKUP(A1,Data!$A$1:$DZU$1000000,2422,FALSE)</f>
        <v>#N/A</v>
      </c>
      <c r="H143" s="1" t="e">
        <f>VLOOKUP(A1,Data!$A$1:$DZU$1000000,2423,FALSE)</f>
        <v>#N/A</v>
      </c>
      <c r="I143" s="1" t="e">
        <f>VLOOKUP(A1,Data!$A$1:$DZU$1000000,2424,FALSE)</f>
        <v>#N/A</v>
      </c>
      <c r="J143" s="1" t="e">
        <f>VLOOKUP(A1,Data!$A$1:$DZU$1000000,2425,FALSE)</f>
        <v>#N/A</v>
      </c>
      <c r="K143" s="1" t="e">
        <f>VLOOKUP(A1,Data!$A$1:$DZU$1000000,2426,FALSE)</f>
        <v>#N/A</v>
      </c>
      <c r="L143" s="1" t="e">
        <f>VLOOKUP(A1,Data!$A$1:$DZU$1000000,2427,FALSE)</f>
        <v>#N/A</v>
      </c>
      <c r="M143" s="1" t="e">
        <f>VLOOKUP(A1,Data!$A$1:$DZU$1000000,2428,FALSE)</f>
        <v>#N/A</v>
      </c>
      <c r="N143" s="1" t="e">
        <f>VLOOKUP(A1,Data!$A$1:$DZU$1000000,2429,FALSE)</f>
        <v>#N/A</v>
      </c>
      <c r="O143" s="1" t="e">
        <f>VLOOKUP(A1,Data!$A$1:$DZU$1000000,2430,FALSE)</f>
        <v>#N/A</v>
      </c>
      <c r="P143" s="1" t="e">
        <f>VLOOKUP(A1,Data!$A$1:$DZU$1000000,2431,FALSE)</f>
        <v>#N/A</v>
      </c>
      <c r="Q143" s="1" t="e">
        <f>VLOOKUP(A1,Data!$A$1:$DZU$1000000,2432,FALSE)</f>
        <v>#N/A</v>
      </c>
    </row>
    <row r="144" spans="1:17" x14ac:dyDescent="0.35">
      <c r="A144" s="1" t="e">
        <f>VLOOKUP(A1,Data!$A$1:$DZU$1000000,2433,FALSE)</f>
        <v>#N/A</v>
      </c>
      <c r="B144" s="1" t="e">
        <f>VLOOKUP(A1,Data!$A$1:$DZU$1000000,2434,FALSE)</f>
        <v>#N/A</v>
      </c>
      <c r="C144" s="1" t="e">
        <f>VLOOKUP(A1,Data!$A$1:$DZU$1000000,2435,FALSE)</f>
        <v>#N/A</v>
      </c>
      <c r="D144" s="1" t="e">
        <f>VLOOKUP(A1,Data!$A$1:$DZU$1000000,2436,FALSE)</f>
        <v>#N/A</v>
      </c>
      <c r="E144" s="1" t="e">
        <f>VLOOKUP(A1,Data!$A$1:$DZU$1000000,2437,FALSE)</f>
        <v>#N/A</v>
      </c>
      <c r="F144" s="1" t="e">
        <f>VLOOKUP(A1,Data!$A$1:$DZU$1000000,2438,FALSE)</f>
        <v>#N/A</v>
      </c>
      <c r="G144" s="1" t="e">
        <f>VLOOKUP(A1,Data!$A$1:$DZU$1000000,2439,FALSE)</f>
        <v>#N/A</v>
      </c>
      <c r="H144" s="1" t="e">
        <f>VLOOKUP(A1,Data!$A$1:$DZU$1000000,2440,FALSE)</f>
        <v>#N/A</v>
      </c>
      <c r="I144" s="1" t="e">
        <f>VLOOKUP(A1,Data!$A$1:$DZU$1000000,2441,FALSE)</f>
        <v>#N/A</v>
      </c>
      <c r="J144" s="1" t="e">
        <f>VLOOKUP(A1,Data!$A$1:$DZU$1000000,2442,FALSE)</f>
        <v>#N/A</v>
      </c>
      <c r="K144" s="1" t="e">
        <f>VLOOKUP(A1,Data!$A$1:$DZU$1000000,2443,FALSE)</f>
        <v>#N/A</v>
      </c>
      <c r="L144" s="1" t="e">
        <f>VLOOKUP(A1,Data!$A$1:$DZU$1000000,2444,FALSE)</f>
        <v>#N/A</v>
      </c>
      <c r="M144" s="1" t="e">
        <f>VLOOKUP(A1,Data!$A$1:$DZU$1000000,2445,FALSE)</f>
        <v>#N/A</v>
      </c>
      <c r="N144" s="1" t="e">
        <f>VLOOKUP(A1,Data!$A$1:$DZU$1000000,2446,FALSE)</f>
        <v>#N/A</v>
      </c>
      <c r="O144" s="1" t="e">
        <f>VLOOKUP(A1,Data!$A$1:$DZU$1000000,2447,FALSE)</f>
        <v>#N/A</v>
      </c>
      <c r="P144" s="1" t="e">
        <f>VLOOKUP(A1,Data!$A$1:$DZU$1000000,2448,FALSE)</f>
        <v>#N/A</v>
      </c>
      <c r="Q144" s="1" t="e">
        <f>VLOOKUP(A1,Data!$A$1:$DZU$1000000,2449,FALSE)</f>
        <v>#N/A</v>
      </c>
    </row>
    <row r="145" spans="1:17" x14ac:dyDescent="0.35">
      <c r="A145" s="1" t="e">
        <f>VLOOKUP(A1,Data!$A$1:$DZU$1000000,2450,FALSE)</f>
        <v>#N/A</v>
      </c>
      <c r="B145" s="1" t="e">
        <f>VLOOKUP(A1,Data!$A$1:$DZU$1000000,2451,FALSE)</f>
        <v>#N/A</v>
      </c>
      <c r="C145" s="1" t="e">
        <f>VLOOKUP(A1,Data!$A$1:$DZU$1000000,2452,FALSE)</f>
        <v>#N/A</v>
      </c>
      <c r="D145" s="1" t="e">
        <f>VLOOKUP(A1,Data!$A$1:$DZU$1000000,2453,FALSE)</f>
        <v>#N/A</v>
      </c>
      <c r="E145" s="1" t="e">
        <f>VLOOKUP(A1,Data!$A$1:$DZU$1000000,2454,FALSE)</f>
        <v>#N/A</v>
      </c>
      <c r="F145" s="1" t="e">
        <f>VLOOKUP(A1,Data!$A$1:$DZU$1000000,2455,FALSE)</f>
        <v>#N/A</v>
      </c>
      <c r="G145" s="1" t="e">
        <f>VLOOKUP(A1,Data!$A$1:$DZU$1000000,2456,FALSE)</f>
        <v>#N/A</v>
      </c>
      <c r="H145" s="1" t="e">
        <f>VLOOKUP(A1,Data!$A$1:$DZU$1000000,2457,FALSE)</f>
        <v>#N/A</v>
      </c>
      <c r="I145" s="1" t="e">
        <f>VLOOKUP(A1,Data!$A$1:$DZU$1000000,2458,FALSE)</f>
        <v>#N/A</v>
      </c>
      <c r="J145" s="1" t="e">
        <f>VLOOKUP(A1,Data!$A$1:$DZU$1000000,2459,FALSE)</f>
        <v>#N/A</v>
      </c>
      <c r="K145" s="1" t="e">
        <f>VLOOKUP(A1,Data!$A$1:$DZU$1000000,2460,FALSE)</f>
        <v>#N/A</v>
      </c>
      <c r="L145" s="1" t="e">
        <f>VLOOKUP(A1,Data!$A$1:$DZU$1000000,2461,FALSE)</f>
        <v>#N/A</v>
      </c>
      <c r="M145" s="1" t="e">
        <f>VLOOKUP(A1,Data!$A$1:$DZU$1000000,2462,FALSE)</f>
        <v>#N/A</v>
      </c>
      <c r="N145" s="1" t="e">
        <f>VLOOKUP(A1,Data!$A$1:$DZU$1000000,2463,FALSE)</f>
        <v>#N/A</v>
      </c>
      <c r="O145" s="1" t="e">
        <f>VLOOKUP(A1,Data!$A$1:$DZU$1000000,2464,FALSE)</f>
        <v>#N/A</v>
      </c>
      <c r="P145" s="1" t="e">
        <f>VLOOKUP(A1,Data!$A$1:$DZU$1000000,2465,FALSE)</f>
        <v>#N/A</v>
      </c>
      <c r="Q145" s="1" t="e">
        <f>VLOOKUP(A1,Data!$A$1:$DZU$1000000,2466,FALSE)</f>
        <v>#N/A</v>
      </c>
    </row>
    <row r="146" spans="1:17" x14ac:dyDescent="0.35">
      <c r="A146" s="1" t="e">
        <f>VLOOKUP(A1,Data!$A$1:$DZU$1000000,2467,FALSE)</f>
        <v>#N/A</v>
      </c>
      <c r="B146" s="1" t="e">
        <f>VLOOKUP(A1,Data!$A$1:$DZU$1000000,2468,FALSE)</f>
        <v>#N/A</v>
      </c>
      <c r="C146" s="1" t="e">
        <f>VLOOKUP(A1,Data!$A$1:$DZU$1000000,2469,FALSE)</f>
        <v>#N/A</v>
      </c>
      <c r="D146" s="1" t="e">
        <f>VLOOKUP(A1,Data!$A$1:$DZU$1000000,2470,FALSE)</f>
        <v>#N/A</v>
      </c>
      <c r="E146" s="1" t="e">
        <f>VLOOKUP(A1,Data!$A$1:$DZU$1000000,2471,FALSE)</f>
        <v>#N/A</v>
      </c>
      <c r="F146" s="1" t="e">
        <f>VLOOKUP(A1,Data!$A$1:$DZU$1000000,2472,FALSE)</f>
        <v>#N/A</v>
      </c>
      <c r="G146" s="1" t="e">
        <f>VLOOKUP(A1,Data!$A$1:$DZU$1000000,2473,FALSE)</f>
        <v>#N/A</v>
      </c>
      <c r="H146" s="1" t="e">
        <f>VLOOKUP(A1,Data!$A$1:$DZU$1000000,2474,FALSE)</f>
        <v>#N/A</v>
      </c>
      <c r="I146" s="1" t="e">
        <f>VLOOKUP(A1,Data!$A$1:$DZU$1000000,2475,FALSE)</f>
        <v>#N/A</v>
      </c>
      <c r="J146" s="1" t="e">
        <f>VLOOKUP(A1,Data!$A$1:$DZU$1000000,2476,FALSE)</f>
        <v>#N/A</v>
      </c>
      <c r="K146" s="1" t="e">
        <f>VLOOKUP(A1,Data!$A$1:$DZU$1000000,2477,FALSE)</f>
        <v>#N/A</v>
      </c>
      <c r="L146" s="1" t="e">
        <f>VLOOKUP(A1,Data!$A$1:$DZU$1000000,2478,FALSE)</f>
        <v>#N/A</v>
      </c>
      <c r="M146" s="1" t="e">
        <f>VLOOKUP(A1,Data!$A$1:$DZU$1000000,2479,FALSE)</f>
        <v>#N/A</v>
      </c>
      <c r="N146" s="1" t="e">
        <f>VLOOKUP(A1,Data!$A$1:$DZU$1000000,2480,FALSE)</f>
        <v>#N/A</v>
      </c>
      <c r="O146" s="1" t="e">
        <f>VLOOKUP(A1,Data!$A$1:$DZU$1000000,2481,FALSE)</f>
        <v>#N/A</v>
      </c>
      <c r="P146" s="1" t="e">
        <f>VLOOKUP(A1,Data!$A$1:$DZU$1000000,2482,FALSE)</f>
        <v>#N/A</v>
      </c>
      <c r="Q146" s="1" t="e">
        <f>VLOOKUP(A1,Data!$A$1:$DZU$1000000,2483,FALSE)</f>
        <v>#N/A</v>
      </c>
    </row>
    <row r="147" spans="1:17" x14ac:dyDescent="0.35">
      <c r="A147" s="1" t="e">
        <f>VLOOKUP(A1,Data!$A$1:$DZU$1000000,2484,FALSE)</f>
        <v>#N/A</v>
      </c>
      <c r="B147" s="1" t="e">
        <f>VLOOKUP(A1,Data!$A$1:$DZU$1000000,2485,FALSE)</f>
        <v>#N/A</v>
      </c>
      <c r="C147" s="1" t="e">
        <f>VLOOKUP(A1,Data!$A$1:$DZU$1000000,2486,FALSE)</f>
        <v>#N/A</v>
      </c>
      <c r="D147" s="1" t="e">
        <f>VLOOKUP(A1,Data!$A$1:$DZU$1000000,2487,FALSE)</f>
        <v>#N/A</v>
      </c>
      <c r="E147" s="1" t="e">
        <f>VLOOKUP(A1,Data!$A$1:$DZU$1000000,2488,FALSE)</f>
        <v>#N/A</v>
      </c>
      <c r="F147" s="1" t="e">
        <f>VLOOKUP(A1,Data!$A$1:$DZU$1000000,2489,FALSE)</f>
        <v>#N/A</v>
      </c>
      <c r="G147" s="1" t="e">
        <f>VLOOKUP(A1,Data!$A$1:$DZU$1000000,2490,FALSE)</f>
        <v>#N/A</v>
      </c>
      <c r="H147" s="1" t="e">
        <f>VLOOKUP(A1,Data!$A$1:$DZU$1000000,2491,FALSE)</f>
        <v>#N/A</v>
      </c>
      <c r="I147" s="1" t="e">
        <f>VLOOKUP(A1,Data!$A$1:$DZU$1000000,2492,FALSE)</f>
        <v>#N/A</v>
      </c>
      <c r="J147" s="1" t="e">
        <f>VLOOKUP(A1,Data!$A$1:$DZU$1000000,2493,FALSE)</f>
        <v>#N/A</v>
      </c>
      <c r="K147" s="1" t="e">
        <f>VLOOKUP(A1,Data!$A$1:$DZU$1000000,2494,FALSE)</f>
        <v>#N/A</v>
      </c>
      <c r="L147" s="1" t="e">
        <f>VLOOKUP(A1,Data!$A$1:$DZU$1000000,2495,FALSE)</f>
        <v>#N/A</v>
      </c>
      <c r="M147" s="1" t="e">
        <f>VLOOKUP(A1,Data!$A$1:$DZU$1000000,2496,FALSE)</f>
        <v>#N/A</v>
      </c>
      <c r="N147" s="1" t="e">
        <f>VLOOKUP(A1,Data!$A$1:$DZU$1000000,2497,FALSE)</f>
        <v>#N/A</v>
      </c>
      <c r="O147" s="1" t="e">
        <f>VLOOKUP(A1,Data!$A$1:$DZU$1000000,2498,FALSE)</f>
        <v>#N/A</v>
      </c>
      <c r="P147" s="1" t="e">
        <f>VLOOKUP(A1,Data!$A$1:$DZU$1000000,2499,FALSE)</f>
        <v>#N/A</v>
      </c>
      <c r="Q147" s="1" t="e">
        <f>VLOOKUP(A1,Data!$A$1:$DZU$1000000,2500,FALSE)</f>
        <v>#N/A</v>
      </c>
    </row>
    <row r="148" spans="1:17" x14ac:dyDescent="0.35">
      <c r="A148" s="1" t="e">
        <f>VLOOKUP(A1,Data!$A$1:$DZU$1000000,2501,FALSE)</f>
        <v>#N/A</v>
      </c>
      <c r="B148" s="1" t="e">
        <f>VLOOKUP(A1,Data!$A$1:$DZU$1000000,2502,FALSE)</f>
        <v>#N/A</v>
      </c>
      <c r="C148" s="1" t="e">
        <f>VLOOKUP(A1,Data!$A$1:$DZU$1000000,2503,FALSE)</f>
        <v>#N/A</v>
      </c>
      <c r="D148" s="1" t="e">
        <f>VLOOKUP(A1,Data!$A$1:$DZU$1000000,2504,FALSE)</f>
        <v>#N/A</v>
      </c>
      <c r="E148" s="1" t="e">
        <f>VLOOKUP(A1,Data!$A$1:$DZU$1000000,2505,FALSE)</f>
        <v>#N/A</v>
      </c>
      <c r="F148" s="1" t="e">
        <f>VLOOKUP(A1,Data!$A$1:$DZU$1000000,2506,FALSE)</f>
        <v>#N/A</v>
      </c>
      <c r="G148" s="1" t="e">
        <f>VLOOKUP(A1,Data!$A$1:$DZU$1000000,2507,FALSE)</f>
        <v>#N/A</v>
      </c>
      <c r="H148" s="1" t="e">
        <f>VLOOKUP(A1,Data!$A$1:$DZU$1000000,2508,FALSE)</f>
        <v>#N/A</v>
      </c>
      <c r="I148" s="1" t="e">
        <f>VLOOKUP(A1,Data!$A$1:$DZU$1000000,2509,FALSE)</f>
        <v>#N/A</v>
      </c>
      <c r="J148" s="1" t="e">
        <f>VLOOKUP(A1,Data!$A$1:$DZU$1000000,2510,FALSE)</f>
        <v>#N/A</v>
      </c>
      <c r="K148" s="1" t="e">
        <f>VLOOKUP(A1,Data!$A$1:$DZU$1000000,2511,FALSE)</f>
        <v>#N/A</v>
      </c>
      <c r="L148" s="1" t="e">
        <f>VLOOKUP(A1,Data!$A$1:$DZU$1000000,2512,FALSE)</f>
        <v>#N/A</v>
      </c>
      <c r="M148" s="1" t="e">
        <f>VLOOKUP(A1,Data!$A$1:$DZU$1000000,2513,FALSE)</f>
        <v>#N/A</v>
      </c>
      <c r="N148" s="1" t="e">
        <f>VLOOKUP(A1,Data!$A$1:$DZU$1000000,2514,FALSE)</f>
        <v>#N/A</v>
      </c>
      <c r="O148" s="1" t="e">
        <f>VLOOKUP(A1,Data!$A$1:$DZU$1000000,2515,FALSE)</f>
        <v>#N/A</v>
      </c>
      <c r="P148" s="1" t="e">
        <f>VLOOKUP(A1,Data!$A$1:$DZU$1000000,2516,FALSE)</f>
        <v>#N/A</v>
      </c>
      <c r="Q148" s="1" t="e">
        <f>VLOOKUP(A1,Data!$A$1:$DZU$1000000,2517,FALSE)</f>
        <v>#N/A</v>
      </c>
    </row>
    <row r="149" spans="1:17" x14ac:dyDescent="0.35">
      <c r="A149" s="1" t="e">
        <f>VLOOKUP(A1,Data!$A$1:$DZU$1000000,2518,FALSE)</f>
        <v>#N/A</v>
      </c>
      <c r="B149" s="1" t="e">
        <f>VLOOKUP(A1,Data!$A$1:$DZU$1000000,2519,FALSE)</f>
        <v>#N/A</v>
      </c>
      <c r="C149" s="1" t="e">
        <f>VLOOKUP(A1,Data!$A$1:$DZU$1000000,2520,FALSE)</f>
        <v>#N/A</v>
      </c>
      <c r="D149" s="1" t="e">
        <f>VLOOKUP(A1,Data!$A$1:$DZU$1000000,2521,FALSE)</f>
        <v>#N/A</v>
      </c>
      <c r="E149" s="1" t="e">
        <f>VLOOKUP(A1,Data!$A$1:$DZU$1000000,2522,FALSE)</f>
        <v>#N/A</v>
      </c>
      <c r="F149" s="1" t="e">
        <f>VLOOKUP(A1,Data!$A$1:$DZU$1000000,2523,FALSE)</f>
        <v>#N/A</v>
      </c>
      <c r="G149" s="1" t="e">
        <f>VLOOKUP(A1,Data!$A$1:$DZU$1000000,2524,FALSE)</f>
        <v>#N/A</v>
      </c>
      <c r="H149" s="1" t="e">
        <f>VLOOKUP(A1,Data!$A$1:$DZU$1000000,2525,FALSE)</f>
        <v>#N/A</v>
      </c>
      <c r="I149" s="1" t="e">
        <f>VLOOKUP(A1,Data!$A$1:$DZU$1000000,2526,FALSE)</f>
        <v>#N/A</v>
      </c>
      <c r="J149" s="1" t="e">
        <f>VLOOKUP(A1,Data!$A$1:$DZU$1000000,2527,FALSE)</f>
        <v>#N/A</v>
      </c>
      <c r="K149" s="1" t="e">
        <f>VLOOKUP(A1,Data!$A$1:$DZU$1000000,2528,FALSE)</f>
        <v>#N/A</v>
      </c>
      <c r="L149" s="1" t="e">
        <f>VLOOKUP(A1,Data!$A$1:$DZU$1000000,2529,FALSE)</f>
        <v>#N/A</v>
      </c>
      <c r="M149" s="1" t="e">
        <f>VLOOKUP(A1,Data!$A$1:$DZU$1000000,2530,FALSE)</f>
        <v>#N/A</v>
      </c>
      <c r="N149" s="1" t="e">
        <f>VLOOKUP(A1,Data!$A$1:$DZU$1000000,2531,FALSE)</f>
        <v>#N/A</v>
      </c>
      <c r="O149" s="1" t="e">
        <f>VLOOKUP(A1,Data!$A$1:$DZU$1000000,2532,FALSE)</f>
        <v>#N/A</v>
      </c>
      <c r="P149" s="1" t="e">
        <f>VLOOKUP(A1,Data!$A$1:$DZU$1000000,2533,FALSE)</f>
        <v>#N/A</v>
      </c>
      <c r="Q149" s="1" t="e">
        <f>VLOOKUP(A1,Data!$A$1:$DZU$1000000,2534,FALSE)</f>
        <v>#N/A</v>
      </c>
    </row>
    <row r="150" spans="1:17" x14ac:dyDescent="0.35">
      <c r="A150" s="1" t="e">
        <f>VLOOKUP(A1,Data!$A$1:$DZU$1000000,2535,FALSE)</f>
        <v>#N/A</v>
      </c>
      <c r="B150" s="1" t="e">
        <f>VLOOKUP(A1,Data!$A$1:$DZU$1000000,2536,FALSE)</f>
        <v>#N/A</v>
      </c>
      <c r="C150" s="1" t="e">
        <f>VLOOKUP(A1,Data!$A$1:$DZU$1000000,2537,FALSE)</f>
        <v>#N/A</v>
      </c>
      <c r="D150" s="1" t="e">
        <f>VLOOKUP(A1,Data!$A$1:$DZU$1000000,2538,FALSE)</f>
        <v>#N/A</v>
      </c>
      <c r="E150" s="1" t="e">
        <f>VLOOKUP(A1,Data!$A$1:$DZU$1000000,2539,FALSE)</f>
        <v>#N/A</v>
      </c>
      <c r="F150" s="1" t="e">
        <f>VLOOKUP(A1,Data!$A$1:$DZU$1000000,2540,FALSE)</f>
        <v>#N/A</v>
      </c>
      <c r="G150" s="1" t="e">
        <f>VLOOKUP(A1,Data!$A$1:$DZU$1000000,2541,FALSE)</f>
        <v>#N/A</v>
      </c>
      <c r="H150" s="1" t="e">
        <f>VLOOKUP(A1,Data!$A$1:$DZU$1000000,2542,FALSE)</f>
        <v>#N/A</v>
      </c>
      <c r="I150" s="1" t="e">
        <f>VLOOKUP(A1,Data!$A$1:$DZU$1000000,2543,FALSE)</f>
        <v>#N/A</v>
      </c>
      <c r="J150" s="1" t="e">
        <f>VLOOKUP(A1,Data!$A$1:$DZU$1000000,2544,FALSE)</f>
        <v>#N/A</v>
      </c>
      <c r="K150" s="1" t="e">
        <f>VLOOKUP(A1,Data!$A$1:$DZU$1000000,2545,FALSE)</f>
        <v>#N/A</v>
      </c>
      <c r="L150" s="1" t="e">
        <f>VLOOKUP(A1,Data!$A$1:$DZU$1000000,2546,FALSE)</f>
        <v>#N/A</v>
      </c>
      <c r="M150" s="1" t="e">
        <f>VLOOKUP(A1,Data!$A$1:$DZU$1000000,2547,FALSE)</f>
        <v>#N/A</v>
      </c>
      <c r="N150" s="1" t="e">
        <f>VLOOKUP(A1,Data!$A$1:$DZU$1000000,2548,FALSE)</f>
        <v>#N/A</v>
      </c>
      <c r="O150" s="1" t="e">
        <f>VLOOKUP(A1,Data!$A$1:$DZU$1000000,2549,FALSE)</f>
        <v>#N/A</v>
      </c>
      <c r="P150" s="1" t="e">
        <f>VLOOKUP(A1,Data!$A$1:$DZU$1000000,2550,FALSE)</f>
        <v>#N/A</v>
      </c>
      <c r="Q150" s="1" t="e">
        <f>VLOOKUP(A1,Data!$A$1:$DZU$1000000,2551,FALSE)</f>
        <v>#N/A</v>
      </c>
    </row>
    <row r="151" spans="1:17" x14ac:dyDescent="0.35">
      <c r="A151" s="1" t="e">
        <f>VLOOKUP(A1,Data!$A$1:$DZU$1000000,2552,FALSE)</f>
        <v>#N/A</v>
      </c>
      <c r="B151" s="1" t="e">
        <f>VLOOKUP(A1,Data!$A$1:$DZU$1000000,2553,FALSE)</f>
        <v>#N/A</v>
      </c>
      <c r="C151" s="1" t="e">
        <f>VLOOKUP(A1,Data!$A$1:$DZU$1000000,2554,FALSE)</f>
        <v>#N/A</v>
      </c>
      <c r="D151" s="1" t="e">
        <f>VLOOKUP(A1,Data!$A$1:$DZU$1000000,2555,FALSE)</f>
        <v>#N/A</v>
      </c>
      <c r="E151" s="1" t="e">
        <f>VLOOKUP(A1,Data!$A$1:$DZU$1000000,2556,FALSE)</f>
        <v>#N/A</v>
      </c>
      <c r="F151" s="1" t="e">
        <f>VLOOKUP(A1,Data!$A$1:$DZU$1000000,2557,FALSE)</f>
        <v>#N/A</v>
      </c>
      <c r="G151" s="1" t="e">
        <f>VLOOKUP(A1,Data!$A$1:$DZU$1000000,2558,FALSE)</f>
        <v>#N/A</v>
      </c>
      <c r="H151" s="1" t="e">
        <f>VLOOKUP(A1,Data!$A$1:$DZU$1000000,2559,FALSE)</f>
        <v>#N/A</v>
      </c>
      <c r="I151" s="1" t="e">
        <f>VLOOKUP(A1,Data!$A$1:$DZU$1000000,2560,FALSE)</f>
        <v>#N/A</v>
      </c>
      <c r="J151" s="1" t="e">
        <f>VLOOKUP(A1,Data!$A$1:$DZU$1000000,2561,FALSE)</f>
        <v>#N/A</v>
      </c>
      <c r="K151" s="1" t="e">
        <f>VLOOKUP(A1,Data!$A$1:$DZU$1000000,2562,FALSE)</f>
        <v>#N/A</v>
      </c>
      <c r="L151" s="1" t="e">
        <f>VLOOKUP(A1,Data!$A$1:$DZU$1000000,2563,FALSE)</f>
        <v>#N/A</v>
      </c>
      <c r="M151" s="1" t="e">
        <f>VLOOKUP(A1,Data!$A$1:$DZU$1000000,2564,FALSE)</f>
        <v>#N/A</v>
      </c>
      <c r="N151" s="1" t="e">
        <f>VLOOKUP(A1,Data!$A$1:$DZU$1000000,2565,FALSE)</f>
        <v>#N/A</v>
      </c>
      <c r="O151" s="1" t="e">
        <f>VLOOKUP(A1,Data!$A$1:$DZU$1000000,2566,FALSE)</f>
        <v>#N/A</v>
      </c>
      <c r="P151" s="1" t="e">
        <f>VLOOKUP(A1,Data!$A$1:$DZU$1000000,2567,FALSE)</f>
        <v>#N/A</v>
      </c>
      <c r="Q151" s="1" t="e">
        <f>VLOOKUP(A1,Data!$A$1:$DZU$1000000,2568,FALSE)</f>
        <v>#N/A</v>
      </c>
    </row>
    <row r="152" spans="1:17" x14ac:dyDescent="0.35">
      <c r="A152" s="1" t="e">
        <f>VLOOKUP(A1,Data!$A$1:$DZU$1000000,2569,FALSE)</f>
        <v>#N/A</v>
      </c>
      <c r="B152" s="1" t="e">
        <f>VLOOKUP(A1,Data!$A$1:$DZU$1000000,2570,FALSE)</f>
        <v>#N/A</v>
      </c>
      <c r="C152" s="1" t="e">
        <f>VLOOKUP(A1,Data!$A$1:$DZU$1000000,2571,FALSE)</f>
        <v>#N/A</v>
      </c>
      <c r="D152" s="1" t="e">
        <f>VLOOKUP(A1,Data!$A$1:$DZU$1000000,2572,FALSE)</f>
        <v>#N/A</v>
      </c>
      <c r="E152" s="1" t="e">
        <f>VLOOKUP(A1,Data!$A$1:$DZU$1000000,2573,FALSE)</f>
        <v>#N/A</v>
      </c>
      <c r="F152" s="1" t="e">
        <f>VLOOKUP(A1,Data!$A$1:$DZU$1000000,2574,FALSE)</f>
        <v>#N/A</v>
      </c>
      <c r="G152" s="1" t="e">
        <f>VLOOKUP(A1,Data!$A$1:$DZU$1000000,2575,FALSE)</f>
        <v>#N/A</v>
      </c>
      <c r="H152" s="1" t="e">
        <f>VLOOKUP(A1,Data!$A$1:$DZU$1000000,2576,FALSE)</f>
        <v>#N/A</v>
      </c>
      <c r="I152" s="1" t="e">
        <f>VLOOKUP(A1,Data!$A$1:$DZU$1000000,2577,FALSE)</f>
        <v>#N/A</v>
      </c>
      <c r="J152" s="1" t="e">
        <f>VLOOKUP(A1,Data!$A$1:$DZU$1000000,2578,FALSE)</f>
        <v>#N/A</v>
      </c>
      <c r="K152" s="1" t="e">
        <f>VLOOKUP(A1,Data!$A$1:$DZU$1000000,2579,FALSE)</f>
        <v>#N/A</v>
      </c>
      <c r="L152" s="1" t="e">
        <f>VLOOKUP(A1,Data!$A$1:$DZU$1000000,2580,FALSE)</f>
        <v>#N/A</v>
      </c>
      <c r="M152" s="1" t="e">
        <f>VLOOKUP(A1,Data!$A$1:$DZU$1000000,2581,FALSE)</f>
        <v>#N/A</v>
      </c>
      <c r="N152" s="1" t="e">
        <f>VLOOKUP(A1,Data!$A$1:$DZU$1000000,2582,FALSE)</f>
        <v>#N/A</v>
      </c>
      <c r="O152" s="1" t="e">
        <f>VLOOKUP(A1,Data!$A$1:$DZU$1000000,2583,FALSE)</f>
        <v>#N/A</v>
      </c>
      <c r="P152" s="1" t="e">
        <f>VLOOKUP(A1,Data!$A$1:$DZU$1000000,2584,FALSE)</f>
        <v>#N/A</v>
      </c>
      <c r="Q152" s="1" t="e">
        <f>VLOOKUP(A1,Data!$A$1:$DZU$1000000,2585,FALSE)</f>
        <v>#N/A</v>
      </c>
    </row>
    <row r="153" spans="1:17" x14ac:dyDescent="0.35">
      <c r="A153" s="1" t="e">
        <f>VLOOKUP(A1,Data!$A$1:$DZU$1000000,2586,FALSE)</f>
        <v>#N/A</v>
      </c>
      <c r="B153" s="1" t="e">
        <f>VLOOKUP(A1,Data!$A$1:$DZU$1000000,2587,FALSE)</f>
        <v>#N/A</v>
      </c>
      <c r="C153" s="1" t="e">
        <f>VLOOKUP(A1,Data!$A$1:$DZU$1000000,2588,FALSE)</f>
        <v>#N/A</v>
      </c>
      <c r="D153" s="1" t="e">
        <f>VLOOKUP(A1,Data!$A$1:$DZU$1000000,2589,FALSE)</f>
        <v>#N/A</v>
      </c>
      <c r="E153" s="1" t="e">
        <f>VLOOKUP(A1,Data!$A$1:$DZU$1000000,2590,FALSE)</f>
        <v>#N/A</v>
      </c>
      <c r="F153" s="1" t="e">
        <f>VLOOKUP(A1,Data!$A$1:$DZU$1000000,2591,FALSE)</f>
        <v>#N/A</v>
      </c>
      <c r="G153" s="1" t="e">
        <f>VLOOKUP(A1,Data!$A$1:$DZU$1000000,2592,FALSE)</f>
        <v>#N/A</v>
      </c>
      <c r="H153" s="1" t="e">
        <f>VLOOKUP(A1,Data!$A$1:$DZU$1000000,2593,FALSE)</f>
        <v>#N/A</v>
      </c>
      <c r="I153" s="1" t="e">
        <f>VLOOKUP(A1,Data!$A$1:$DZU$1000000,2594,FALSE)</f>
        <v>#N/A</v>
      </c>
      <c r="J153" s="1" t="e">
        <f>VLOOKUP(A1,Data!$A$1:$DZU$1000000,2595,FALSE)</f>
        <v>#N/A</v>
      </c>
      <c r="K153" s="1" t="e">
        <f>VLOOKUP(A1,Data!$A$1:$DZU$1000000,2596,FALSE)</f>
        <v>#N/A</v>
      </c>
      <c r="L153" s="1" t="e">
        <f>VLOOKUP(A1,Data!$A$1:$DZU$1000000,2597,FALSE)</f>
        <v>#N/A</v>
      </c>
      <c r="M153" s="1" t="e">
        <f>VLOOKUP(A1,Data!$A$1:$DZU$1000000,2598,FALSE)</f>
        <v>#N/A</v>
      </c>
      <c r="N153" s="1" t="e">
        <f>VLOOKUP(A1,Data!$A$1:$DZU$1000000,2599,FALSE)</f>
        <v>#N/A</v>
      </c>
      <c r="O153" s="1" t="e">
        <f>VLOOKUP(A1,Data!$A$1:$DZU$1000000,2600,FALSE)</f>
        <v>#N/A</v>
      </c>
      <c r="P153" s="1" t="e">
        <f>VLOOKUP(A1,Data!$A$1:$DZU$1000000,2601,FALSE)</f>
        <v>#N/A</v>
      </c>
      <c r="Q153" s="1" t="e">
        <f>VLOOKUP(A1,Data!$A$1:$DZU$1000000,2602,FALSE)</f>
        <v>#N/A</v>
      </c>
    </row>
    <row r="154" spans="1:17" x14ac:dyDescent="0.35">
      <c r="A154" s="1" t="e">
        <f>VLOOKUP(A1,Data!$A$1:$DZU$1000000,2603,FALSE)</f>
        <v>#N/A</v>
      </c>
      <c r="B154" s="1" t="e">
        <f>VLOOKUP(A1,Data!$A$1:$DZU$1000000,2604,FALSE)</f>
        <v>#N/A</v>
      </c>
      <c r="C154" s="1" t="e">
        <f>VLOOKUP(A1,Data!$A$1:$DZU$1000000,2605,FALSE)</f>
        <v>#N/A</v>
      </c>
      <c r="D154" s="1" t="e">
        <f>VLOOKUP(A1,Data!$A$1:$DZU$1000000,2606,FALSE)</f>
        <v>#N/A</v>
      </c>
      <c r="E154" s="1" t="e">
        <f>VLOOKUP(A1,Data!$A$1:$DZU$1000000,2607,FALSE)</f>
        <v>#N/A</v>
      </c>
      <c r="F154" s="1" t="e">
        <f>VLOOKUP(A1,Data!$A$1:$DZU$1000000,2608,FALSE)</f>
        <v>#N/A</v>
      </c>
      <c r="G154" s="1" t="e">
        <f>VLOOKUP(A1,Data!$A$1:$DZU$1000000,2609,FALSE)</f>
        <v>#N/A</v>
      </c>
      <c r="H154" s="1" t="e">
        <f>VLOOKUP(A1,Data!$A$1:$DZU$1000000,2610,FALSE)</f>
        <v>#N/A</v>
      </c>
      <c r="I154" s="1" t="e">
        <f>VLOOKUP(A1,Data!$A$1:$DZU$1000000,2611,FALSE)</f>
        <v>#N/A</v>
      </c>
      <c r="J154" s="1" t="e">
        <f>VLOOKUP(A1,Data!$A$1:$DZU$1000000,2612,FALSE)</f>
        <v>#N/A</v>
      </c>
      <c r="K154" s="1" t="e">
        <f>VLOOKUP(A1,Data!$A$1:$DZU$1000000,2613,FALSE)</f>
        <v>#N/A</v>
      </c>
      <c r="L154" s="1" t="e">
        <f>VLOOKUP(A1,Data!$A$1:$DZU$1000000,2614,FALSE)</f>
        <v>#N/A</v>
      </c>
      <c r="M154" s="1" t="e">
        <f>VLOOKUP(A1,Data!$A$1:$DZU$1000000,2615,FALSE)</f>
        <v>#N/A</v>
      </c>
      <c r="N154" s="1" t="e">
        <f>VLOOKUP(A1,Data!$A$1:$DZU$1000000,2616,FALSE)</f>
        <v>#N/A</v>
      </c>
      <c r="O154" s="1" t="e">
        <f>VLOOKUP(A1,Data!$A$1:$DZU$1000000,2617,FALSE)</f>
        <v>#N/A</v>
      </c>
      <c r="P154" s="1" t="e">
        <f>VLOOKUP(A1,Data!$A$1:$DZU$1000000,2618,FALSE)</f>
        <v>#N/A</v>
      </c>
      <c r="Q154" s="1" t="e">
        <f>VLOOKUP(A1,Data!$A$1:$DZU$1000000,2619,FALSE)</f>
        <v>#N/A</v>
      </c>
    </row>
    <row r="155" spans="1:17" x14ac:dyDescent="0.35">
      <c r="A155" s="1" t="e">
        <f>VLOOKUP(A1,Data!$A$1:$DZU$1000000,2620,FALSE)</f>
        <v>#N/A</v>
      </c>
      <c r="B155" s="1" t="e">
        <f>VLOOKUP(A1,Data!$A$1:$DZU$1000000,2621,FALSE)</f>
        <v>#N/A</v>
      </c>
      <c r="C155" s="1" t="e">
        <f>VLOOKUP(A1,Data!$A$1:$DZU$1000000,2622,FALSE)</f>
        <v>#N/A</v>
      </c>
      <c r="D155" s="1" t="e">
        <f>VLOOKUP(A1,Data!$A$1:$DZU$1000000,2623,FALSE)</f>
        <v>#N/A</v>
      </c>
      <c r="E155" s="1" t="e">
        <f>VLOOKUP(A1,Data!$A$1:$DZU$1000000,2624,FALSE)</f>
        <v>#N/A</v>
      </c>
      <c r="F155" s="1" t="e">
        <f>VLOOKUP(A1,Data!$A$1:$DZU$1000000,2625,FALSE)</f>
        <v>#N/A</v>
      </c>
      <c r="G155" s="1" t="e">
        <f>VLOOKUP(A1,Data!$A$1:$DZU$1000000,2626,FALSE)</f>
        <v>#N/A</v>
      </c>
      <c r="H155" s="1" t="e">
        <f>VLOOKUP(A1,Data!$A$1:$DZU$1000000,2627,FALSE)</f>
        <v>#N/A</v>
      </c>
      <c r="I155" s="1" t="e">
        <f>VLOOKUP(A1,Data!$A$1:$DZU$1000000,2628,FALSE)</f>
        <v>#N/A</v>
      </c>
      <c r="J155" s="1" t="e">
        <f>VLOOKUP(A1,Data!$A$1:$DZU$1000000,2629,FALSE)</f>
        <v>#N/A</v>
      </c>
      <c r="K155" s="1" t="e">
        <f>VLOOKUP(A1,Data!$A$1:$DZU$1000000,2630,FALSE)</f>
        <v>#N/A</v>
      </c>
      <c r="L155" s="1" t="e">
        <f>VLOOKUP(A1,Data!$A$1:$DZU$1000000,2631,FALSE)</f>
        <v>#N/A</v>
      </c>
      <c r="M155" s="1" t="e">
        <f>VLOOKUP(A1,Data!$A$1:$DZU$1000000,2632,FALSE)</f>
        <v>#N/A</v>
      </c>
      <c r="N155" s="1" t="e">
        <f>VLOOKUP(A1,Data!$A$1:$DZU$1000000,2633,FALSE)</f>
        <v>#N/A</v>
      </c>
      <c r="O155" s="1" t="e">
        <f>VLOOKUP(A1,Data!$A$1:$DZU$1000000,2634,FALSE)</f>
        <v>#N/A</v>
      </c>
      <c r="P155" s="1" t="e">
        <f>VLOOKUP(A1,Data!$A$1:$DZU$1000000,2635,FALSE)</f>
        <v>#N/A</v>
      </c>
      <c r="Q155" s="1" t="e">
        <f>VLOOKUP(A1,Data!$A$1:$DZU$1000000,2636,FALSE)</f>
        <v>#N/A</v>
      </c>
    </row>
    <row r="156" spans="1:17" x14ac:dyDescent="0.35">
      <c r="A156" s="1" t="e">
        <f>VLOOKUP(A1,Data!$A$1:$DZU$1000000,2637,FALSE)</f>
        <v>#N/A</v>
      </c>
      <c r="B156" s="1" t="e">
        <f>VLOOKUP(A1,Data!$A$1:$DZU$1000000,2638,FALSE)</f>
        <v>#N/A</v>
      </c>
      <c r="C156" s="1" t="e">
        <f>VLOOKUP(A1,Data!$A$1:$DZU$1000000,2639,FALSE)</f>
        <v>#N/A</v>
      </c>
      <c r="D156" s="1" t="e">
        <f>VLOOKUP(A1,Data!$A$1:$DZU$1000000,2640,FALSE)</f>
        <v>#N/A</v>
      </c>
      <c r="E156" s="1" t="e">
        <f>VLOOKUP(A1,Data!$A$1:$DZU$1000000,2641,FALSE)</f>
        <v>#N/A</v>
      </c>
      <c r="F156" s="1" t="e">
        <f>VLOOKUP(A1,Data!$A$1:$DZU$1000000,2642,FALSE)</f>
        <v>#N/A</v>
      </c>
      <c r="G156" s="1" t="e">
        <f>VLOOKUP(A1,Data!$A$1:$DZU$1000000,2643,FALSE)</f>
        <v>#N/A</v>
      </c>
      <c r="H156" s="1" t="e">
        <f>VLOOKUP(A1,Data!$A$1:$DZU$1000000,2644,FALSE)</f>
        <v>#N/A</v>
      </c>
      <c r="I156" s="1" t="e">
        <f>VLOOKUP(A1,Data!$A$1:$DZU$1000000,2645,FALSE)</f>
        <v>#N/A</v>
      </c>
      <c r="J156" s="1" t="e">
        <f>VLOOKUP(A1,Data!$A$1:$DZU$1000000,2646,FALSE)</f>
        <v>#N/A</v>
      </c>
      <c r="K156" s="1" t="e">
        <f>VLOOKUP(A1,Data!$A$1:$DZU$1000000,2647,FALSE)</f>
        <v>#N/A</v>
      </c>
      <c r="L156" s="1" t="e">
        <f>VLOOKUP(A1,Data!$A$1:$DZU$1000000,2648,FALSE)</f>
        <v>#N/A</v>
      </c>
      <c r="M156" s="1" t="e">
        <f>VLOOKUP(A1,Data!$A$1:$DZU$1000000,2649,FALSE)</f>
        <v>#N/A</v>
      </c>
      <c r="N156" s="1" t="e">
        <f>VLOOKUP(A1,Data!$A$1:$DZU$1000000,2650,FALSE)</f>
        <v>#N/A</v>
      </c>
      <c r="O156" s="1" t="e">
        <f>VLOOKUP(A1,Data!$A$1:$DZU$1000000,2651,FALSE)</f>
        <v>#N/A</v>
      </c>
      <c r="P156" s="1" t="e">
        <f>VLOOKUP(A1,Data!$A$1:$DZU$1000000,2652,FALSE)</f>
        <v>#N/A</v>
      </c>
      <c r="Q156" s="1" t="e">
        <f>VLOOKUP(A1,Data!$A$1:$DZU$1000000,2653,FALSE)</f>
        <v>#N/A</v>
      </c>
    </row>
    <row r="157" spans="1:17" x14ac:dyDescent="0.35">
      <c r="A157" s="1" t="e">
        <f>VLOOKUP(A1,Data!$A$1:$DZU$1000000,2654,FALSE)</f>
        <v>#N/A</v>
      </c>
      <c r="B157" s="1" t="e">
        <f>VLOOKUP(A1,Data!$A$1:$DZU$1000000,2655,FALSE)</f>
        <v>#N/A</v>
      </c>
      <c r="C157" s="1" t="e">
        <f>VLOOKUP(A1,Data!$A$1:$DZU$1000000,2656,FALSE)</f>
        <v>#N/A</v>
      </c>
      <c r="D157" s="1" t="e">
        <f>VLOOKUP(A1,Data!$A$1:$DZU$1000000,2657,FALSE)</f>
        <v>#N/A</v>
      </c>
      <c r="E157" s="1" t="e">
        <f>VLOOKUP(A1,Data!$A$1:$DZU$1000000,2658,FALSE)</f>
        <v>#N/A</v>
      </c>
      <c r="F157" s="1" t="e">
        <f>VLOOKUP(A1,Data!$A$1:$DZU$1000000,2659,FALSE)</f>
        <v>#N/A</v>
      </c>
      <c r="G157" s="1" t="e">
        <f>VLOOKUP(A1,Data!$A$1:$DZU$1000000,2660,FALSE)</f>
        <v>#N/A</v>
      </c>
      <c r="H157" s="1" t="e">
        <f>VLOOKUP(A1,Data!$A$1:$DZU$1000000,2661,FALSE)</f>
        <v>#N/A</v>
      </c>
      <c r="I157" s="1" t="e">
        <f>VLOOKUP(A1,Data!$A$1:$DZU$1000000,2662,FALSE)</f>
        <v>#N/A</v>
      </c>
      <c r="J157" s="1" t="e">
        <f>VLOOKUP(A1,Data!$A$1:$DZU$1000000,2663,FALSE)</f>
        <v>#N/A</v>
      </c>
      <c r="K157" s="1" t="e">
        <f>VLOOKUP(A1,Data!$A$1:$DZU$1000000,2664,FALSE)</f>
        <v>#N/A</v>
      </c>
      <c r="L157" s="1" t="e">
        <f>VLOOKUP(A1,Data!$A$1:$DZU$1000000,2665,FALSE)</f>
        <v>#N/A</v>
      </c>
      <c r="M157" s="1" t="e">
        <f>VLOOKUP(A1,Data!$A$1:$DZU$1000000,2666,FALSE)</f>
        <v>#N/A</v>
      </c>
      <c r="N157" s="1" t="e">
        <f>VLOOKUP(A1,Data!$A$1:$DZU$1000000,2667,FALSE)</f>
        <v>#N/A</v>
      </c>
      <c r="O157" s="1" t="e">
        <f>VLOOKUP(A1,Data!$A$1:$DZU$1000000,2668,FALSE)</f>
        <v>#N/A</v>
      </c>
      <c r="P157" s="1" t="e">
        <f>VLOOKUP(A1,Data!$A$1:$DZU$1000000,2669,FALSE)</f>
        <v>#N/A</v>
      </c>
      <c r="Q157" s="1" t="e">
        <f>VLOOKUP(A1,Data!$A$1:$DZU$1000000,2670,FALSE)</f>
        <v>#N/A</v>
      </c>
    </row>
    <row r="158" spans="1:17" x14ac:dyDescent="0.35">
      <c r="A158" s="1" t="e">
        <f>VLOOKUP(A1,Data!$A$1:$DZU$1000000,2671,FALSE)</f>
        <v>#N/A</v>
      </c>
      <c r="B158" s="1" t="e">
        <f>VLOOKUP(A1,Data!$A$1:$DZU$1000000,2672,FALSE)</f>
        <v>#N/A</v>
      </c>
      <c r="C158" s="1" t="e">
        <f>VLOOKUP(A1,Data!$A$1:$DZU$1000000,2673,FALSE)</f>
        <v>#N/A</v>
      </c>
      <c r="D158" s="1" t="e">
        <f>VLOOKUP(A1,Data!$A$1:$DZU$1000000,2674,FALSE)</f>
        <v>#N/A</v>
      </c>
      <c r="E158" s="1" t="e">
        <f>VLOOKUP(A1,Data!$A$1:$DZU$1000000,2675,FALSE)</f>
        <v>#N/A</v>
      </c>
      <c r="F158" s="1" t="e">
        <f>VLOOKUP(A1,Data!$A$1:$DZU$1000000,2676,FALSE)</f>
        <v>#N/A</v>
      </c>
      <c r="G158" s="1" t="e">
        <f>VLOOKUP(A1,Data!$A$1:$DZU$1000000,2677,FALSE)</f>
        <v>#N/A</v>
      </c>
      <c r="H158" s="1" t="e">
        <f>VLOOKUP(A1,Data!$A$1:$DZU$1000000,2678,FALSE)</f>
        <v>#N/A</v>
      </c>
      <c r="I158" s="1" t="e">
        <f>VLOOKUP(A1,Data!$A$1:$DZU$1000000,2679,FALSE)</f>
        <v>#N/A</v>
      </c>
      <c r="J158" s="1" t="e">
        <f>VLOOKUP(A1,Data!$A$1:$DZU$1000000,2680,FALSE)</f>
        <v>#N/A</v>
      </c>
      <c r="K158" s="1" t="e">
        <f>VLOOKUP(A1,Data!$A$1:$DZU$1000000,2681,FALSE)</f>
        <v>#N/A</v>
      </c>
      <c r="L158" s="1" t="e">
        <f>VLOOKUP(A1,Data!$A$1:$DZU$1000000,2682,FALSE)</f>
        <v>#N/A</v>
      </c>
      <c r="M158" s="1" t="e">
        <f>VLOOKUP(A1,Data!$A$1:$DZU$1000000,2683,FALSE)</f>
        <v>#N/A</v>
      </c>
      <c r="N158" s="1" t="e">
        <f>VLOOKUP(A1,Data!$A$1:$DZU$1000000,2684,FALSE)</f>
        <v>#N/A</v>
      </c>
      <c r="O158" s="1" t="e">
        <f>VLOOKUP(A1,Data!$A$1:$DZU$1000000,2685,FALSE)</f>
        <v>#N/A</v>
      </c>
      <c r="P158" s="1" t="e">
        <f>VLOOKUP(A1,Data!$A$1:$DZU$1000000,2686,FALSE)</f>
        <v>#N/A</v>
      </c>
      <c r="Q158" s="1" t="e">
        <f>VLOOKUP(A1,Data!$A$1:$DZU$1000000,2687,FALSE)</f>
        <v>#N/A</v>
      </c>
    </row>
    <row r="159" spans="1:17" x14ac:dyDescent="0.35">
      <c r="A159" s="1" t="e">
        <f>VLOOKUP(A1,Data!$A$1:$DZU$1000000,2688,FALSE)</f>
        <v>#N/A</v>
      </c>
      <c r="B159" s="1" t="e">
        <f>VLOOKUP(A1,Data!$A$1:$DZU$1000000,2689,FALSE)</f>
        <v>#N/A</v>
      </c>
      <c r="C159" s="1" t="e">
        <f>VLOOKUP(A1,Data!$A$1:$DZU$1000000,2690,FALSE)</f>
        <v>#N/A</v>
      </c>
      <c r="D159" s="1" t="e">
        <f>VLOOKUP(A1,Data!$A$1:$DZU$1000000,2691,FALSE)</f>
        <v>#N/A</v>
      </c>
      <c r="E159" s="1" t="e">
        <f>VLOOKUP(A1,Data!$A$1:$DZU$1000000,2692,FALSE)</f>
        <v>#N/A</v>
      </c>
      <c r="F159" s="1" t="e">
        <f>VLOOKUP(A1,Data!$A$1:$DZU$1000000,2693,FALSE)</f>
        <v>#N/A</v>
      </c>
      <c r="G159" s="1" t="e">
        <f>VLOOKUP(A1,Data!$A$1:$DZU$1000000,2694,FALSE)</f>
        <v>#N/A</v>
      </c>
      <c r="H159" s="1" t="e">
        <f>VLOOKUP(A1,Data!$A$1:$DZU$1000000,2695,FALSE)</f>
        <v>#N/A</v>
      </c>
      <c r="I159" s="1" t="e">
        <f>VLOOKUP(A1,Data!$A$1:$DZU$1000000,2696,FALSE)</f>
        <v>#N/A</v>
      </c>
      <c r="J159" s="1" t="e">
        <f>VLOOKUP(A1,Data!$A$1:$DZU$1000000,2697,FALSE)</f>
        <v>#N/A</v>
      </c>
      <c r="K159" s="1" t="e">
        <f>VLOOKUP(A1,Data!$A$1:$DZU$1000000,2698,FALSE)</f>
        <v>#N/A</v>
      </c>
      <c r="L159" s="1" t="e">
        <f>VLOOKUP(A1,Data!$A$1:$DZU$1000000,2699,FALSE)</f>
        <v>#N/A</v>
      </c>
      <c r="M159" s="1" t="e">
        <f>VLOOKUP(A1,Data!$A$1:$DZU$1000000,2700,FALSE)</f>
        <v>#N/A</v>
      </c>
      <c r="N159" s="1" t="e">
        <f>VLOOKUP(A1,Data!$A$1:$DZU$1000000,2701,FALSE)</f>
        <v>#N/A</v>
      </c>
      <c r="O159" s="1" t="e">
        <f>VLOOKUP(A1,Data!$A$1:$DZU$1000000,2702,FALSE)</f>
        <v>#N/A</v>
      </c>
      <c r="P159" s="1" t="e">
        <f>VLOOKUP(A1,Data!$A$1:$DZU$1000000,2703,FALSE)</f>
        <v>#N/A</v>
      </c>
      <c r="Q159" s="1" t="e">
        <f>VLOOKUP(A1,Data!$A$1:$DZU$1000000,2704,FALSE)</f>
        <v>#N/A</v>
      </c>
    </row>
    <row r="160" spans="1:17" x14ac:dyDescent="0.35">
      <c r="A160" s="1" t="e">
        <f>VLOOKUP(A1,Data!$A$1:$DZU$1000000,2705,FALSE)</f>
        <v>#N/A</v>
      </c>
      <c r="B160" s="1" t="e">
        <f>VLOOKUP(A1,Data!$A$1:$DZU$1000000,2706,FALSE)</f>
        <v>#N/A</v>
      </c>
      <c r="C160" s="1" t="e">
        <f>VLOOKUP(A1,Data!$A$1:$DZU$1000000,2707,FALSE)</f>
        <v>#N/A</v>
      </c>
      <c r="D160" s="1" t="e">
        <f>VLOOKUP(A1,Data!$A$1:$DZU$1000000,2708,FALSE)</f>
        <v>#N/A</v>
      </c>
      <c r="E160" s="1" t="e">
        <f>VLOOKUP(A1,Data!$A$1:$DZU$1000000,2709,FALSE)</f>
        <v>#N/A</v>
      </c>
      <c r="F160" s="1" t="e">
        <f>VLOOKUP(A1,Data!$A$1:$DZU$1000000,2710,FALSE)</f>
        <v>#N/A</v>
      </c>
      <c r="G160" s="1" t="e">
        <f>VLOOKUP(A1,Data!$A$1:$DZU$1000000,2711,FALSE)</f>
        <v>#N/A</v>
      </c>
      <c r="H160" s="1" t="e">
        <f>VLOOKUP(A1,Data!$A$1:$DZU$1000000,2712,FALSE)</f>
        <v>#N/A</v>
      </c>
      <c r="I160" s="1" t="e">
        <f>VLOOKUP(A1,Data!$A$1:$DZU$1000000,2713,FALSE)</f>
        <v>#N/A</v>
      </c>
      <c r="J160" s="1" t="e">
        <f>VLOOKUP(A1,Data!$A$1:$DZU$1000000,2714,FALSE)</f>
        <v>#N/A</v>
      </c>
      <c r="K160" s="1" t="e">
        <f>VLOOKUP(A1,Data!$A$1:$DZU$1000000,2715,FALSE)</f>
        <v>#N/A</v>
      </c>
      <c r="L160" s="1" t="e">
        <f>VLOOKUP(A1,Data!$A$1:$DZU$1000000,2716,FALSE)</f>
        <v>#N/A</v>
      </c>
      <c r="M160" s="1" t="e">
        <f>VLOOKUP(A1,Data!$A$1:$DZU$1000000,2717,FALSE)</f>
        <v>#N/A</v>
      </c>
      <c r="N160" s="1" t="e">
        <f>VLOOKUP(A1,Data!$A$1:$DZU$1000000,2718,FALSE)</f>
        <v>#N/A</v>
      </c>
      <c r="O160" s="1" t="e">
        <f>VLOOKUP(A1,Data!$A$1:$DZU$1000000,2719,FALSE)</f>
        <v>#N/A</v>
      </c>
      <c r="P160" s="1" t="e">
        <f>VLOOKUP(A1,Data!$A$1:$DZU$1000000,2720,FALSE)</f>
        <v>#N/A</v>
      </c>
      <c r="Q160" s="1" t="e">
        <f>VLOOKUP(A1,Data!$A$1:$DZU$1000000,2721,FALSE)</f>
        <v>#N/A</v>
      </c>
    </row>
    <row r="161" spans="1:17" x14ac:dyDescent="0.35">
      <c r="A161" s="1" t="e">
        <f>VLOOKUP(A1,Data!$A$1:$DZU$1000000,2722,FALSE)</f>
        <v>#N/A</v>
      </c>
      <c r="B161" s="1" t="e">
        <f>VLOOKUP(A1,Data!$A$1:$DZU$1000000,2723,FALSE)</f>
        <v>#N/A</v>
      </c>
      <c r="C161" s="1" t="e">
        <f>VLOOKUP(A1,Data!$A$1:$DZU$1000000,2724,FALSE)</f>
        <v>#N/A</v>
      </c>
      <c r="D161" s="1" t="e">
        <f>VLOOKUP(A1,Data!$A$1:$DZU$1000000,2725,FALSE)</f>
        <v>#N/A</v>
      </c>
      <c r="E161" s="1" t="e">
        <f>VLOOKUP(A1,Data!$A$1:$DZU$1000000,2726,FALSE)</f>
        <v>#N/A</v>
      </c>
      <c r="F161" s="1" t="e">
        <f>VLOOKUP(A1,Data!$A$1:$DZU$1000000,2727,FALSE)</f>
        <v>#N/A</v>
      </c>
      <c r="G161" s="1" t="e">
        <f>VLOOKUP(A1,Data!$A$1:$DZU$1000000,2728,FALSE)</f>
        <v>#N/A</v>
      </c>
      <c r="H161" s="1" t="e">
        <f>VLOOKUP(A1,Data!$A$1:$DZU$1000000,2729,FALSE)</f>
        <v>#N/A</v>
      </c>
      <c r="I161" s="1" t="e">
        <f>VLOOKUP(A1,Data!$A$1:$DZU$1000000,2730,FALSE)</f>
        <v>#N/A</v>
      </c>
      <c r="J161" s="1" t="e">
        <f>VLOOKUP(A1,Data!$A$1:$DZU$1000000,2731,FALSE)</f>
        <v>#N/A</v>
      </c>
      <c r="K161" s="1" t="e">
        <f>VLOOKUP(A1,Data!$A$1:$DZU$1000000,2732,FALSE)</f>
        <v>#N/A</v>
      </c>
      <c r="L161" s="1" t="e">
        <f>VLOOKUP(A1,Data!$A$1:$DZU$1000000,2733,FALSE)</f>
        <v>#N/A</v>
      </c>
      <c r="M161" s="1" t="e">
        <f>VLOOKUP(A1,Data!$A$1:$DZU$1000000,2734,FALSE)</f>
        <v>#N/A</v>
      </c>
      <c r="N161" s="1" t="e">
        <f>VLOOKUP(A1,Data!$A$1:$DZU$1000000,2735,FALSE)</f>
        <v>#N/A</v>
      </c>
      <c r="O161" s="1" t="e">
        <f>VLOOKUP(A1,Data!$A$1:$DZU$1000000,2736,FALSE)</f>
        <v>#N/A</v>
      </c>
      <c r="P161" s="1" t="e">
        <f>VLOOKUP(A1,Data!$A$1:$DZU$1000000,2737,FALSE)</f>
        <v>#N/A</v>
      </c>
      <c r="Q161" s="1" t="e">
        <f>VLOOKUP(A1,Data!$A$1:$DZU$1000000,2738,FALSE)</f>
        <v>#N/A</v>
      </c>
    </row>
    <row r="162" spans="1:17" x14ac:dyDescent="0.35">
      <c r="A162" s="1" t="e">
        <f>VLOOKUP(A1,Data!$A$1:$DZU$1000000,2739,FALSE)</f>
        <v>#N/A</v>
      </c>
      <c r="B162" s="1" t="e">
        <f>VLOOKUP(A1,Data!$A$1:$DZU$1000000,2740,FALSE)</f>
        <v>#N/A</v>
      </c>
      <c r="C162" s="1" t="e">
        <f>VLOOKUP(A1,Data!$A$1:$DZU$1000000,2741,FALSE)</f>
        <v>#N/A</v>
      </c>
      <c r="D162" s="1" t="e">
        <f>VLOOKUP(A1,Data!$A$1:$DZU$1000000,2742,FALSE)</f>
        <v>#N/A</v>
      </c>
      <c r="E162" s="1" t="e">
        <f>VLOOKUP(A1,Data!$A$1:$DZU$1000000,2743,FALSE)</f>
        <v>#N/A</v>
      </c>
      <c r="F162" s="1" t="e">
        <f>VLOOKUP(A1,Data!$A$1:$DZU$1000000,2744,FALSE)</f>
        <v>#N/A</v>
      </c>
      <c r="G162" s="1" t="e">
        <f>VLOOKUP(A1,Data!$A$1:$DZU$1000000,2745,FALSE)</f>
        <v>#N/A</v>
      </c>
      <c r="H162" s="1" t="e">
        <f>VLOOKUP(A1,Data!$A$1:$DZU$1000000,2746,FALSE)</f>
        <v>#N/A</v>
      </c>
      <c r="I162" s="1" t="e">
        <f>VLOOKUP(A1,Data!$A$1:$DZU$1000000,2747,FALSE)</f>
        <v>#N/A</v>
      </c>
      <c r="J162" s="1" t="e">
        <f>VLOOKUP(A1,Data!$A$1:$DZU$1000000,2748,FALSE)</f>
        <v>#N/A</v>
      </c>
      <c r="K162" s="1" t="e">
        <f>VLOOKUP(A1,Data!$A$1:$DZU$1000000,2749,FALSE)</f>
        <v>#N/A</v>
      </c>
      <c r="L162" s="1" t="e">
        <f>VLOOKUP(A1,Data!$A$1:$DZU$1000000,2750,FALSE)</f>
        <v>#N/A</v>
      </c>
      <c r="M162" s="1" t="e">
        <f>VLOOKUP(A1,Data!$A$1:$DZU$1000000,2751,FALSE)</f>
        <v>#N/A</v>
      </c>
      <c r="N162" s="1" t="e">
        <f>VLOOKUP(A1,Data!$A$1:$DZU$1000000,2752,FALSE)</f>
        <v>#N/A</v>
      </c>
      <c r="O162" s="1" t="e">
        <f>VLOOKUP(A1,Data!$A$1:$DZU$1000000,2753,FALSE)</f>
        <v>#N/A</v>
      </c>
      <c r="P162" s="1" t="e">
        <f>VLOOKUP(A1,Data!$A$1:$DZU$1000000,2754,FALSE)</f>
        <v>#N/A</v>
      </c>
      <c r="Q162" s="1" t="e">
        <f>VLOOKUP(A1,Data!$A$1:$DZU$1000000,2755,FALSE)</f>
        <v>#N/A</v>
      </c>
    </row>
    <row r="163" spans="1:17" x14ac:dyDescent="0.35">
      <c r="A163" s="1" t="e">
        <f>VLOOKUP(A1,Data!$A$1:$DZU$1000000,2756,FALSE)</f>
        <v>#N/A</v>
      </c>
      <c r="B163" s="1" t="e">
        <f>VLOOKUP(A1,Data!$A$1:$DZU$1000000,2757,FALSE)</f>
        <v>#N/A</v>
      </c>
      <c r="C163" s="1" t="e">
        <f>VLOOKUP(A1,Data!$A$1:$DZU$1000000,2758,FALSE)</f>
        <v>#N/A</v>
      </c>
      <c r="D163" s="1" t="e">
        <f>VLOOKUP(A1,Data!$A$1:$DZU$1000000,2759,FALSE)</f>
        <v>#N/A</v>
      </c>
      <c r="E163" s="1" t="e">
        <f>VLOOKUP(A1,Data!$A$1:$DZU$1000000,2760,FALSE)</f>
        <v>#N/A</v>
      </c>
      <c r="F163" s="1" t="e">
        <f>VLOOKUP(A1,Data!$A$1:$DZU$1000000,2761,FALSE)</f>
        <v>#N/A</v>
      </c>
      <c r="G163" s="1" t="e">
        <f>VLOOKUP(A1,Data!$A$1:$DZU$1000000,2762,FALSE)</f>
        <v>#N/A</v>
      </c>
      <c r="H163" s="1" t="e">
        <f>VLOOKUP(A1,Data!$A$1:$DZU$1000000,2763,FALSE)</f>
        <v>#N/A</v>
      </c>
      <c r="I163" s="1" t="e">
        <f>VLOOKUP(A1,Data!$A$1:$DZU$1000000,2764,FALSE)</f>
        <v>#N/A</v>
      </c>
      <c r="J163" s="1" t="e">
        <f>VLOOKUP(A1,Data!$A$1:$DZU$1000000,2765,FALSE)</f>
        <v>#N/A</v>
      </c>
      <c r="K163" s="1" t="e">
        <f>VLOOKUP(A1,Data!$A$1:$DZU$1000000,2766,FALSE)</f>
        <v>#N/A</v>
      </c>
      <c r="L163" s="1" t="e">
        <f>VLOOKUP(A1,Data!$A$1:$DZU$1000000,2767,FALSE)</f>
        <v>#N/A</v>
      </c>
      <c r="M163" s="1" t="e">
        <f>VLOOKUP(A1,Data!$A$1:$DZU$1000000,2768,FALSE)</f>
        <v>#N/A</v>
      </c>
      <c r="N163" s="1" t="e">
        <f>VLOOKUP(A1,Data!$A$1:$DZU$1000000,2769,FALSE)</f>
        <v>#N/A</v>
      </c>
      <c r="O163" s="1" t="e">
        <f>VLOOKUP(A1,Data!$A$1:$DZU$1000000,2770,FALSE)</f>
        <v>#N/A</v>
      </c>
      <c r="P163" s="1" t="e">
        <f>VLOOKUP(A1,Data!$A$1:$DZU$1000000,2771,FALSE)</f>
        <v>#N/A</v>
      </c>
      <c r="Q163" s="1" t="e">
        <f>VLOOKUP(A1,Data!$A$1:$DZU$1000000,2772,FALSE)</f>
        <v>#N/A</v>
      </c>
    </row>
    <row r="164" spans="1:17" x14ac:dyDescent="0.35">
      <c r="A164" s="1" t="e">
        <f>VLOOKUP(A1,Data!$A$1:$DZU$1000000,2773,FALSE)</f>
        <v>#N/A</v>
      </c>
      <c r="B164" s="1" t="e">
        <f>VLOOKUP(A1,Data!$A$1:$DZU$1000000,2774,FALSE)</f>
        <v>#N/A</v>
      </c>
      <c r="C164" s="1" t="e">
        <f>VLOOKUP(A1,Data!$A$1:$DZU$1000000,2775,FALSE)</f>
        <v>#N/A</v>
      </c>
      <c r="D164" s="1" t="e">
        <f>VLOOKUP(A1,Data!$A$1:$DZU$1000000,2776,FALSE)</f>
        <v>#N/A</v>
      </c>
      <c r="E164" s="1" t="e">
        <f>VLOOKUP(A1,Data!$A$1:$DZU$1000000,2777,FALSE)</f>
        <v>#N/A</v>
      </c>
      <c r="F164" s="1" t="e">
        <f>VLOOKUP(A1,Data!$A$1:$DZU$1000000,2778,FALSE)</f>
        <v>#N/A</v>
      </c>
      <c r="G164" s="1" t="e">
        <f>VLOOKUP(A1,Data!$A$1:$DZU$1000000,2779,FALSE)</f>
        <v>#N/A</v>
      </c>
      <c r="H164" s="1" t="e">
        <f>VLOOKUP(A1,Data!$A$1:$DZU$1000000,2780,FALSE)</f>
        <v>#N/A</v>
      </c>
      <c r="I164" s="1" t="e">
        <f>VLOOKUP(A1,Data!$A$1:$DZU$1000000,2781,FALSE)</f>
        <v>#N/A</v>
      </c>
      <c r="J164" s="1" t="e">
        <f>VLOOKUP(A1,Data!$A$1:$DZU$1000000,2782,FALSE)</f>
        <v>#N/A</v>
      </c>
      <c r="K164" s="1" t="e">
        <f>VLOOKUP(A1,Data!$A$1:$DZU$1000000,2783,FALSE)</f>
        <v>#N/A</v>
      </c>
      <c r="L164" s="1" t="e">
        <f>VLOOKUP(A1,Data!$A$1:$DZU$1000000,2784,FALSE)</f>
        <v>#N/A</v>
      </c>
      <c r="M164" s="1" t="e">
        <f>VLOOKUP(A1,Data!$A$1:$DZU$1000000,2785,FALSE)</f>
        <v>#N/A</v>
      </c>
      <c r="N164" s="1" t="e">
        <f>VLOOKUP(A1,Data!$A$1:$DZU$1000000,2786,FALSE)</f>
        <v>#N/A</v>
      </c>
      <c r="O164" s="1" t="e">
        <f>VLOOKUP(A1,Data!$A$1:$DZU$1000000,2787,FALSE)</f>
        <v>#N/A</v>
      </c>
      <c r="P164" s="1" t="e">
        <f>VLOOKUP(A1,Data!$A$1:$DZU$1000000,2788,FALSE)</f>
        <v>#N/A</v>
      </c>
      <c r="Q164" s="1" t="e">
        <f>VLOOKUP(A1,Data!$A$1:$DZU$1000000,2789,FALSE)</f>
        <v>#N/A</v>
      </c>
    </row>
    <row r="165" spans="1:17" x14ac:dyDescent="0.35">
      <c r="A165" s="1" t="e">
        <f>VLOOKUP(A1,Data!$A$1:$DZU$1000000,2790,FALSE)</f>
        <v>#N/A</v>
      </c>
      <c r="B165" s="1" t="e">
        <f>VLOOKUP(A1,Data!$A$1:$DZU$1000000,2791,FALSE)</f>
        <v>#N/A</v>
      </c>
      <c r="C165" s="1" t="e">
        <f>VLOOKUP(A1,Data!$A$1:$DZU$1000000,2792,FALSE)</f>
        <v>#N/A</v>
      </c>
      <c r="D165" s="1" t="e">
        <f>VLOOKUP(A1,Data!$A$1:$DZU$1000000,2793,FALSE)</f>
        <v>#N/A</v>
      </c>
      <c r="E165" s="1" t="e">
        <f>VLOOKUP(A1,Data!$A$1:$DZU$1000000,2794,FALSE)</f>
        <v>#N/A</v>
      </c>
      <c r="F165" s="1" t="e">
        <f>VLOOKUP(A1,Data!$A$1:$DZU$1000000,2795,FALSE)</f>
        <v>#N/A</v>
      </c>
      <c r="G165" s="1" t="e">
        <f>VLOOKUP(A1,Data!$A$1:$DZU$1000000,2796,FALSE)</f>
        <v>#N/A</v>
      </c>
      <c r="H165" s="1" t="e">
        <f>VLOOKUP(A1,Data!$A$1:$DZU$1000000,2797,FALSE)</f>
        <v>#N/A</v>
      </c>
      <c r="I165" s="1" t="e">
        <f>VLOOKUP(A1,Data!$A$1:$DZU$1000000,2798,FALSE)</f>
        <v>#N/A</v>
      </c>
      <c r="J165" s="1" t="e">
        <f>VLOOKUP(A1,Data!$A$1:$DZU$1000000,2799,FALSE)</f>
        <v>#N/A</v>
      </c>
      <c r="K165" s="1" t="e">
        <f>VLOOKUP(A1,Data!$A$1:$DZU$1000000,2800,FALSE)</f>
        <v>#N/A</v>
      </c>
      <c r="L165" s="1" t="e">
        <f>VLOOKUP(A1,Data!$A$1:$DZU$1000000,2801,FALSE)</f>
        <v>#N/A</v>
      </c>
      <c r="M165" s="1" t="e">
        <f>VLOOKUP(A1,Data!$A$1:$DZU$1000000,2802,FALSE)</f>
        <v>#N/A</v>
      </c>
      <c r="N165" s="1" t="e">
        <f>VLOOKUP(A1,Data!$A$1:$DZU$1000000,2803,FALSE)</f>
        <v>#N/A</v>
      </c>
      <c r="O165" s="1" t="e">
        <f>VLOOKUP(A1,Data!$A$1:$DZU$1000000,2804,FALSE)</f>
        <v>#N/A</v>
      </c>
      <c r="P165" s="1" t="e">
        <f>VLOOKUP(A1,Data!$A$1:$DZU$1000000,2805,FALSE)</f>
        <v>#N/A</v>
      </c>
      <c r="Q165" s="1" t="e">
        <f>VLOOKUP(A1,Data!$A$1:$DZU$1000000,2806,FALSE)</f>
        <v>#N/A</v>
      </c>
    </row>
    <row r="166" spans="1:17" x14ac:dyDescent="0.35">
      <c r="A166" s="1" t="e">
        <f>VLOOKUP(A1,Data!$A$1:$DZU$1000000,2807,FALSE)</f>
        <v>#N/A</v>
      </c>
      <c r="B166" s="1" t="e">
        <f>VLOOKUP(A1,Data!$A$1:$DZU$1000000,2808,FALSE)</f>
        <v>#N/A</v>
      </c>
      <c r="C166" s="1" t="e">
        <f>VLOOKUP(A1,Data!$A$1:$DZU$1000000,2809,FALSE)</f>
        <v>#N/A</v>
      </c>
      <c r="D166" s="1" t="e">
        <f>VLOOKUP(A1,Data!$A$1:$DZU$1000000,2810,FALSE)</f>
        <v>#N/A</v>
      </c>
      <c r="E166" s="1" t="e">
        <f>VLOOKUP(A1,Data!$A$1:$DZU$1000000,2811,FALSE)</f>
        <v>#N/A</v>
      </c>
      <c r="F166" s="1" t="e">
        <f>VLOOKUP(A1,Data!$A$1:$DZU$1000000,2812,FALSE)</f>
        <v>#N/A</v>
      </c>
      <c r="G166" s="1" t="e">
        <f>VLOOKUP(A1,Data!$A$1:$DZU$1000000,2813,FALSE)</f>
        <v>#N/A</v>
      </c>
      <c r="H166" s="1" t="e">
        <f>VLOOKUP(A1,Data!$A$1:$DZU$1000000,2814,FALSE)</f>
        <v>#N/A</v>
      </c>
      <c r="I166" s="1" t="e">
        <f>VLOOKUP(A1,Data!$A$1:$DZU$1000000,2815,FALSE)</f>
        <v>#N/A</v>
      </c>
      <c r="J166" s="1" t="e">
        <f>VLOOKUP(A1,Data!$A$1:$DZU$1000000,2816,FALSE)</f>
        <v>#N/A</v>
      </c>
      <c r="K166" s="1" t="e">
        <f>VLOOKUP(A1,Data!$A$1:$DZU$1000000,2817,FALSE)</f>
        <v>#N/A</v>
      </c>
      <c r="L166" s="1" t="e">
        <f>VLOOKUP(A1,Data!$A$1:$DZU$1000000,2818,FALSE)</f>
        <v>#N/A</v>
      </c>
      <c r="M166" s="1" t="e">
        <f>VLOOKUP(A1,Data!$A$1:$DZU$1000000,2819,FALSE)</f>
        <v>#N/A</v>
      </c>
      <c r="N166" s="1" t="e">
        <f>VLOOKUP(A1,Data!$A$1:$DZU$1000000,2820,FALSE)</f>
        <v>#N/A</v>
      </c>
      <c r="O166" s="1" t="e">
        <f>VLOOKUP(A1,Data!$A$1:$DZU$1000000,2821,FALSE)</f>
        <v>#N/A</v>
      </c>
      <c r="P166" s="1" t="e">
        <f>VLOOKUP(A1,Data!$A$1:$DZU$1000000,2822,FALSE)</f>
        <v>#N/A</v>
      </c>
      <c r="Q166" s="1" t="e">
        <f>VLOOKUP(A1,Data!$A$1:$DZU$1000000,2823,FALSE)</f>
        <v>#N/A</v>
      </c>
    </row>
    <row r="167" spans="1:17" x14ac:dyDescent="0.35">
      <c r="A167" s="1" t="e">
        <f>VLOOKUP(A1,Data!$A$1:$DZU$1000000,2824,FALSE)</f>
        <v>#N/A</v>
      </c>
      <c r="B167" s="1" t="e">
        <f>VLOOKUP(A1,Data!$A$1:$DZU$1000000,2825,FALSE)</f>
        <v>#N/A</v>
      </c>
      <c r="C167" s="1" t="e">
        <f>VLOOKUP(A1,Data!$A$1:$DZU$1000000,2826,FALSE)</f>
        <v>#N/A</v>
      </c>
      <c r="D167" s="1" t="e">
        <f>VLOOKUP(A1,Data!$A$1:$DZU$1000000,2827,FALSE)</f>
        <v>#N/A</v>
      </c>
      <c r="E167" s="1" t="e">
        <f>VLOOKUP(A1,Data!$A$1:$DZU$1000000,2828,FALSE)</f>
        <v>#N/A</v>
      </c>
      <c r="F167" s="1" t="e">
        <f>VLOOKUP(A1,Data!$A$1:$DZU$1000000,2829,FALSE)</f>
        <v>#N/A</v>
      </c>
      <c r="G167" s="1" t="e">
        <f>VLOOKUP(A1,Data!$A$1:$DZU$1000000,2830,FALSE)</f>
        <v>#N/A</v>
      </c>
      <c r="H167" s="1" t="e">
        <f>VLOOKUP(A1,Data!$A$1:$DZU$1000000,2831,FALSE)</f>
        <v>#N/A</v>
      </c>
      <c r="I167" s="1" t="e">
        <f>VLOOKUP(A1,Data!$A$1:$DZU$1000000,2832,FALSE)</f>
        <v>#N/A</v>
      </c>
      <c r="J167" s="1" t="e">
        <f>VLOOKUP(A1,Data!$A$1:$DZU$1000000,2833,FALSE)</f>
        <v>#N/A</v>
      </c>
      <c r="K167" s="1" t="e">
        <f>VLOOKUP(A1,Data!$A$1:$DZU$1000000,2834,FALSE)</f>
        <v>#N/A</v>
      </c>
      <c r="L167" s="1" t="e">
        <f>VLOOKUP(A1,Data!$A$1:$DZU$1000000,2835,FALSE)</f>
        <v>#N/A</v>
      </c>
      <c r="M167" s="1" t="e">
        <f>VLOOKUP(A1,Data!$A$1:$DZU$1000000,2836,FALSE)</f>
        <v>#N/A</v>
      </c>
      <c r="N167" s="1" t="e">
        <f>VLOOKUP(A1,Data!$A$1:$DZU$1000000,2837,FALSE)</f>
        <v>#N/A</v>
      </c>
      <c r="O167" s="1" t="e">
        <f>VLOOKUP(A1,Data!$A$1:$DZU$1000000,2838,FALSE)</f>
        <v>#N/A</v>
      </c>
      <c r="P167" s="1" t="e">
        <f>VLOOKUP(A1,Data!$A$1:$DZU$1000000,2839,FALSE)</f>
        <v>#N/A</v>
      </c>
      <c r="Q167" s="1" t="e">
        <f>VLOOKUP(A1,Data!$A$1:$DZU$1000000,2840,FALSE)</f>
        <v>#N/A</v>
      </c>
    </row>
    <row r="168" spans="1:17" x14ac:dyDescent="0.35">
      <c r="A168" s="1" t="e">
        <f>VLOOKUP(A1,Data!$A$1:$DZU$1000000,2841,FALSE)</f>
        <v>#N/A</v>
      </c>
      <c r="B168" s="1" t="e">
        <f>VLOOKUP(A1,Data!$A$1:$DZU$1000000,2842,FALSE)</f>
        <v>#N/A</v>
      </c>
      <c r="C168" s="1" t="e">
        <f>VLOOKUP(A1,Data!$A$1:$DZU$1000000,2843,FALSE)</f>
        <v>#N/A</v>
      </c>
      <c r="D168" s="1" t="e">
        <f>VLOOKUP(A1,Data!$A$1:$DZU$1000000,2844,FALSE)</f>
        <v>#N/A</v>
      </c>
      <c r="E168" s="1" t="e">
        <f>VLOOKUP(A1,Data!$A$1:$DZU$1000000,2845,FALSE)</f>
        <v>#N/A</v>
      </c>
      <c r="F168" s="1" t="e">
        <f>VLOOKUP(A1,Data!$A$1:$DZU$1000000,2846,FALSE)</f>
        <v>#N/A</v>
      </c>
      <c r="G168" s="1" t="e">
        <f>VLOOKUP(A1,Data!$A$1:$DZU$1000000,2847,FALSE)</f>
        <v>#N/A</v>
      </c>
      <c r="H168" s="1" t="e">
        <f>VLOOKUP(A1,Data!$A$1:$DZU$1000000,2848,FALSE)</f>
        <v>#N/A</v>
      </c>
      <c r="I168" s="1" t="e">
        <f>VLOOKUP(A1,Data!$A$1:$DZU$1000000,2849,FALSE)</f>
        <v>#N/A</v>
      </c>
      <c r="J168" s="1" t="e">
        <f>VLOOKUP(A1,Data!$A$1:$DZU$1000000,2850,FALSE)</f>
        <v>#N/A</v>
      </c>
      <c r="K168" s="1" t="e">
        <f>VLOOKUP(A1,Data!$A$1:$DZU$1000000,2851,FALSE)</f>
        <v>#N/A</v>
      </c>
      <c r="L168" s="1" t="e">
        <f>VLOOKUP(A1,Data!$A$1:$DZU$1000000,2852,FALSE)</f>
        <v>#N/A</v>
      </c>
      <c r="M168" s="1" t="e">
        <f>VLOOKUP(A1,Data!$A$1:$DZU$1000000,2853,FALSE)</f>
        <v>#N/A</v>
      </c>
      <c r="N168" s="1" t="e">
        <f>VLOOKUP(A1,Data!$A$1:$DZU$1000000,2854,FALSE)</f>
        <v>#N/A</v>
      </c>
      <c r="O168" s="1" t="e">
        <f>VLOOKUP(A1,Data!$A$1:$DZU$1000000,2855,FALSE)</f>
        <v>#N/A</v>
      </c>
      <c r="P168" s="1" t="e">
        <f>VLOOKUP(A1,Data!$A$1:$DZU$1000000,2856,FALSE)</f>
        <v>#N/A</v>
      </c>
      <c r="Q168" s="1" t="e">
        <f>VLOOKUP(A1,Data!$A$1:$DZU$1000000,2857,FALSE)</f>
        <v>#N/A</v>
      </c>
    </row>
    <row r="169" spans="1:17" x14ac:dyDescent="0.35">
      <c r="A169" s="1" t="e">
        <f>VLOOKUP(A1,Data!$A$1:$DZU$1000000,2858,FALSE)</f>
        <v>#N/A</v>
      </c>
      <c r="B169" s="1" t="e">
        <f>VLOOKUP(A1,Data!$A$1:$DZU$1000000,2859,FALSE)</f>
        <v>#N/A</v>
      </c>
      <c r="C169" s="1" t="e">
        <f>VLOOKUP(A1,Data!$A$1:$DZU$1000000,2860,FALSE)</f>
        <v>#N/A</v>
      </c>
      <c r="D169" s="1" t="e">
        <f>VLOOKUP(A1,Data!$A$1:$DZU$1000000,2861,FALSE)</f>
        <v>#N/A</v>
      </c>
      <c r="E169" s="1" t="e">
        <f>VLOOKUP(A1,Data!$A$1:$DZU$1000000,2862,FALSE)</f>
        <v>#N/A</v>
      </c>
      <c r="F169" s="1" t="e">
        <f>VLOOKUP(A1,Data!$A$1:$DZU$1000000,2863,FALSE)</f>
        <v>#N/A</v>
      </c>
      <c r="G169" s="1" t="e">
        <f>VLOOKUP(A1,Data!$A$1:$DZU$1000000,2864,FALSE)</f>
        <v>#N/A</v>
      </c>
      <c r="H169" s="1" t="e">
        <f>VLOOKUP(A1,Data!$A$1:$DZU$1000000,2865,FALSE)</f>
        <v>#N/A</v>
      </c>
      <c r="I169" s="1" t="e">
        <f>VLOOKUP(A1,Data!$A$1:$DZU$1000000,2866,FALSE)</f>
        <v>#N/A</v>
      </c>
      <c r="J169" s="1" t="e">
        <f>VLOOKUP(A1,Data!$A$1:$DZU$1000000,2867,FALSE)</f>
        <v>#N/A</v>
      </c>
      <c r="K169" s="1" t="e">
        <f>VLOOKUP(A1,Data!$A$1:$DZU$1000000,2868,FALSE)</f>
        <v>#N/A</v>
      </c>
      <c r="L169" s="1" t="e">
        <f>VLOOKUP(A1,Data!$A$1:$DZU$1000000,2869,FALSE)</f>
        <v>#N/A</v>
      </c>
      <c r="M169" s="1" t="e">
        <f>VLOOKUP(A1,Data!$A$1:$DZU$1000000,2870,FALSE)</f>
        <v>#N/A</v>
      </c>
      <c r="N169" s="1" t="e">
        <f>VLOOKUP(A1,Data!$A$1:$DZU$1000000,2871,FALSE)</f>
        <v>#N/A</v>
      </c>
      <c r="O169" s="1" t="e">
        <f>VLOOKUP(A1,Data!$A$1:$DZU$1000000,2872,FALSE)</f>
        <v>#N/A</v>
      </c>
      <c r="P169" s="1" t="e">
        <f>VLOOKUP(A1,Data!$A$1:$DZU$1000000,2873,FALSE)</f>
        <v>#N/A</v>
      </c>
      <c r="Q169" s="1" t="e">
        <f>VLOOKUP(A1,Data!$A$1:$DZU$1000000,2874,FALSE)</f>
        <v>#N/A</v>
      </c>
    </row>
    <row r="170" spans="1:17" x14ac:dyDescent="0.35">
      <c r="A170" s="1" t="e">
        <f>VLOOKUP(A1,Data!$A$1:$DZU$1000000,2875,FALSE)</f>
        <v>#N/A</v>
      </c>
      <c r="B170" s="1" t="e">
        <f>VLOOKUP(A1,Data!$A$1:$DZU$1000000,2876,FALSE)</f>
        <v>#N/A</v>
      </c>
      <c r="C170" s="1" t="e">
        <f>VLOOKUP(A1,Data!$A$1:$DZU$1000000,2877,FALSE)</f>
        <v>#N/A</v>
      </c>
      <c r="D170" s="1" t="e">
        <f>VLOOKUP(A1,Data!$A$1:$DZU$1000000,2878,FALSE)</f>
        <v>#N/A</v>
      </c>
      <c r="E170" s="1" t="e">
        <f>VLOOKUP(A1,Data!$A$1:$DZU$1000000,2879,FALSE)</f>
        <v>#N/A</v>
      </c>
      <c r="F170" s="1" t="e">
        <f>VLOOKUP(A1,Data!$A$1:$DZU$1000000,2880,FALSE)</f>
        <v>#N/A</v>
      </c>
      <c r="G170" s="1" t="e">
        <f>VLOOKUP(A1,Data!$A$1:$DZU$1000000,2881,FALSE)</f>
        <v>#N/A</v>
      </c>
      <c r="H170" s="1" t="e">
        <f>VLOOKUP(A1,Data!$A$1:$DZU$1000000,2882,FALSE)</f>
        <v>#N/A</v>
      </c>
      <c r="I170" s="1" t="e">
        <f>VLOOKUP(A1,Data!$A$1:$DZU$1000000,2883,FALSE)</f>
        <v>#N/A</v>
      </c>
      <c r="J170" s="1" t="e">
        <f>VLOOKUP(A1,Data!$A$1:$DZU$1000000,2884,FALSE)</f>
        <v>#N/A</v>
      </c>
      <c r="K170" s="1" t="e">
        <f>VLOOKUP(A1,Data!$A$1:$DZU$1000000,2885,FALSE)</f>
        <v>#N/A</v>
      </c>
      <c r="L170" s="1" t="e">
        <f>VLOOKUP(A1,Data!$A$1:$DZU$1000000,2886,FALSE)</f>
        <v>#N/A</v>
      </c>
      <c r="M170" s="1" t="e">
        <f>VLOOKUP(A1,Data!$A$1:$DZU$1000000,2887,FALSE)</f>
        <v>#N/A</v>
      </c>
      <c r="N170" s="1" t="e">
        <f>VLOOKUP(A1,Data!$A$1:$DZU$1000000,2888,FALSE)</f>
        <v>#N/A</v>
      </c>
      <c r="O170" s="1" t="e">
        <f>VLOOKUP(A1,Data!$A$1:$DZU$1000000,2889,FALSE)</f>
        <v>#N/A</v>
      </c>
      <c r="P170" s="1" t="e">
        <f>VLOOKUP(A1,Data!$A$1:$DZU$1000000,2890,FALSE)</f>
        <v>#N/A</v>
      </c>
      <c r="Q170" s="1" t="e">
        <f>VLOOKUP(A1,Data!$A$1:$DZU$1000000,2891,FALSE)</f>
        <v>#N/A</v>
      </c>
    </row>
    <row r="171" spans="1:17" x14ac:dyDescent="0.35">
      <c r="A171" s="1" t="e">
        <f>VLOOKUP(A1,Data!$A$1:$DZU$1000000,2892,FALSE)</f>
        <v>#N/A</v>
      </c>
      <c r="B171" s="1" t="e">
        <f>VLOOKUP(A1,Data!$A$1:$DZU$1000000,2893,FALSE)</f>
        <v>#N/A</v>
      </c>
      <c r="C171" s="1" t="e">
        <f>VLOOKUP(A1,Data!$A$1:$DZU$1000000,2894,FALSE)</f>
        <v>#N/A</v>
      </c>
      <c r="D171" s="1" t="e">
        <f>VLOOKUP(A1,Data!$A$1:$DZU$1000000,2895,FALSE)</f>
        <v>#N/A</v>
      </c>
      <c r="E171" s="1" t="e">
        <f>VLOOKUP(A1,Data!$A$1:$DZU$1000000,2896,FALSE)</f>
        <v>#N/A</v>
      </c>
      <c r="F171" s="1" t="e">
        <f>VLOOKUP(A1,Data!$A$1:$DZU$1000000,2897,FALSE)</f>
        <v>#N/A</v>
      </c>
      <c r="G171" s="1" t="e">
        <f>VLOOKUP(A1,Data!$A$1:$DZU$1000000,2898,FALSE)</f>
        <v>#N/A</v>
      </c>
      <c r="H171" s="1" t="e">
        <f>VLOOKUP(A1,Data!$A$1:$DZU$1000000,2899,FALSE)</f>
        <v>#N/A</v>
      </c>
      <c r="I171" s="1" t="e">
        <f>VLOOKUP(A1,Data!$A$1:$DZU$1000000,2900,FALSE)</f>
        <v>#N/A</v>
      </c>
      <c r="J171" s="1" t="e">
        <f>VLOOKUP(A1,Data!$A$1:$DZU$1000000,2901,FALSE)</f>
        <v>#N/A</v>
      </c>
      <c r="K171" s="1" t="e">
        <f>VLOOKUP(A1,Data!$A$1:$DZU$1000000,2902,FALSE)</f>
        <v>#N/A</v>
      </c>
      <c r="L171" s="1" t="e">
        <f>VLOOKUP(A1,Data!$A$1:$DZU$1000000,2903,FALSE)</f>
        <v>#N/A</v>
      </c>
      <c r="M171" s="1" t="e">
        <f>VLOOKUP(A1,Data!$A$1:$DZU$1000000,2904,FALSE)</f>
        <v>#N/A</v>
      </c>
      <c r="N171" s="1" t="e">
        <f>VLOOKUP(A1,Data!$A$1:$DZU$1000000,2905,FALSE)</f>
        <v>#N/A</v>
      </c>
      <c r="O171" s="1" t="e">
        <f>VLOOKUP(A1,Data!$A$1:$DZU$1000000,2906,FALSE)</f>
        <v>#N/A</v>
      </c>
      <c r="P171" s="1" t="e">
        <f>VLOOKUP(A1,Data!$A$1:$DZU$1000000,2907,FALSE)</f>
        <v>#N/A</v>
      </c>
      <c r="Q171" s="1" t="e">
        <f>VLOOKUP(A1,Data!$A$1:$DZU$1000000,2908,FALSE)</f>
        <v>#N/A</v>
      </c>
    </row>
    <row r="172" spans="1:17" x14ac:dyDescent="0.35">
      <c r="A172" s="1" t="e">
        <f>VLOOKUP(A1,Data!$A$1:$DZU$1000000,2909,FALSE)</f>
        <v>#N/A</v>
      </c>
      <c r="B172" s="1" t="e">
        <f>VLOOKUP(A1,Data!$A$1:$DZU$1000000,2910,FALSE)</f>
        <v>#N/A</v>
      </c>
      <c r="C172" s="1" t="e">
        <f>VLOOKUP(A1,Data!$A$1:$DZU$1000000,2911,FALSE)</f>
        <v>#N/A</v>
      </c>
      <c r="D172" s="1" t="e">
        <f>VLOOKUP(A1,Data!$A$1:$DZU$1000000,2912,FALSE)</f>
        <v>#N/A</v>
      </c>
      <c r="E172" s="1" t="e">
        <f>VLOOKUP(A1,Data!$A$1:$DZU$1000000,2913,FALSE)</f>
        <v>#N/A</v>
      </c>
      <c r="F172" s="1" t="e">
        <f>VLOOKUP(A1,Data!$A$1:$DZU$1000000,2914,FALSE)</f>
        <v>#N/A</v>
      </c>
      <c r="G172" s="1" t="e">
        <f>VLOOKUP(A1,Data!$A$1:$DZU$1000000,2915,FALSE)</f>
        <v>#N/A</v>
      </c>
      <c r="H172" s="1" t="e">
        <f>VLOOKUP(A1,Data!$A$1:$DZU$1000000,2916,FALSE)</f>
        <v>#N/A</v>
      </c>
      <c r="I172" s="1" t="e">
        <f>VLOOKUP(A1,Data!$A$1:$DZU$1000000,2917,FALSE)</f>
        <v>#N/A</v>
      </c>
      <c r="J172" s="1" t="e">
        <f>VLOOKUP(A1,Data!$A$1:$DZU$1000000,2918,FALSE)</f>
        <v>#N/A</v>
      </c>
      <c r="K172" s="1" t="e">
        <f>VLOOKUP(A1,Data!$A$1:$DZU$1000000,2919,FALSE)</f>
        <v>#N/A</v>
      </c>
      <c r="L172" s="1" t="e">
        <f>VLOOKUP(A1,Data!$A$1:$DZU$1000000,2920,FALSE)</f>
        <v>#N/A</v>
      </c>
      <c r="M172" s="1" t="e">
        <f>VLOOKUP(A1,Data!$A$1:$DZU$1000000,2921,FALSE)</f>
        <v>#N/A</v>
      </c>
      <c r="N172" s="1" t="e">
        <f>VLOOKUP(A1,Data!$A$1:$DZU$1000000,2922,FALSE)</f>
        <v>#N/A</v>
      </c>
      <c r="O172" s="1" t="e">
        <f>VLOOKUP(A1,Data!$A$1:$DZU$1000000,2923,FALSE)</f>
        <v>#N/A</v>
      </c>
      <c r="P172" s="1" t="e">
        <f>VLOOKUP(A1,Data!$A$1:$DZU$1000000,2924,FALSE)</f>
        <v>#N/A</v>
      </c>
      <c r="Q172" s="1" t="e">
        <f>VLOOKUP(A1,Data!$A$1:$DZU$1000000,2925,FALSE)</f>
        <v>#N/A</v>
      </c>
    </row>
    <row r="173" spans="1:17" x14ac:dyDescent="0.35">
      <c r="A173" s="1" t="e">
        <f>VLOOKUP(A1,Data!$A$1:$DZU$1000000,2926,FALSE)</f>
        <v>#N/A</v>
      </c>
      <c r="B173" s="1" t="e">
        <f>VLOOKUP(A1,Data!$A$1:$DZU$1000000,2927,FALSE)</f>
        <v>#N/A</v>
      </c>
      <c r="C173" s="1" t="e">
        <f>VLOOKUP(A1,Data!$A$1:$DZU$1000000,2928,FALSE)</f>
        <v>#N/A</v>
      </c>
      <c r="D173" s="1" t="e">
        <f>VLOOKUP(A1,Data!$A$1:$DZU$1000000,2929,FALSE)</f>
        <v>#N/A</v>
      </c>
      <c r="E173" s="1" t="e">
        <f>VLOOKUP(A1,Data!$A$1:$DZU$1000000,2930,FALSE)</f>
        <v>#N/A</v>
      </c>
      <c r="F173" s="1" t="e">
        <f>VLOOKUP(A1,Data!$A$1:$DZU$1000000,2931,FALSE)</f>
        <v>#N/A</v>
      </c>
      <c r="G173" s="1" t="e">
        <f>VLOOKUP(A1,Data!$A$1:$DZU$1000000,2932,FALSE)</f>
        <v>#N/A</v>
      </c>
      <c r="H173" s="1" t="e">
        <f>VLOOKUP(A1,Data!$A$1:$DZU$1000000,2933,FALSE)</f>
        <v>#N/A</v>
      </c>
      <c r="I173" s="1" t="e">
        <f>VLOOKUP(A1,Data!$A$1:$DZU$1000000,2934,FALSE)</f>
        <v>#N/A</v>
      </c>
      <c r="J173" s="1" t="e">
        <f>VLOOKUP(A1,Data!$A$1:$DZU$1000000,2935,FALSE)</f>
        <v>#N/A</v>
      </c>
      <c r="K173" s="1" t="e">
        <f>VLOOKUP(A1,Data!$A$1:$DZU$1000000,2936,FALSE)</f>
        <v>#N/A</v>
      </c>
      <c r="L173" s="1" t="e">
        <f>VLOOKUP(A1,Data!$A$1:$DZU$1000000,2937,FALSE)</f>
        <v>#N/A</v>
      </c>
      <c r="M173" s="1" t="e">
        <f>VLOOKUP(A1,Data!$A$1:$DZU$1000000,2938,FALSE)</f>
        <v>#N/A</v>
      </c>
      <c r="N173" s="1" t="e">
        <f>VLOOKUP(A1,Data!$A$1:$DZU$1000000,2939,FALSE)</f>
        <v>#N/A</v>
      </c>
      <c r="O173" s="1" t="e">
        <f>VLOOKUP(A1,Data!$A$1:$DZU$1000000,2940,FALSE)</f>
        <v>#N/A</v>
      </c>
      <c r="P173" s="1" t="e">
        <f>VLOOKUP(A1,Data!$A$1:$DZU$1000000,2941,FALSE)</f>
        <v>#N/A</v>
      </c>
      <c r="Q173" s="1" t="e">
        <f>VLOOKUP(A1,Data!$A$1:$DZU$1000000,2942,FALSE)</f>
        <v>#N/A</v>
      </c>
    </row>
    <row r="174" spans="1:17" x14ac:dyDescent="0.35">
      <c r="A174" s="1" t="e">
        <f>VLOOKUP(A1,Data!$A$1:$DZU$1000000,2943,FALSE)</f>
        <v>#N/A</v>
      </c>
      <c r="B174" s="1" t="e">
        <f>VLOOKUP(A1,Data!$A$1:$DZU$1000000,2944,FALSE)</f>
        <v>#N/A</v>
      </c>
      <c r="C174" s="1" t="e">
        <f>VLOOKUP(A1,Data!$A$1:$DZU$1000000,2945,FALSE)</f>
        <v>#N/A</v>
      </c>
      <c r="D174" s="1" t="e">
        <f>VLOOKUP(A1,Data!$A$1:$DZU$1000000,2946,FALSE)</f>
        <v>#N/A</v>
      </c>
      <c r="E174" s="1" t="e">
        <f>VLOOKUP(A1,Data!$A$1:$DZU$1000000,2947,FALSE)</f>
        <v>#N/A</v>
      </c>
      <c r="F174" s="1" t="e">
        <f>VLOOKUP(A1,Data!$A$1:$DZU$1000000,2948,FALSE)</f>
        <v>#N/A</v>
      </c>
      <c r="G174" s="1" t="e">
        <f>VLOOKUP(A1,Data!$A$1:$DZU$1000000,2949,FALSE)</f>
        <v>#N/A</v>
      </c>
      <c r="H174" s="1" t="e">
        <f>VLOOKUP(A1,Data!$A$1:$DZU$1000000,2950,FALSE)</f>
        <v>#N/A</v>
      </c>
      <c r="I174" s="1" t="e">
        <f>VLOOKUP(A1,Data!$A$1:$DZU$1000000,2951,FALSE)</f>
        <v>#N/A</v>
      </c>
      <c r="J174" s="1" t="e">
        <f>VLOOKUP(A1,Data!$A$1:$DZU$1000000,2952,FALSE)</f>
        <v>#N/A</v>
      </c>
      <c r="K174" s="1" t="e">
        <f>VLOOKUP(A1,Data!$A$1:$DZU$1000000,2953,FALSE)</f>
        <v>#N/A</v>
      </c>
      <c r="L174" s="1" t="e">
        <f>VLOOKUP(A1,Data!$A$1:$DZU$1000000,2954,FALSE)</f>
        <v>#N/A</v>
      </c>
      <c r="M174" s="1" t="e">
        <f>VLOOKUP(A1,Data!$A$1:$DZU$1000000,2955,FALSE)</f>
        <v>#N/A</v>
      </c>
      <c r="N174" s="1" t="e">
        <f>VLOOKUP(A1,Data!$A$1:$DZU$1000000,2956,FALSE)</f>
        <v>#N/A</v>
      </c>
      <c r="O174" s="1" t="e">
        <f>VLOOKUP(A1,Data!$A$1:$DZU$1000000,2957,FALSE)</f>
        <v>#N/A</v>
      </c>
      <c r="P174" s="1" t="e">
        <f>VLOOKUP(A1,Data!$A$1:$DZU$1000000,2958,FALSE)</f>
        <v>#N/A</v>
      </c>
      <c r="Q174" s="1" t="e">
        <f>VLOOKUP(A1,Data!$A$1:$DZU$1000000,2959,FALSE)</f>
        <v>#N/A</v>
      </c>
    </row>
    <row r="175" spans="1:17" x14ac:dyDescent="0.35">
      <c r="A175" s="1" t="e">
        <f>VLOOKUP(A1,Data!$A$1:$DZU$1000000,2960,FALSE)</f>
        <v>#N/A</v>
      </c>
      <c r="B175" s="1" t="e">
        <f>VLOOKUP(A1,Data!$A$1:$DZU$1000000,2961,FALSE)</f>
        <v>#N/A</v>
      </c>
      <c r="C175" s="1" t="e">
        <f>VLOOKUP(A1,Data!$A$1:$DZU$1000000,2962,FALSE)</f>
        <v>#N/A</v>
      </c>
      <c r="D175" s="1" t="e">
        <f>VLOOKUP(A1,Data!$A$1:$DZU$1000000,2963,FALSE)</f>
        <v>#N/A</v>
      </c>
      <c r="E175" s="1" t="e">
        <f>VLOOKUP(A1,Data!$A$1:$DZU$1000000,2964,FALSE)</f>
        <v>#N/A</v>
      </c>
      <c r="F175" s="1" t="e">
        <f>VLOOKUP(A1,Data!$A$1:$DZU$1000000,2965,FALSE)</f>
        <v>#N/A</v>
      </c>
      <c r="G175" s="1" t="e">
        <f>VLOOKUP(A1,Data!$A$1:$DZU$1000000,2966,FALSE)</f>
        <v>#N/A</v>
      </c>
      <c r="H175" s="1" t="e">
        <f>VLOOKUP(A1,Data!$A$1:$DZU$1000000,2967,FALSE)</f>
        <v>#N/A</v>
      </c>
      <c r="I175" s="1" t="e">
        <f>VLOOKUP(A1,Data!$A$1:$DZU$1000000,2968,FALSE)</f>
        <v>#N/A</v>
      </c>
      <c r="J175" s="1" t="e">
        <f>VLOOKUP(A1,Data!$A$1:$DZU$1000000,2969,FALSE)</f>
        <v>#N/A</v>
      </c>
      <c r="K175" s="1" t="e">
        <f>VLOOKUP(A1,Data!$A$1:$DZU$1000000,2970,FALSE)</f>
        <v>#N/A</v>
      </c>
      <c r="L175" s="1" t="e">
        <f>VLOOKUP(A1,Data!$A$1:$DZU$1000000,2971,FALSE)</f>
        <v>#N/A</v>
      </c>
      <c r="M175" s="1" t="e">
        <f>VLOOKUP(A1,Data!$A$1:$DZU$1000000,2972,FALSE)</f>
        <v>#N/A</v>
      </c>
      <c r="N175" s="1" t="e">
        <f>VLOOKUP(A1,Data!$A$1:$DZU$1000000,2973,FALSE)</f>
        <v>#N/A</v>
      </c>
      <c r="O175" s="1" t="e">
        <f>VLOOKUP(A1,Data!$A$1:$DZU$1000000,2974,FALSE)</f>
        <v>#N/A</v>
      </c>
      <c r="P175" s="1" t="e">
        <f>VLOOKUP(A1,Data!$A$1:$DZU$1000000,2975,FALSE)</f>
        <v>#N/A</v>
      </c>
      <c r="Q175" s="1" t="e">
        <f>VLOOKUP(A1,Data!$A$1:$DZU$1000000,2976,FALSE)</f>
        <v>#N/A</v>
      </c>
    </row>
    <row r="176" spans="1:17" x14ac:dyDescent="0.35">
      <c r="A176" s="1" t="e">
        <f>VLOOKUP(A1,Data!$A$1:$DZU$1000000,2977,FALSE)</f>
        <v>#N/A</v>
      </c>
      <c r="B176" s="1" t="e">
        <f>VLOOKUP(A1,Data!$A$1:$DZU$1000000,2978,FALSE)</f>
        <v>#N/A</v>
      </c>
      <c r="C176" s="1" t="e">
        <f>VLOOKUP(A1,Data!$A$1:$DZU$1000000,2979,FALSE)</f>
        <v>#N/A</v>
      </c>
      <c r="D176" s="1" t="e">
        <f>VLOOKUP(A1,Data!$A$1:$DZU$1000000,2980,FALSE)</f>
        <v>#N/A</v>
      </c>
      <c r="E176" s="1" t="e">
        <f>VLOOKUP(A1,Data!$A$1:$DZU$1000000,2981,FALSE)</f>
        <v>#N/A</v>
      </c>
      <c r="F176" s="1" t="e">
        <f>VLOOKUP(A1,Data!$A$1:$DZU$1000000,2982,FALSE)</f>
        <v>#N/A</v>
      </c>
      <c r="G176" s="1" t="e">
        <f>VLOOKUP(A1,Data!$A$1:$DZU$1000000,2983,FALSE)</f>
        <v>#N/A</v>
      </c>
      <c r="H176" s="1" t="e">
        <f>VLOOKUP(A1,Data!$A$1:$DZU$1000000,2984,FALSE)</f>
        <v>#N/A</v>
      </c>
      <c r="I176" s="1" t="e">
        <f>VLOOKUP(A1,Data!$A$1:$DZU$1000000,2985,FALSE)</f>
        <v>#N/A</v>
      </c>
      <c r="J176" s="1" t="e">
        <f>VLOOKUP(A1,Data!$A$1:$DZU$1000000,2986,FALSE)</f>
        <v>#N/A</v>
      </c>
      <c r="K176" s="1" t="e">
        <f>VLOOKUP(A1,Data!$A$1:$DZU$1000000,2987,FALSE)</f>
        <v>#N/A</v>
      </c>
      <c r="L176" s="1" t="e">
        <f>VLOOKUP(A1,Data!$A$1:$DZU$1000000,2988,FALSE)</f>
        <v>#N/A</v>
      </c>
      <c r="M176" s="1" t="e">
        <f>VLOOKUP(A1,Data!$A$1:$DZU$1000000,2989,FALSE)</f>
        <v>#N/A</v>
      </c>
      <c r="N176" s="1" t="e">
        <f>VLOOKUP(A1,Data!$A$1:$DZU$1000000,2990,FALSE)</f>
        <v>#N/A</v>
      </c>
      <c r="O176" s="1" t="e">
        <f>VLOOKUP(A1,Data!$A$1:$DZU$1000000,2991,FALSE)</f>
        <v>#N/A</v>
      </c>
      <c r="P176" s="1" t="e">
        <f>VLOOKUP(A1,Data!$A$1:$DZU$1000000,2992,FALSE)</f>
        <v>#N/A</v>
      </c>
      <c r="Q176" s="1" t="e">
        <f>VLOOKUP(A1,Data!$A$1:$DZU$1000000,2993,FALSE)</f>
        <v>#N/A</v>
      </c>
    </row>
    <row r="177" spans="1:17" x14ac:dyDescent="0.35">
      <c r="A177" s="1" t="e">
        <f>VLOOKUP(A1,Data!$A$1:$DZU$1000000,2994,FALSE)</f>
        <v>#N/A</v>
      </c>
      <c r="B177" s="1" t="e">
        <f>VLOOKUP(A1,Data!$A$1:$DZU$1000000,2995,FALSE)</f>
        <v>#N/A</v>
      </c>
      <c r="C177" s="1" t="e">
        <f>VLOOKUP(A1,Data!$A$1:$DZU$1000000,2996,FALSE)</f>
        <v>#N/A</v>
      </c>
      <c r="D177" s="1" t="e">
        <f>VLOOKUP(A1,Data!$A$1:$DZU$1000000,2997,FALSE)</f>
        <v>#N/A</v>
      </c>
      <c r="E177" s="1" t="e">
        <f>VLOOKUP(A1,Data!$A$1:$DZU$1000000,2998,FALSE)</f>
        <v>#N/A</v>
      </c>
      <c r="F177" s="1" t="e">
        <f>VLOOKUP(A1,Data!$A$1:$DZU$1000000,2999,FALSE)</f>
        <v>#N/A</v>
      </c>
      <c r="G177" s="1" t="e">
        <f>VLOOKUP(A1,Data!$A$1:$DZU$1000000,3000,FALSE)</f>
        <v>#N/A</v>
      </c>
      <c r="H177" s="1" t="e">
        <f>VLOOKUP(A1,Data!$A$1:$DZU$1000000,3001,FALSE)</f>
        <v>#N/A</v>
      </c>
      <c r="I177" s="1" t="e">
        <f>VLOOKUP(A1,Data!$A$1:$DZU$1000000,3002,FALSE)</f>
        <v>#N/A</v>
      </c>
      <c r="J177" s="1" t="e">
        <f>VLOOKUP(A1,Data!$A$1:$DZU$1000000,3003,FALSE)</f>
        <v>#N/A</v>
      </c>
      <c r="K177" s="1" t="e">
        <f>VLOOKUP(A1,Data!$A$1:$DZU$1000000,3004,FALSE)</f>
        <v>#N/A</v>
      </c>
      <c r="L177" s="1" t="e">
        <f>VLOOKUP(A1,Data!$A$1:$DZU$1000000,3005,FALSE)</f>
        <v>#N/A</v>
      </c>
      <c r="M177" s="1" t="e">
        <f>VLOOKUP(A1,Data!$A$1:$DZU$1000000,3006,FALSE)</f>
        <v>#N/A</v>
      </c>
      <c r="N177" s="1" t="e">
        <f>VLOOKUP(A1,Data!$A$1:$DZU$1000000,3007,FALSE)</f>
        <v>#N/A</v>
      </c>
      <c r="O177" s="1" t="e">
        <f>VLOOKUP(A1,Data!$A$1:$DZU$1000000,3008,FALSE)</f>
        <v>#N/A</v>
      </c>
      <c r="P177" s="1" t="e">
        <f>VLOOKUP(A1,Data!$A$1:$DZU$1000000,3009,FALSE)</f>
        <v>#N/A</v>
      </c>
      <c r="Q177" s="1" t="e">
        <f>VLOOKUP(A1,Data!$A$1:$DZU$1000000,3010,FALSE)</f>
        <v>#N/A</v>
      </c>
    </row>
    <row r="178" spans="1:17" x14ac:dyDescent="0.35">
      <c r="A178" s="1" t="e">
        <f>VLOOKUP(A1,Data!$A$1:$DZU$1000000,3011,FALSE)</f>
        <v>#N/A</v>
      </c>
      <c r="B178" s="1" t="e">
        <f>VLOOKUP(A1,Data!$A$1:$DZU$1000000,3012,FALSE)</f>
        <v>#N/A</v>
      </c>
      <c r="C178" s="1" t="e">
        <f>VLOOKUP(A1,Data!$A$1:$DZU$1000000,3013,FALSE)</f>
        <v>#N/A</v>
      </c>
      <c r="D178" s="1" t="e">
        <f>VLOOKUP(A1,Data!$A$1:$DZU$1000000,3014,FALSE)</f>
        <v>#N/A</v>
      </c>
      <c r="E178" s="1" t="e">
        <f>VLOOKUP(A1,Data!$A$1:$DZU$1000000,3015,FALSE)</f>
        <v>#N/A</v>
      </c>
      <c r="F178" s="1" t="e">
        <f>VLOOKUP(A1,Data!$A$1:$DZU$1000000,3016,FALSE)</f>
        <v>#N/A</v>
      </c>
      <c r="G178" s="1" t="e">
        <f>VLOOKUP(A1,Data!$A$1:$DZU$1000000,3017,FALSE)</f>
        <v>#N/A</v>
      </c>
      <c r="H178" s="1" t="e">
        <f>VLOOKUP(A1,Data!$A$1:$DZU$1000000,3018,FALSE)</f>
        <v>#N/A</v>
      </c>
      <c r="I178" s="1" t="e">
        <f>VLOOKUP(A1,Data!$A$1:$DZU$1000000,3019,FALSE)</f>
        <v>#N/A</v>
      </c>
      <c r="J178" s="1" t="e">
        <f>VLOOKUP(A1,Data!$A$1:$DZU$1000000,3020,FALSE)</f>
        <v>#N/A</v>
      </c>
      <c r="K178" s="1" t="e">
        <f>VLOOKUP(A1,Data!$A$1:$DZU$1000000,3021,FALSE)</f>
        <v>#N/A</v>
      </c>
      <c r="L178" s="1" t="e">
        <f>VLOOKUP(A1,Data!$A$1:$DZU$1000000,3022,FALSE)</f>
        <v>#N/A</v>
      </c>
      <c r="M178" s="1" t="e">
        <f>VLOOKUP(A1,Data!$A$1:$DZU$1000000,3023,FALSE)</f>
        <v>#N/A</v>
      </c>
      <c r="N178" s="1" t="e">
        <f>VLOOKUP(A1,Data!$A$1:$DZU$1000000,3024,FALSE)</f>
        <v>#N/A</v>
      </c>
      <c r="O178" s="1" t="e">
        <f>VLOOKUP(A1,Data!$A$1:$DZU$1000000,3025,FALSE)</f>
        <v>#N/A</v>
      </c>
      <c r="P178" s="1" t="e">
        <f>VLOOKUP(A1,Data!$A$1:$DZU$1000000,3026,FALSE)</f>
        <v>#N/A</v>
      </c>
      <c r="Q178" s="1" t="e">
        <f>VLOOKUP(A1,Data!$A$1:$DZU$1000000,3027,FALSE)</f>
        <v>#N/A</v>
      </c>
    </row>
    <row r="179" spans="1:17" x14ac:dyDescent="0.35">
      <c r="A179" s="1" t="e">
        <f>VLOOKUP(A1,Data!$A$1:$DZU$1000000,3028,FALSE)</f>
        <v>#N/A</v>
      </c>
      <c r="B179" s="1" t="e">
        <f>VLOOKUP(A1,Data!$A$1:$DZU$1000000,3029,FALSE)</f>
        <v>#N/A</v>
      </c>
      <c r="C179" s="1" t="e">
        <f>VLOOKUP(A1,Data!$A$1:$DZU$1000000,3030,FALSE)</f>
        <v>#N/A</v>
      </c>
      <c r="D179" s="1" t="e">
        <f>VLOOKUP(A1,Data!$A$1:$DZU$1000000,3031,FALSE)</f>
        <v>#N/A</v>
      </c>
      <c r="E179" s="1" t="e">
        <f>VLOOKUP(A1,Data!$A$1:$DZU$1000000,3032,FALSE)</f>
        <v>#N/A</v>
      </c>
      <c r="F179" s="1" t="e">
        <f>VLOOKUP(A1,Data!$A$1:$DZU$1000000,3033,FALSE)</f>
        <v>#N/A</v>
      </c>
      <c r="G179" s="1" t="e">
        <f>VLOOKUP(A1,Data!$A$1:$DZU$1000000,3034,FALSE)</f>
        <v>#N/A</v>
      </c>
      <c r="H179" s="1" t="e">
        <f>VLOOKUP(A1,Data!$A$1:$DZU$1000000,3035,FALSE)</f>
        <v>#N/A</v>
      </c>
      <c r="I179" s="1" t="e">
        <f>VLOOKUP(A1,Data!$A$1:$DZU$1000000,3036,FALSE)</f>
        <v>#N/A</v>
      </c>
      <c r="J179" s="1" t="e">
        <f>VLOOKUP(A1,Data!$A$1:$DZU$1000000,3037,FALSE)</f>
        <v>#N/A</v>
      </c>
      <c r="K179" s="1" t="e">
        <f>VLOOKUP(A1,Data!$A$1:$DZU$1000000,3038,FALSE)</f>
        <v>#N/A</v>
      </c>
      <c r="L179" s="1" t="e">
        <f>VLOOKUP(A1,Data!$A$1:$DZU$1000000,3039,FALSE)</f>
        <v>#N/A</v>
      </c>
      <c r="M179" s="1" t="e">
        <f>VLOOKUP(A1,Data!$A$1:$DZU$1000000,3040,FALSE)</f>
        <v>#N/A</v>
      </c>
      <c r="N179" s="1" t="e">
        <f>VLOOKUP(A1,Data!$A$1:$DZU$1000000,3041,FALSE)</f>
        <v>#N/A</v>
      </c>
      <c r="O179" s="1" t="e">
        <f>VLOOKUP(A1,Data!$A$1:$DZU$1000000,3042,FALSE)</f>
        <v>#N/A</v>
      </c>
      <c r="P179" s="1" t="e">
        <f>VLOOKUP(A1,Data!$A$1:$DZU$1000000,3043,FALSE)</f>
        <v>#N/A</v>
      </c>
      <c r="Q179" s="1" t="e">
        <f>VLOOKUP(A1,Data!$A$1:$DZU$1000000,3044,FALSE)</f>
        <v>#N/A</v>
      </c>
    </row>
    <row r="180" spans="1:17" x14ac:dyDescent="0.35">
      <c r="A180" s="1" t="e">
        <f>VLOOKUP(A1,Data!$A$1:$DZU$1000000,3045,FALSE)</f>
        <v>#N/A</v>
      </c>
      <c r="B180" s="1" t="e">
        <f>VLOOKUP(A1,Data!$A$1:$DZU$1000000,3046,FALSE)</f>
        <v>#N/A</v>
      </c>
      <c r="C180" s="1" t="e">
        <f>VLOOKUP(A1,Data!$A$1:$DZU$1000000,3047,FALSE)</f>
        <v>#N/A</v>
      </c>
      <c r="D180" s="1" t="e">
        <f>VLOOKUP(A1,Data!$A$1:$DZU$1000000,3048,FALSE)</f>
        <v>#N/A</v>
      </c>
      <c r="E180" s="1" t="e">
        <f>VLOOKUP(A1,Data!$A$1:$DZU$1000000,3049,FALSE)</f>
        <v>#N/A</v>
      </c>
      <c r="F180" s="1" t="e">
        <f>VLOOKUP(A1,Data!$A$1:$DZU$1000000,3050,FALSE)</f>
        <v>#N/A</v>
      </c>
      <c r="G180" s="1" t="e">
        <f>VLOOKUP(A1,Data!$A$1:$DZU$1000000,3051,FALSE)</f>
        <v>#N/A</v>
      </c>
      <c r="H180" s="1" t="e">
        <f>VLOOKUP(A1,Data!$A$1:$DZU$1000000,3052,FALSE)</f>
        <v>#N/A</v>
      </c>
      <c r="I180" s="1" t="e">
        <f>VLOOKUP(A1,Data!$A$1:$DZU$1000000,3053,FALSE)</f>
        <v>#N/A</v>
      </c>
      <c r="J180" s="1" t="e">
        <f>VLOOKUP(A1,Data!$A$1:$DZU$1000000,3054,FALSE)</f>
        <v>#N/A</v>
      </c>
      <c r="K180" s="1" t="e">
        <f>VLOOKUP(A1,Data!$A$1:$DZU$1000000,3055,FALSE)</f>
        <v>#N/A</v>
      </c>
      <c r="L180" s="1" t="e">
        <f>VLOOKUP(A1,Data!$A$1:$DZU$1000000,3056,FALSE)</f>
        <v>#N/A</v>
      </c>
      <c r="M180" s="1" t="e">
        <f>VLOOKUP(A1,Data!$A$1:$DZU$1000000,3057,FALSE)</f>
        <v>#N/A</v>
      </c>
      <c r="N180" s="1" t="e">
        <f>VLOOKUP(A1,Data!$A$1:$DZU$1000000,3058,FALSE)</f>
        <v>#N/A</v>
      </c>
      <c r="O180" s="1" t="e">
        <f>VLOOKUP(A1,Data!$A$1:$DZU$1000000,3059,FALSE)</f>
        <v>#N/A</v>
      </c>
      <c r="P180" s="1" t="e">
        <f>VLOOKUP(A1,Data!$A$1:$DZU$1000000,3060,FALSE)</f>
        <v>#N/A</v>
      </c>
      <c r="Q180" s="1" t="e">
        <f>VLOOKUP(A1,Data!$A$1:$DZU$1000000,3061,FALSE)</f>
        <v>#N/A</v>
      </c>
    </row>
    <row r="181" spans="1:17" x14ac:dyDescent="0.35">
      <c r="A181" s="1" t="e">
        <f>VLOOKUP(A1,Data!$A$1:$DZU$1000000,3062,FALSE)</f>
        <v>#N/A</v>
      </c>
      <c r="B181" s="1" t="e">
        <f>VLOOKUP(A1,Data!$A$1:$DZU$1000000,3063,FALSE)</f>
        <v>#N/A</v>
      </c>
      <c r="C181" s="1" t="e">
        <f>VLOOKUP(A1,Data!$A$1:$DZU$1000000,3064,FALSE)</f>
        <v>#N/A</v>
      </c>
      <c r="D181" s="1" t="e">
        <f>VLOOKUP(A1,Data!$A$1:$DZU$1000000,3065,FALSE)</f>
        <v>#N/A</v>
      </c>
      <c r="E181" s="1" t="e">
        <f>VLOOKUP(A1,Data!$A$1:$DZU$1000000,3066,FALSE)</f>
        <v>#N/A</v>
      </c>
      <c r="F181" s="1" t="e">
        <f>VLOOKUP(A1,Data!$A$1:$DZU$1000000,3067,FALSE)</f>
        <v>#N/A</v>
      </c>
      <c r="G181" s="1" t="e">
        <f>VLOOKUP(A1,Data!$A$1:$DZU$1000000,3068,FALSE)</f>
        <v>#N/A</v>
      </c>
      <c r="H181" s="1" t="e">
        <f>VLOOKUP(A1,Data!$A$1:$DZU$1000000,3069,FALSE)</f>
        <v>#N/A</v>
      </c>
      <c r="I181" s="1" t="e">
        <f>VLOOKUP(A1,Data!$A$1:$DZU$1000000,3070,FALSE)</f>
        <v>#N/A</v>
      </c>
      <c r="J181" s="1" t="e">
        <f>VLOOKUP(A1,Data!$A$1:$DZU$1000000,3071,FALSE)</f>
        <v>#N/A</v>
      </c>
      <c r="K181" s="1" t="e">
        <f>VLOOKUP(A1,Data!$A$1:$DZU$1000000,3072,FALSE)</f>
        <v>#N/A</v>
      </c>
      <c r="L181" s="1" t="e">
        <f>VLOOKUP(A1,Data!$A$1:$DZU$1000000,3073,FALSE)</f>
        <v>#N/A</v>
      </c>
      <c r="M181" s="1" t="e">
        <f>VLOOKUP(A1,Data!$A$1:$DZU$1000000,3074,FALSE)</f>
        <v>#N/A</v>
      </c>
      <c r="N181" s="1" t="e">
        <f>VLOOKUP(A1,Data!$A$1:$DZU$1000000,3075,FALSE)</f>
        <v>#N/A</v>
      </c>
      <c r="O181" s="1" t="e">
        <f>VLOOKUP(A1,Data!$A$1:$DZU$1000000,3076,FALSE)</f>
        <v>#N/A</v>
      </c>
      <c r="P181" s="1" t="e">
        <f>VLOOKUP(A1,Data!$A$1:$DZU$1000000,3077,FALSE)</f>
        <v>#N/A</v>
      </c>
      <c r="Q181" s="1" t="e">
        <f>VLOOKUP(A1,Data!$A$1:$DZU$1000000,3078,FALSE)</f>
        <v>#N/A</v>
      </c>
    </row>
    <row r="182" spans="1:17" x14ac:dyDescent="0.35">
      <c r="A182" s="1" t="e">
        <f>VLOOKUP(A1,Data!$A$1:$DZU$1000000,3079,FALSE)</f>
        <v>#N/A</v>
      </c>
      <c r="B182" s="1" t="e">
        <f>VLOOKUP(A1,Data!$A$1:$DZU$1000000,3080,FALSE)</f>
        <v>#N/A</v>
      </c>
      <c r="C182" s="1" t="e">
        <f>VLOOKUP(A1,Data!$A$1:$DZU$1000000,3081,FALSE)</f>
        <v>#N/A</v>
      </c>
      <c r="D182" s="1" t="e">
        <f>VLOOKUP(A1,Data!$A$1:$DZU$1000000,3082,FALSE)</f>
        <v>#N/A</v>
      </c>
      <c r="E182" s="1" t="e">
        <f>VLOOKUP(A1,Data!$A$1:$DZU$1000000,3083,FALSE)</f>
        <v>#N/A</v>
      </c>
      <c r="F182" s="1" t="e">
        <f>VLOOKUP(A1,Data!$A$1:$DZU$1000000,3084,FALSE)</f>
        <v>#N/A</v>
      </c>
      <c r="G182" s="1" t="e">
        <f>VLOOKUP(A1,Data!$A$1:$DZU$1000000,3085,FALSE)</f>
        <v>#N/A</v>
      </c>
      <c r="H182" s="1" t="e">
        <f>VLOOKUP(A1,Data!$A$1:$DZU$1000000,3086,FALSE)</f>
        <v>#N/A</v>
      </c>
      <c r="I182" s="1" t="e">
        <f>VLOOKUP(A1,Data!$A$1:$DZU$1000000,3087,FALSE)</f>
        <v>#N/A</v>
      </c>
      <c r="J182" s="1" t="e">
        <f>VLOOKUP(A1,Data!$A$1:$DZU$1000000,3088,FALSE)</f>
        <v>#N/A</v>
      </c>
      <c r="K182" s="1" t="e">
        <f>VLOOKUP(A1,Data!$A$1:$DZU$1000000,3089,FALSE)</f>
        <v>#N/A</v>
      </c>
      <c r="L182" s="1" t="e">
        <f>VLOOKUP(A1,Data!$A$1:$DZU$1000000,3090,FALSE)</f>
        <v>#N/A</v>
      </c>
      <c r="M182" s="1" t="e">
        <f>VLOOKUP(A1,Data!$A$1:$DZU$1000000,3091,FALSE)</f>
        <v>#N/A</v>
      </c>
      <c r="N182" s="1" t="e">
        <f>VLOOKUP(A1,Data!$A$1:$DZU$1000000,3092,FALSE)</f>
        <v>#N/A</v>
      </c>
      <c r="O182" s="1" t="e">
        <f>VLOOKUP(A1,Data!$A$1:$DZU$1000000,3093,FALSE)</f>
        <v>#N/A</v>
      </c>
      <c r="P182" s="1" t="e">
        <f>VLOOKUP(A1,Data!$A$1:$DZU$1000000,3094,FALSE)</f>
        <v>#N/A</v>
      </c>
      <c r="Q182" s="1" t="e">
        <f>VLOOKUP(A1,Data!$A$1:$DZU$1000000,3095,FALSE)</f>
        <v>#N/A</v>
      </c>
    </row>
    <row r="183" spans="1:17" x14ac:dyDescent="0.35">
      <c r="A183" s="1" t="e">
        <f>VLOOKUP(A1,Data!$A$1:$DZU$1000000,3096,FALSE)</f>
        <v>#N/A</v>
      </c>
      <c r="B183" s="1" t="e">
        <f>VLOOKUP(A1,Data!$A$1:$DZU$1000000,3097,FALSE)</f>
        <v>#N/A</v>
      </c>
      <c r="C183" s="1" t="e">
        <f>VLOOKUP(A1,Data!$A$1:$DZU$1000000,3098,FALSE)</f>
        <v>#N/A</v>
      </c>
      <c r="D183" s="1" t="e">
        <f>VLOOKUP(A1,Data!$A$1:$DZU$1000000,3099,FALSE)</f>
        <v>#N/A</v>
      </c>
      <c r="E183" s="1" t="e">
        <f>VLOOKUP(A1,Data!$A$1:$DZU$1000000,3100,FALSE)</f>
        <v>#N/A</v>
      </c>
      <c r="F183" s="1" t="e">
        <f>VLOOKUP(A1,Data!$A$1:$DZU$1000000,3101,FALSE)</f>
        <v>#N/A</v>
      </c>
      <c r="G183" s="1" t="e">
        <f>VLOOKUP(A1,Data!$A$1:$DZU$1000000,3102,FALSE)</f>
        <v>#N/A</v>
      </c>
      <c r="H183" s="1" t="e">
        <f>VLOOKUP(A1,Data!$A$1:$DZU$1000000,3103,FALSE)</f>
        <v>#N/A</v>
      </c>
      <c r="I183" s="1" t="e">
        <f>VLOOKUP(A1,Data!$A$1:$DZU$1000000,3104,FALSE)</f>
        <v>#N/A</v>
      </c>
      <c r="J183" s="1" t="e">
        <f>VLOOKUP(A1,Data!$A$1:$DZU$1000000,3105,FALSE)</f>
        <v>#N/A</v>
      </c>
      <c r="K183" s="1" t="e">
        <f>VLOOKUP(A1,Data!$A$1:$DZU$1000000,3106,FALSE)</f>
        <v>#N/A</v>
      </c>
      <c r="L183" s="1" t="e">
        <f>VLOOKUP(A1,Data!$A$1:$DZU$1000000,3107,FALSE)</f>
        <v>#N/A</v>
      </c>
      <c r="M183" s="1" t="e">
        <f>VLOOKUP(A1,Data!$A$1:$DZU$1000000,3108,FALSE)</f>
        <v>#N/A</v>
      </c>
      <c r="N183" s="1" t="e">
        <f>VLOOKUP(A1,Data!$A$1:$DZU$1000000,3109,FALSE)</f>
        <v>#N/A</v>
      </c>
      <c r="O183" s="1" t="e">
        <f>VLOOKUP(A1,Data!$A$1:$DZU$1000000,3110,FALSE)</f>
        <v>#N/A</v>
      </c>
      <c r="P183" s="1" t="e">
        <f>VLOOKUP(A1,Data!$A$1:$DZU$1000000,3111,FALSE)</f>
        <v>#N/A</v>
      </c>
      <c r="Q183" s="1" t="e">
        <f>VLOOKUP(A1,Data!$A$1:$DZU$1000000,3112,FALSE)</f>
        <v>#N/A</v>
      </c>
    </row>
    <row r="184" spans="1:17" x14ac:dyDescent="0.35">
      <c r="A184" s="1" t="e">
        <f>VLOOKUP(A1,Data!$A$1:$DZU$1000000,3113,FALSE)</f>
        <v>#N/A</v>
      </c>
      <c r="B184" s="1" t="e">
        <f>VLOOKUP(A1,Data!$A$1:$DZU$1000000,3114,FALSE)</f>
        <v>#N/A</v>
      </c>
      <c r="C184" s="1" t="e">
        <f>VLOOKUP(A1,Data!$A$1:$DZU$1000000,3115,FALSE)</f>
        <v>#N/A</v>
      </c>
      <c r="D184" s="1" t="e">
        <f>VLOOKUP(A1,Data!$A$1:$DZU$1000000,3116,FALSE)</f>
        <v>#N/A</v>
      </c>
      <c r="E184" s="1" t="e">
        <f>VLOOKUP(A1,Data!$A$1:$DZU$1000000,3117,FALSE)</f>
        <v>#N/A</v>
      </c>
      <c r="F184" s="1" t="e">
        <f>VLOOKUP(A1,Data!$A$1:$DZU$1000000,3118,FALSE)</f>
        <v>#N/A</v>
      </c>
      <c r="G184" s="1" t="e">
        <f>VLOOKUP(A1,Data!$A$1:$DZU$1000000,3119,FALSE)</f>
        <v>#N/A</v>
      </c>
      <c r="H184" s="1" t="e">
        <f>VLOOKUP(A1,Data!$A$1:$DZU$1000000,3120,FALSE)</f>
        <v>#N/A</v>
      </c>
      <c r="I184" s="1" t="e">
        <f>VLOOKUP(A1,Data!$A$1:$DZU$1000000,3121,FALSE)</f>
        <v>#N/A</v>
      </c>
      <c r="J184" s="1" t="e">
        <f>VLOOKUP(A1,Data!$A$1:$DZU$1000000,3122,FALSE)</f>
        <v>#N/A</v>
      </c>
      <c r="K184" s="1" t="e">
        <f>VLOOKUP(A1,Data!$A$1:$DZU$1000000,3123,FALSE)</f>
        <v>#N/A</v>
      </c>
      <c r="L184" s="1" t="e">
        <f>VLOOKUP(A1,Data!$A$1:$DZU$1000000,3124,FALSE)</f>
        <v>#N/A</v>
      </c>
      <c r="M184" s="1" t="e">
        <f>VLOOKUP(A1,Data!$A$1:$DZU$1000000,3125,FALSE)</f>
        <v>#N/A</v>
      </c>
      <c r="N184" s="1" t="e">
        <f>VLOOKUP(A1,Data!$A$1:$DZU$1000000,3126,FALSE)</f>
        <v>#N/A</v>
      </c>
      <c r="O184" s="1" t="e">
        <f>VLOOKUP(A1,Data!$A$1:$DZU$1000000,3127,FALSE)</f>
        <v>#N/A</v>
      </c>
      <c r="P184" s="1" t="e">
        <f>VLOOKUP(A1,Data!$A$1:$DZU$1000000,3128,FALSE)</f>
        <v>#N/A</v>
      </c>
      <c r="Q184" s="1" t="e">
        <f>VLOOKUP(A1,Data!$A$1:$DZU$1000000,3129,FALSE)</f>
        <v>#N/A</v>
      </c>
    </row>
    <row r="185" spans="1:17" x14ac:dyDescent="0.35">
      <c r="A185" s="1" t="e">
        <f>VLOOKUP(A1,Data!$A$1:$DZU$1000000,3130,FALSE)</f>
        <v>#N/A</v>
      </c>
      <c r="B185" s="1" t="e">
        <f>VLOOKUP(A1,Data!$A$1:$DZU$1000000,3131,FALSE)</f>
        <v>#N/A</v>
      </c>
      <c r="C185" s="1" t="e">
        <f>VLOOKUP(A1,Data!$A$1:$DZU$1000000,3132,FALSE)</f>
        <v>#N/A</v>
      </c>
      <c r="D185" s="1" t="e">
        <f>VLOOKUP(A1,Data!$A$1:$DZU$1000000,3133,FALSE)</f>
        <v>#N/A</v>
      </c>
      <c r="E185" s="1" t="e">
        <f>VLOOKUP(A1,Data!$A$1:$DZU$1000000,3134,FALSE)</f>
        <v>#N/A</v>
      </c>
      <c r="F185" s="1" t="e">
        <f>VLOOKUP(A1,Data!$A$1:$DZU$1000000,3135,FALSE)</f>
        <v>#N/A</v>
      </c>
      <c r="G185" s="1" t="e">
        <f>VLOOKUP(A1,Data!$A$1:$DZU$1000000,3136,FALSE)</f>
        <v>#N/A</v>
      </c>
      <c r="H185" s="1" t="e">
        <f>VLOOKUP(A1,Data!$A$1:$DZU$1000000,3137,FALSE)</f>
        <v>#N/A</v>
      </c>
      <c r="I185" s="1" t="e">
        <f>VLOOKUP(A1,Data!$A$1:$DZU$1000000,3138,FALSE)</f>
        <v>#N/A</v>
      </c>
      <c r="J185" s="1" t="e">
        <f>VLOOKUP(A1,Data!$A$1:$DZU$1000000,3139,FALSE)</f>
        <v>#N/A</v>
      </c>
      <c r="K185" s="1" t="e">
        <f>VLOOKUP(A1,Data!$A$1:$DZU$1000000,3140,FALSE)</f>
        <v>#N/A</v>
      </c>
      <c r="L185" s="1" t="e">
        <f>VLOOKUP(A1,Data!$A$1:$DZU$1000000,3141,FALSE)</f>
        <v>#N/A</v>
      </c>
      <c r="M185" s="1" t="e">
        <f>VLOOKUP(A1,Data!$A$1:$DZU$1000000,3142,FALSE)</f>
        <v>#N/A</v>
      </c>
      <c r="N185" s="1" t="e">
        <f>VLOOKUP(A1,Data!$A$1:$DZU$1000000,3143,FALSE)</f>
        <v>#N/A</v>
      </c>
      <c r="O185" s="1" t="e">
        <f>VLOOKUP(A1,Data!$A$1:$DZU$1000000,3144,FALSE)</f>
        <v>#N/A</v>
      </c>
      <c r="P185" s="1" t="e">
        <f>VLOOKUP(A1,Data!$A$1:$DZU$1000000,3145,FALSE)</f>
        <v>#N/A</v>
      </c>
      <c r="Q185" s="1" t="e">
        <f>VLOOKUP(A1,Data!$A$1:$DZU$1000000,3146,FALSE)</f>
        <v>#N/A</v>
      </c>
    </row>
    <row r="186" spans="1:17" x14ac:dyDescent="0.35">
      <c r="A186" s="1" t="e">
        <f>VLOOKUP(A1,Data!$A$1:$DZU$1000000,3147,FALSE)</f>
        <v>#N/A</v>
      </c>
      <c r="B186" s="1" t="e">
        <f>VLOOKUP(A1,Data!$A$1:$DZU$1000000,3148,FALSE)</f>
        <v>#N/A</v>
      </c>
      <c r="C186" s="1" t="e">
        <f>VLOOKUP(A1,Data!$A$1:$DZU$1000000,3149,FALSE)</f>
        <v>#N/A</v>
      </c>
      <c r="D186" s="1" t="e">
        <f>VLOOKUP(A1,Data!$A$1:$DZU$1000000,3150,FALSE)</f>
        <v>#N/A</v>
      </c>
      <c r="E186" s="1" t="e">
        <f>VLOOKUP(A1,Data!$A$1:$DZU$1000000,3151,FALSE)</f>
        <v>#N/A</v>
      </c>
      <c r="F186" s="1" t="e">
        <f>VLOOKUP(A1,Data!$A$1:$DZU$1000000,3152,FALSE)</f>
        <v>#N/A</v>
      </c>
      <c r="G186" s="1" t="e">
        <f>VLOOKUP(A1,Data!$A$1:$DZU$1000000,3153,FALSE)</f>
        <v>#N/A</v>
      </c>
      <c r="H186" s="1" t="e">
        <f>VLOOKUP(A1,Data!$A$1:$DZU$1000000,3154,FALSE)</f>
        <v>#N/A</v>
      </c>
      <c r="I186" s="1" t="e">
        <f>VLOOKUP(A1,Data!$A$1:$DZU$1000000,3155,FALSE)</f>
        <v>#N/A</v>
      </c>
      <c r="J186" s="1" t="e">
        <f>VLOOKUP(A1,Data!$A$1:$DZU$1000000,3156,FALSE)</f>
        <v>#N/A</v>
      </c>
      <c r="K186" s="1" t="e">
        <f>VLOOKUP(A1,Data!$A$1:$DZU$1000000,3157,FALSE)</f>
        <v>#N/A</v>
      </c>
      <c r="L186" s="1" t="e">
        <f>VLOOKUP(A1,Data!$A$1:$DZU$1000000,3158,FALSE)</f>
        <v>#N/A</v>
      </c>
      <c r="M186" s="1" t="e">
        <f>VLOOKUP(A1,Data!$A$1:$DZU$1000000,3159,FALSE)</f>
        <v>#N/A</v>
      </c>
      <c r="N186" s="1" t="e">
        <f>VLOOKUP(A1,Data!$A$1:$DZU$1000000,3160,FALSE)</f>
        <v>#N/A</v>
      </c>
      <c r="O186" s="1" t="e">
        <f>VLOOKUP(A1,Data!$A$1:$DZU$1000000,3161,FALSE)</f>
        <v>#N/A</v>
      </c>
      <c r="P186" s="1" t="e">
        <f>VLOOKUP(A1,Data!$A$1:$DZU$1000000,3162,FALSE)</f>
        <v>#N/A</v>
      </c>
      <c r="Q186" s="1" t="e">
        <f>VLOOKUP(A1,Data!$A$1:$DZU$1000000,3163,FALSE)</f>
        <v>#N/A</v>
      </c>
    </row>
    <row r="187" spans="1:17" x14ac:dyDescent="0.35">
      <c r="A187" s="1" t="e">
        <f>VLOOKUP(A1,Data!$A$1:$DZU$1000000,3164,FALSE)</f>
        <v>#N/A</v>
      </c>
      <c r="B187" s="1" t="e">
        <f>VLOOKUP(A1,Data!$A$1:$DZU$1000000,3165,FALSE)</f>
        <v>#N/A</v>
      </c>
      <c r="C187" s="1" t="e">
        <f>VLOOKUP(A1,Data!$A$1:$DZU$1000000,3166,FALSE)</f>
        <v>#N/A</v>
      </c>
      <c r="D187" s="1" t="e">
        <f>VLOOKUP(A1,Data!$A$1:$DZU$1000000,3167,FALSE)</f>
        <v>#N/A</v>
      </c>
      <c r="E187" s="1" t="e">
        <f>VLOOKUP(A1,Data!$A$1:$DZU$1000000,3168,FALSE)</f>
        <v>#N/A</v>
      </c>
      <c r="F187" s="1" t="e">
        <f>VLOOKUP(A1,Data!$A$1:$DZU$1000000,3169,FALSE)</f>
        <v>#N/A</v>
      </c>
      <c r="G187" s="1" t="e">
        <f>VLOOKUP(A1,Data!$A$1:$DZU$1000000,3170,FALSE)</f>
        <v>#N/A</v>
      </c>
      <c r="H187" s="1" t="e">
        <f>VLOOKUP(A1,Data!$A$1:$DZU$1000000,3171,FALSE)</f>
        <v>#N/A</v>
      </c>
      <c r="I187" s="1" t="e">
        <f>VLOOKUP(A1,Data!$A$1:$DZU$1000000,3172,FALSE)</f>
        <v>#N/A</v>
      </c>
      <c r="J187" s="1" t="e">
        <f>VLOOKUP(A1,Data!$A$1:$DZU$1000000,3173,FALSE)</f>
        <v>#N/A</v>
      </c>
      <c r="K187" s="1" t="e">
        <f>VLOOKUP(A1,Data!$A$1:$DZU$1000000,3174,FALSE)</f>
        <v>#N/A</v>
      </c>
      <c r="L187" s="1" t="e">
        <f>VLOOKUP(A1,Data!$A$1:$DZU$1000000,3175,FALSE)</f>
        <v>#N/A</v>
      </c>
      <c r="M187" s="1" t="e">
        <f>VLOOKUP(A1,Data!$A$1:$DZU$1000000,3176,FALSE)</f>
        <v>#N/A</v>
      </c>
      <c r="N187" s="1" t="e">
        <f>VLOOKUP(A1,Data!$A$1:$DZU$1000000,3177,FALSE)</f>
        <v>#N/A</v>
      </c>
      <c r="O187" s="1" t="e">
        <f>VLOOKUP(A1,Data!$A$1:$DZU$1000000,3178,FALSE)</f>
        <v>#N/A</v>
      </c>
      <c r="P187" s="1" t="e">
        <f>VLOOKUP(A1,Data!$A$1:$DZU$1000000,3179,FALSE)</f>
        <v>#N/A</v>
      </c>
      <c r="Q187" s="1" t="e">
        <f>VLOOKUP(A1,Data!$A$1:$DZU$1000000,3180,FALSE)</f>
        <v>#N/A</v>
      </c>
    </row>
    <row r="188" spans="1:17" x14ac:dyDescent="0.35">
      <c r="A188" s="1" t="e">
        <f>VLOOKUP(A1,Data!$A$1:$DZU$1000000,3181,FALSE)</f>
        <v>#N/A</v>
      </c>
      <c r="B188" s="1" t="e">
        <f>VLOOKUP(A1,Data!$A$1:$DZU$1000000,3182,FALSE)</f>
        <v>#N/A</v>
      </c>
      <c r="C188" s="1" t="e">
        <f>VLOOKUP(A1,Data!$A$1:$DZU$1000000,3183,FALSE)</f>
        <v>#N/A</v>
      </c>
      <c r="D188" s="1" t="e">
        <f>VLOOKUP(A1,Data!$A$1:$DZU$1000000,3184,FALSE)</f>
        <v>#N/A</v>
      </c>
      <c r="E188" s="1" t="e">
        <f>VLOOKUP(A1,Data!$A$1:$DZU$1000000,3185,FALSE)</f>
        <v>#N/A</v>
      </c>
      <c r="F188" s="1" t="e">
        <f>VLOOKUP(A1,Data!$A$1:$DZU$1000000,3186,FALSE)</f>
        <v>#N/A</v>
      </c>
      <c r="G188" s="1" t="e">
        <f>VLOOKUP(A1,Data!$A$1:$DZU$1000000,3187,FALSE)</f>
        <v>#N/A</v>
      </c>
      <c r="H188" s="1" t="e">
        <f>VLOOKUP(A1,Data!$A$1:$DZU$1000000,3188,FALSE)</f>
        <v>#N/A</v>
      </c>
      <c r="I188" s="1" t="e">
        <f>VLOOKUP(A1,Data!$A$1:$DZU$1000000,3189,FALSE)</f>
        <v>#N/A</v>
      </c>
      <c r="J188" s="1" t="e">
        <f>VLOOKUP(A1,Data!$A$1:$DZU$1000000,3190,FALSE)</f>
        <v>#N/A</v>
      </c>
      <c r="K188" s="1" t="e">
        <f>VLOOKUP(A1,Data!$A$1:$DZU$1000000,3191,FALSE)</f>
        <v>#N/A</v>
      </c>
      <c r="L188" s="1" t="e">
        <f>VLOOKUP(A1,Data!$A$1:$DZU$1000000,3192,FALSE)</f>
        <v>#N/A</v>
      </c>
      <c r="M188" s="1" t="e">
        <f>VLOOKUP(A1,Data!$A$1:$DZU$1000000,3193,FALSE)</f>
        <v>#N/A</v>
      </c>
      <c r="N188" s="1" t="e">
        <f>VLOOKUP(A1,Data!$A$1:$DZU$1000000,3194,FALSE)</f>
        <v>#N/A</v>
      </c>
      <c r="O188" s="1" t="e">
        <f>VLOOKUP(A1,Data!$A$1:$DZU$1000000,3195,FALSE)</f>
        <v>#N/A</v>
      </c>
      <c r="P188" s="1" t="e">
        <f>VLOOKUP(A1,Data!$A$1:$DZU$1000000,3196,FALSE)</f>
        <v>#N/A</v>
      </c>
      <c r="Q188" s="1" t="e">
        <f>VLOOKUP(A1,Data!$A$1:$DZU$1000000,3197,FALSE)</f>
        <v>#N/A</v>
      </c>
    </row>
    <row r="189" spans="1:17" x14ac:dyDescent="0.35">
      <c r="A189" s="1" t="e">
        <f>VLOOKUP(A1,Data!$A$1:$DZU$1000000,3198,FALSE)</f>
        <v>#N/A</v>
      </c>
      <c r="B189" s="1" t="e">
        <f>VLOOKUP(A1,Data!$A$1:$DZU$1000000,3199,FALSE)</f>
        <v>#N/A</v>
      </c>
      <c r="C189" s="1" t="e">
        <f>VLOOKUP(A1,Data!$A$1:$DZU$1000000,3200,FALSE)</f>
        <v>#N/A</v>
      </c>
      <c r="D189" s="1" t="e">
        <f>VLOOKUP(A1,Data!$A$1:$DZU$1000000,3201,FALSE)</f>
        <v>#N/A</v>
      </c>
      <c r="E189" s="1" t="e">
        <f>VLOOKUP(A1,Data!$A$1:$DZU$1000000,3202,FALSE)</f>
        <v>#N/A</v>
      </c>
      <c r="F189" s="1" t="e">
        <f>VLOOKUP(A1,Data!$A$1:$DZU$1000000,3203,FALSE)</f>
        <v>#N/A</v>
      </c>
      <c r="G189" s="1" t="e">
        <f>VLOOKUP(A1,Data!$A$1:$DZU$1000000,3204,FALSE)</f>
        <v>#N/A</v>
      </c>
      <c r="H189" s="1" t="e">
        <f>VLOOKUP(A1,Data!$A$1:$DZU$1000000,3205,FALSE)</f>
        <v>#N/A</v>
      </c>
      <c r="I189" s="1" t="e">
        <f>VLOOKUP(A1,Data!$A$1:$DZU$1000000,3206,FALSE)</f>
        <v>#N/A</v>
      </c>
      <c r="J189" s="1" t="e">
        <f>VLOOKUP(A1,Data!$A$1:$DZU$1000000,3207,FALSE)</f>
        <v>#N/A</v>
      </c>
      <c r="K189" s="1" t="e">
        <f>VLOOKUP(A1,Data!$A$1:$DZU$1000000,3208,FALSE)</f>
        <v>#N/A</v>
      </c>
      <c r="L189" s="1" t="e">
        <f>VLOOKUP(A1,Data!$A$1:$DZU$1000000,3209,FALSE)</f>
        <v>#N/A</v>
      </c>
      <c r="M189" s="1" t="e">
        <f>VLOOKUP(A1,Data!$A$1:$DZU$1000000,3210,FALSE)</f>
        <v>#N/A</v>
      </c>
      <c r="N189" s="1" t="e">
        <f>VLOOKUP(A1,Data!$A$1:$DZU$1000000,3211,FALSE)</f>
        <v>#N/A</v>
      </c>
      <c r="O189" s="1" t="e">
        <f>VLOOKUP(A1,Data!$A$1:$DZU$1000000,3212,FALSE)</f>
        <v>#N/A</v>
      </c>
      <c r="P189" s="1" t="e">
        <f>VLOOKUP(A1,Data!$A$1:$DZU$1000000,3213,FALSE)</f>
        <v>#N/A</v>
      </c>
      <c r="Q189" s="1" t="e">
        <f>VLOOKUP(A1,Data!$A$1:$DZU$1000000,3214,FALSE)</f>
        <v>#N/A</v>
      </c>
    </row>
    <row r="190" spans="1:17" x14ac:dyDescent="0.35">
      <c r="A190" s="1" t="e">
        <f>VLOOKUP(A1,Data!$A$1:$DZU$1000000,3215,FALSE)</f>
        <v>#N/A</v>
      </c>
      <c r="B190" s="1" t="e">
        <f>VLOOKUP(A1,Data!$A$1:$DZU$1000000,3216,FALSE)</f>
        <v>#N/A</v>
      </c>
      <c r="C190" s="1" t="e">
        <f>VLOOKUP(A1,Data!$A$1:$DZU$1000000,3217,FALSE)</f>
        <v>#N/A</v>
      </c>
      <c r="D190" s="1" t="e">
        <f>VLOOKUP(A1,Data!$A$1:$DZU$1000000,3218,FALSE)</f>
        <v>#N/A</v>
      </c>
      <c r="E190" s="1" t="e">
        <f>VLOOKUP(A1,Data!$A$1:$DZU$1000000,3219,FALSE)</f>
        <v>#N/A</v>
      </c>
      <c r="F190" s="1" t="e">
        <f>VLOOKUP(A1,Data!$A$1:$DZU$1000000,3220,FALSE)</f>
        <v>#N/A</v>
      </c>
      <c r="G190" s="1" t="e">
        <f>VLOOKUP(A1,Data!$A$1:$DZU$1000000,3221,FALSE)</f>
        <v>#N/A</v>
      </c>
      <c r="H190" s="1" t="e">
        <f>VLOOKUP(A1,Data!$A$1:$DZU$1000000,3222,FALSE)</f>
        <v>#N/A</v>
      </c>
      <c r="I190" s="1" t="e">
        <f>VLOOKUP(A1,Data!$A$1:$DZU$1000000,3223,FALSE)</f>
        <v>#N/A</v>
      </c>
      <c r="J190" s="1" t="e">
        <f>VLOOKUP(A1,Data!$A$1:$DZU$1000000,3224,FALSE)</f>
        <v>#N/A</v>
      </c>
      <c r="K190" s="1" t="e">
        <f>VLOOKUP(A1,Data!$A$1:$DZU$1000000,3225,FALSE)</f>
        <v>#N/A</v>
      </c>
      <c r="L190" s="1" t="e">
        <f>VLOOKUP(A1,Data!$A$1:$DZU$1000000,3226,FALSE)</f>
        <v>#N/A</v>
      </c>
      <c r="M190" s="1" t="e">
        <f>VLOOKUP(A1,Data!$A$1:$DZU$1000000,3227,FALSE)</f>
        <v>#N/A</v>
      </c>
      <c r="N190" s="1" t="e">
        <f>VLOOKUP(A1,Data!$A$1:$DZU$1000000,3228,FALSE)</f>
        <v>#N/A</v>
      </c>
      <c r="O190" s="1" t="e">
        <f>VLOOKUP(A1,Data!$A$1:$DZU$1000000,3229,FALSE)</f>
        <v>#N/A</v>
      </c>
      <c r="P190" s="1" t="e">
        <f>VLOOKUP(A1,Data!$A$1:$DZU$1000000,3230,FALSE)</f>
        <v>#N/A</v>
      </c>
      <c r="Q190" s="1" t="e">
        <f>VLOOKUP(A1,Data!$A$1:$DZU$1000000,3231,FALSE)</f>
        <v>#N/A</v>
      </c>
    </row>
    <row r="191" spans="1:17" x14ac:dyDescent="0.35">
      <c r="A191" s="1" t="e">
        <f>VLOOKUP(A1,Data!$A$1:$DZU$1000000,3232,FALSE)</f>
        <v>#N/A</v>
      </c>
      <c r="B191" s="1" t="e">
        <f>VLOOKUP(A1,Data!$A$1:$DZU$1000000,3233,FALSE)</f>
        <v>#N/A</v>
      </c>
      <c r="C191" s="1" t="e">
        <f>VLOOKUP(A1,Data!$A$1:$DZU$1000000,3234,FALSE)</f>
        <v>#N/A</v>
      </c>
      <c r="D191" s="1" t="e">
        <f>VLOOKUP(A1,Data!$A$1:$DZU$1000000,3235,FALSE)</f>
        <v>#N/A</v>
      </c>
      <c r="E191" s="1" t="e">
        <f>VLOOKUP(A1,Data!$A$1:$DZU$1000000,3236,FALSE)</f>
        <v>#N/A</v>
      </c>
      <c r="F191" s="1" t="e">
        <f>VLOOKUP(A1,Data!$A$1:$DZU$1000000,3237,FALSE)</f>
        <v>#N/A</v>
      </c>
      <c r="G191" s="1" t="e">
        <f>VLOOKUP(A1,Data!$A$1:$DZU$1000000,3238,FALSE)</f>
        <v>#N/A</v>
      </c>
      <c r="H191" s="1" t="e">
        <f>VLOOKUP(A1,Data!$A$1:$DZU$1000000,3239,FALSE)</f>
        <v>#N/A</v>
      </c>
      <c r="I191" s="1" t="e">
        <f>VLOOKUP(A1,Data!$A$1:$DZU$1000000,3240,FALSE)</f>
        <v>#N/A</v>
      </c>
      <c r="J191" s="1" t="e">
        <f>VLOOKUP(A1,Data!$A$1:$DZU$1000000,3241,FALSE)</f>
        <v>#N/A</v>
      </c>
      <c r="K191" s="1" t="e">
        <f>VLOOKUP(A1,Data!$A$1:$DZU$1000000,3242,FALSE)</f>
        <v>#N/A</v>
      </c>
      <c r="L191" s="1" t="e">
        <f>VLOOKUP(A1,Data!$A$1:$DZU$1000000,3243,FALSE)</f>
        <v>#N/A</v>
      </c>
      <c r="M191" s="1" t="e">
        <f>VLOOKUP(A1,Data!$A$1:$DZU$1000000,3244,FALSE)</f>
        <v>#N/A</v>
      </c>
      <c r="N191" s="1" t="e">
        <f>VLOOKUP(A1,Data!$A$1:$DZU$1000000,3245,FALSE)</f>
        <v>#N/A</v>
      </c>
      <c r="O191" s="1" t="e">
        <f>VLOOKUP(A1,Data!$A$1:$DZU$1000000,3246,FALSE)</f>
        <v>#N/A</v>
      </c>
      <c r="P191" s="1" t="e">
        <f>VLOOKUP(A1,Data!$A$1:$DZU$1000000,3247,FALSE)</f>
        <v>#N/A</v>
      </c>
      <c r="Q191" s="1" t="e">
        <f>VLOOKUP(A1,Data!$A$1:$DZU$1000000,3248,FALSE)</f>
        <v>#N/A</v>
      </c>
    </row>
    <row r="192" spans="1:17" x14ac:dyDescent="0.35">
      <c r="A192" s="1" t="e">
        <f>VLOOKUP(A1,Data!$A$1:$DZU$1000000,3249,FALSE)</f>
        <v>#N/A</v>
      </c>
      <c r="B192" s="1" t="e">
        <f>VLOOKUP(A1,Data!$A$1:$DZU$1000000,3250,FALSE)</f>
        <v>#N/A</v>
      </c>
      <c r="C192" s="1" t="e">
        <f>VLOOKUP(A1,Data!$A$1:$DZU$1000000,3251,FALSE)</f>
        <v>#N/A</v>
      </c>
      <c r="D192" s="1" t="e">
        <f>VLOOKUP(A1,Data!$A$1:$DZU$1000000,3252,FALSE)</f>
        <v>#N/A</v>
      </c>
      <c r="E192" s="1" t="e">
        <f>VLOOKUP(A1,Data!$A$1:$DZU$1000000,3253,FALSE)</f>
        <v>#N/A</v>
      </c>
      <c r="F192" s="1" t="e">
        <f>VLOOKUP(A1,Data!$A$1:$DZU$1000000,3254,FALSE)</f>
        <v>#N/A</v>
      </c>
      <c r="G192" s="1" t="e">
        <f>VLOOKUP(A1,Data!$A$1:$DZU$1000000,3255,FALSE)</f>
        <v>#N/A</v>
      </c>
      <c r="H192" s="1" t="e">
        <f>VLOOKUP(A1,Data!$A$1:$DZU$1000000,3256,FALSE)</f>
        <v>#N/A</v>
      </c>
      <c r="I192" s="1" t="e">
        <f>VLOOKUP(A1,Data!$A$1:$DZU$1000000,3257,FALSE)</f>
        <v>#N/A</v>
      </c>
      <c r="J192" s="1" t="e">
        <f>VLOOKUP(A1,Data!$A$1:$DZU$1000000,3258,FALSE)</f>
        <v>#N/A</v>
      </c>
      <c r="K192" s="1" t="e">
        <f>VLOOKUP(A1,Data!$A$1:$DZU$1000000,3259,FALSE)</f>
        <v>#N/A</v>
      </c>
      <c r="L192" s="1" t="e">
        <f>VLOOKUP(A1,Data!$A$1:$DZU$1000000,3260,FALSE)</f>
        <v>#N/A</v>
      </c>
      <c r="M192" s="1" t="e">
        <f>VLOOKUP(A1,Data!$A$1:$DZU$1000000,3261,FALSE)</f>
        <v>#N/A</v>
      </c>
      <c r="N192" s="1" t="e">
        <f>VLOOKUP(A1,Data!$A$1:$DZU$1000000,3262,FALSE)</f>
        <v>#N/A</v>
      </c>
      <c r="O192" s="1" t="e">
        <f>VLOOKUP(A1,Data!$A$1:$DZU$1000000,3263,FALSE)</f>
        <v>#N/A</v>
      </c>
      <c r="P192" s="1" t="e">
        <f>VLOOKUP(A1,Data!$A$1:$DZU$1000000,3264,FALSE)</f>
        <v>#N/A</v>
      </c>
      <c r="Q192" s="1" t="e">
        <f>VLOOKUP(A1,Data!$A$1:$DZU$1000000,3265,FALSE)</f>
        <v>#N/A</v>
      </c>
    </row>
    <row r="193" spans="1:17" x14ac:dyDescent="0.35">
      <c r="A193" s="1" t="e">
        <f>VLOOKUP(A1,Data!$A$1:$DZU$1000000,3266,FALSE)</f>
        <v>#N/A</v>
      </c>
      <c r="B193" s="1" t="e">
        <f>VLOOKUP(A1,Data!$A$1:$DZU$1000000,3267,FALSE)</f>
        <v>#N/A</v>
      </c>
      <c r="C193" s="1" t="e">
        <f>VLOOKUP(A1,Data!$A$1:$DZU$1000000,3268,FALSE)</f>
        <v>#N/A</v>
      </c>
      <c r="D193" s="1" t="e">
        <f>VLOOKUP(A1,Data!$A$1:$DZU$1000000,3269,FALSE)</f>
        <v>#N/A</v>
      </c>
      <c r="E193" s="1" t="e">
        <f>VLOOKUP(A1,Data!$A$1:$DZU$1000000,3270,FALSE)</f>
        <v>#N/A</v>
      </c>
      <c r="F193" s="1" t="e">
        <f>VLOOKUP(A1,Data!$A$1:$DZU$1000000,3271,FALSE)</f>
        <v>#N/A</v>
      </c>
      <c r="G193" s="1" t="e">
        <f>VLOOKUP(A1,Data!$A$1:$DZU$1000000,3272,FALSE)</f>
        <v>#N/A</v>
      </c>
      <c r="H193" s="1" t="e">
        <f>VLOOKUP(A1,Data!$A$1:$DZU$1000000,3273,FALSE)</f>
        <v>#N/A</v>
      </c>
      <c r="I193" s="1" t="e">
        <f>VLOOKUP(A1,Data!$A$1:$DZU$1000000,3274,FALSE)</f>
        <v>#N/A</v>
      </c>
      <c r="J193" s="1" t="e">
        <f>VLOOKUP(A1,Data!$A$1:$DZU$1000000,3275,FALSE)</f>
        <v>#N/A</v>
      </c>
      <c r="K193" s="1" t="e">
        <f>VLOOKUP(A1,Data!$A$1:$DZU$1000000,3276,FALSE)</f>
        <v>#N/A</v>
      </c>
      <c r="L193" s="1" t="e">
        <f>VLOOKUP(A1,Data!$A$1:$DZU$1000000,3277,FALSE)</f>
        <v>#N/A</v>
      </c>
      <c r="M193" s="1" t="e">
        <f>VLOOKUP(A1,Data!$A$1:$DZU$1000000,3278,FALSE)</f>
        <v>#N/A</v>
      </c>
      <c r="N193" s="1" t="e">
        <f>VLOOKUP(A1,Data!$A$1:$DZU$1000000,3279,FALSE)</f>
        <v>#N/A</v>
      </c>
      <c r="O193" s="1" t="e">
        <f>VLOOKUP(A1,Data!$A$1:$DZU$1000000,3280,FALSE)</f>
        <v>#N/A</v>
      </c>
      <c r="P193" s="1" t="e">
        <f>VLOOKUP(A1,Data!$A$1:$DZU$1000000,3281,FALSE)</f>
        <v>#N/A</v>
      </c>
      <c r="Q193" s="1" t="e">
        <f>VLOOKUP(A1,Data!$A$1:$DZU$1000000,3282,FALSE)</f>
        <v>#N/A</v>
      </c>
    </row>
    <row r="194" spans="1:17" x14ac:dyDescent="0.35">
      <c r="A194" s="1" t="e">
        <f>VLOOKUP(A1,Data!$A$1:$DZU$1000000,3283,FALSE)</f>
        <v>#N/A</v>
      </c>
      <c r="B194" s="1" t="e">
        <f>VLOOKUP(A1,Data!$A$1:$DZU$1000000,3284,FALSE)</f>
        <v>#N/A</v>
      </c>
      <c r="C194" s="1" t="e">
        <f>VLOOKUP(A1,Data!$A$1:$DZU$1000000,3285,FALSE)</f>
        <v>#N/A</v>
      </c>
      <c r="D194" s="1" t="e">
        <f>VLOOKUP(A1,Data!$A$1:$DZU$1000000,3286,FALSE)</f>
        <v>#N/A</v>
      </c>
      <c r="E194" s="1" t="e">
        <f>VLOOKUP(A1,Data!$A$1:$DZU$1000000,3287,FALSE)</f>
        <v>#N/A</v>
      </c>
      <c r="F194" s="1" t="e">
        <f>VLOOKUP(A1,Data!$A$1:$DZU$1000000,3288,FALSE)</f>
        <v>#N/A</v>
      </c>
      <c r="G194" s="1" t="e">
        <f>VLOOKUP(A1,Data!$A$1:$DZU$1000000,3289,FALSE)</f>
        <v>#N/A</v>
      </c>
      <c r="H194" s="1" t="e">
        <f>VLOOKUP(A1,Data!$A$1:$DZU$1000000,3290,FALSE)</f>
        <v>#N/A</v>
      </c>
      <c r="I194" s="1" t="e">
        <f>VLOOKUP(A1,Data!$A$1:$DZU$1000000,3291,FALSE)</f>
        <v>#N/A</v>
      </c>
      <c r="J194" s="1" t="e">
        <f>VLOOKUP(A1,Data!$A$1:$DZU$1000000,3292,FALSE)</f>
        <v>#N/A</v>
      </c>
      <c r="K194" s="1" t="e">
        <f>VLOOKUP(A1,Data!$A$1:$DZU$1000000,3293,FALSE)</f>
        <v>#N/A</v>
      </c>
      <c r="L194" s="1" t="e">
        <f>VLOOKUP(A1,Data!$A$1:$DZU$1000000,3294,FALSE)</f>
        <v>#N/A</v>
      </c>
      <c r="M194" s="1" t="e">
        <f>VLOOKUP(A1,Data!$A$1:$DZU$1000000,3295,FALSE)</f>
        <v>#N/A</v>
      </c>
      <c r="N194" s="1" t="e">
        <f>VLOOKUP(A1,Data!$A$1:$DZU$1000000,3296,FALSE)</f>
        <v>#N/A</v>
      </c>
      <c r="O194" s="1" t="e">
        <f>VLOOKUP(A1,Data!$A$1:$DZU$1000000,3297,FALSE)</f>
        <v>#N/A</v>
      </c>
      <c r="P194" s="1" t="e">
        <f>VLOOKUP(A1,Data!$A$1:$DZU$1000000,3298,FALSE)</f>
        <v>#N/A</v>
      </c>
      <c r="Q194" s="1" t="e">
        <f>VLOOKUP(A1,Data!$A$1:$DZU$1000000,3299,FALSE)</f>
        <v>#N/A</v>
      </c>
    </row>
    <row r="195" spans="1:17" x14ac:dyDescent="0.35">
      <c r="A195" s="1" t="e">
        <f>VLOOKUP(A1,Data!$A$1:$DZU$1000000,3300,FALSE)</f>
        <v>#N/A</v>
      </c>
      <c r="B195" s="1" t="e">
        <f>VLOOKUP(A1,Data!$A$1:$DZU$1000000,3301,FALSE)</f>
        <v>#N/A</v>
      </c>
      <c r="C195" s="1" t="e">
        <f>VLOOKUP(A1,Data!$A$1:$DZU$1000000,3302,FALSE)</f>
        <v>#N/A</v>
      </c>
      <c r="D195" s="1" t="e">
        <f>VLOOKUP(A1,Data!$A$1:$DZU$1000000,3303,FALSE)</f>
        <v>#N/A</v>
      </c>
      <c r="E195" s="1" t="e">
        <f>VLOOKUP(A1,Data!$A$1:$DZU$1000000,3304,FALSE)</f>
        <v>#N/A</v>
      </c>
      <c r="F195" s="1" t="e">
        <f>VLOOKUP(A1,Data!$A$1:$DZU$1000000,3305,FALSE)</f>
        <v>#N/A</v>
      </c>
      <c r="G195" s="1" t="e">
        <f>VLOOKUP(A1,Data!$A$1:$DZU$1000000,3306,FALSE)</f>
        <v>#N/A</v>
      </c>
      <c r="H195" s="1" t="e">
        <f>VLOOKUP(A1,Data!$A$1:$DZU$1000000,3307,FALSE)</f>
        <v>#N/A</v>
      </c>
      <c r="I195" s="1" t="e">
        <f>VLOOKUP(A1,Data!$A$1:$DZU$1000000,3308,FALSE)</f>
        <v>#N/A</v>
      </c>
      <c r="J195" s="1" t="e">
        <f>VLOOKUP(A1,Data!$A$1:$DZU$1000000,3309,FALSE)</f>
        <v>#N/A</v>
      </c>
      <c r="K195" s="1" t="e">
        <f>VLOOKUP(A1,Data!$A$1:$DZU$1000000,3310,FALSE)</f>
        <v>#N/A</v>
      </c>
      <c r="L195" s="1" t="e">
        <f>VLOOKUP(A1,Data!$A$1:$DZU$1000000,3311,FALSE)</f>
        <v>#N/A</v>
      </c>
      <c r="M195" s="1" t="e">
        <f>VLOOKUP(A1,Data!$A$1:$DZU$1000000,3312,FALSE)</f>
        <v>#N/A</v>
      </c>
      <c r="N195" s="1" t="e">
        <f>VLOOKUP(A1,Data!$A$1:$DZU$1000000,3313,FALSE)</f>
        <v>#N/A</v>
      </c>
      <c r="O195" s="1" t="e">
        <f>VLOOKUP(A1,Data!$A$1:$DZU$1000000,3314,FALSE)</f>
        <v>#N/A</v>
      </c>
      <c r="P195" s="1" t="e">
        <f>VLOOKUP(A1,Data!$A$1:$DZU$1000000,3315,FALSE)</f>
        <v>#N/A</v>
      </c>
      <c r="Q195" s="1" t="e">
        <f>VLOOKUP(A1,Data!$A$1:$DZU$1000000,3316,FALSE)</f>
        <v>#N/A</v>
      </c>
    </row>
    <row r="196" spans="1:17" x14ac:dyDescent="0.35">
      <c r="A196" s="1" t="e">
        <f>VLOOKUP(A1,Data!$A$1:$DZU$1000000,3317,FALSE)</f>
        <v>#N/A</v>
      </c>
      <c r="B196" s="1" t="e">
        <f>VLOOKUP(A1,Data!$A$1:$DZU$1000000,3318,FALSE)</f>
        <v>#N/A</v>
      </c>
      <c r="C196" s="1" t="e">
        <f>VLOOKUP(A1,Data!$A$1:$DZU$1000000,3319,FALSE)</f>
        <v>#N/A</v>
      </c>
      <c r="D196" s="1" t="e">
        <f>VLOOKUP(A1,Data!$A$1:$DZU$1000000,3320,FALSE)</f>
        <v>#N/A</v>
      </c>
      <c r="E196" s="1" t="e">
        <f>VLOOKUP(A1,Data!$A$1:$DZU$1000000,3321,FALSE)</f>
        <v>#N/A</v>
      </c>
      <c r="F196" s="1" t="e">
        <f>VLOOKUP(A1,Data!$A$1:$DZU$1000000,3322,FALSE)</f>
        <v>#N/A</v>
      </c>
      <c r="G196" s="1" t="e">
        <f>VLOOKUP(A1,Data!$A$1:$DZU$1000000,3323,FALSE)</f>
        <v>#N/A</v>
      </c>
      <c r="H196" s="1" t="e">
        <f>VLOOKUP(A1,Data!$A$1:$DZU$1000000,3324,FALSE)</f>
        <v>#N/A</v>
      </c>
      <c r="I196" s="1" t="e">
        <f>VLOOKUP(A1,Data!$A$1:$DZU$1000000,3325,FALSE)</f>
        <v>#N/A</v>
      </c>
      <c r="J196" s="1" t="e">
        <f>VLOOKUP(A1,Data!$A$1:$DZU$1000000,3326,FALSE)</f>
        <v>#N/A</v>
      </c>
      <c r="K196" s="1" t="e">
        <f>VLOOKUP(A1,Data!$A$1:$DZU$1000000,3327,FALSE)</f>
        <v>#N/A</v>
      </c>
      <c r="L196" s="1" t="e">
        <f>VLOOKUP(A1,Data!$A$1:$DZU$1000000,3328,FALSE)</f>
        <v>#N/A</v>
      </c>
      <c r="M196" s="1" t="e">
        <f>VLOOKUP(A1,Data!$A$1:$DZU$1000000,3329,FALSE)</f>
        <v>#N/A</v>
      </c>
      <c r="N196" s="1" t="e">
        <f>VLOOKUP(A1,Data!$A$1:$DZU$1000000,3330,FALSE)</f>
        <v>#N/A</v>
      </c>
      <c r="O196" s="1" t="e">
        <f>VLOOKUP(A1,Data!$A$1:$DZU$1000000,3331,FALSE)</f>
        <v>#N/A</v>
      </c>
      <c r="P196" s="1" t="e">
        <f>VLOOKUP(A1,Data!$A$1:$DZU$1000000,3332,FALSE)</f>
        <v>#N/A</v>
      </c>
      <c r="Q196" s="1" t="e">
        <f>VLOOKUP(A1,Data!$A$1:$DZU$1000000,3333,FALSE)</f>
        <v>#N/A</v>
      </c>
    </row>
    <row r="197" spans="1:17" x14ac:dyDescent="0.35">
      <c r="A197" s="1" t="e">
        <f>VLOOKUP(A1,Data!$A$1:$DZU$1000000,3334,FALSE)</f>
        <v>#N/A</v>
      </c>
      <c r="B197" s="1" t="e">
        <f>VLOOKUP(A1,Data!$A$1:$DZU$1000000,3335,FALSE)</f>
        <v>#N/A</v>
      </c>
      <c r="C197" s="1" t="e">
        <f>VLOOKUP(A1,Data!$A$1:$DZU$1000000,3336,FALSE)</f>
        <v>#N/A</v>
      </c>
      <c r="D197" s="1" t="e">
        <f>VLOOKUP(A1,Data!$A$1:$DZU$1000000,3337,FALSE)</f>
        <v>#N/A</v>
      </c>
      <c r="E197" s="1" t="e">
        <f>VLOOKUP(A1,Data!$A$1:$DZU$1000000,3338,FALSE)</f>
        <v>#N/A</v>
      </c>
      <c r="F197" s="1" t="e">
        <f>VLOOKUP(A1,Data!$A$1:$DZU$1000000,3339,FALSE)</f>
        <v>#N/A</v>
      </c>
      <c r="G197" s="1" t="e">
        <f>VLOOKUP(A1,Data!$A$1:$DZU$1000000,3340,FALSE)</f>
        <v>#N/A</v>
      </c>
      <c r="H197" s="1" t="e">
        <f>VLOOKUP(A1,Data!$A$1:$DZU$1000000,3341,FALSE)</f>
        <v>#N/A</v>
      </c>
      <c r="I197" s="1" t="e">
        <f>VLOOKUP(A1,Data!$A$1:$DZU$1000000,3342,FALSE)</f>
        <v>#N/A</v>
      </c>
      <c r="J197" s="1" t="e">
        <f>VLOOKUP(A1,Data!$A$1:$DZU$1000000,3343,FALSE)</f>
        <v>#N/A</v>
      </c>
      <c r="K197" s="1" t="e">
        <f>VLOOKUP(A1,Data!$A$1:$DZU$1000000,3344,FALSE)</f>
        <v>#N/A</v>
      </c>
      <c r="L197" s="1" t="e">
        <f>VLOOKUP(A1,Data!$A$1:$DZU$1000000,3345,FALSE)</f>
        <v>#N/A</v>
      </c>
      <c r="M197" s="1" t="e">
        <f>VLOOKUP(A1,Data!$A$1:$DZU$1000000,3346,FALSE)</f>
        <v>#N/A</v>
      </c>
      <c r="N197" s="1" t="e">
        <f>VLOOKUP(A1,Data!$A$1:$DZU$1000000,3347,FALSE)</f>
        <v>#N/A</v>
      </c>
      <c r="O197" s="1" t="e">
        <f>VLOOKUP(A1,Data!$A$1:$DZU$1000000,3348,FALSE)</f>
        <v>#N/A</v>
      </c>
      <c r="P197" s="1" t="e">
        <f>VLOOKUP(A1,Data!$A$1:$DZU$1000000,3349,FALSE)</f>
        <v>#N/A</v>
      </c>
      <c r="Q197" s="1" t="e">
        <f>VLOOKUP(A1,Data!$A$1:$DZU$1000000,3350,FALSE)</f>
        <v>#N/A</v>
      </c>
    </row>
    <row r="198" spans="1:17" x14ac:dyDescent="0.35">
      <c r="A198" s="1" t="e">
        <f>VLOOKUP(A1,Data!$A$1:$DZU$1000000,3351,FALSE)</f>
        <v>#N/A</v>
      </c>
      <c r="B198" s="1" t="e">
        <f>VLOOKUP(A1,Data!$A$1:$DZU$1000000,3352,FALSE)</f>
        <v>#N/A</v>
      </c>
      <c r="C198" s="1" t="e">
        <f>VLOOKUP(A1,Data!$A$1:$DZU$1000000,3353,FALSE)</f>
        <v>#N/A</v>
      </c>
      <c r="D198" s="1" t="e">
        <f>VLOOKUP(A1,Data!$A$1:$DZU$1000000,3354,FALSE)</f>
        <v>#N/A</v>
      </c>
      <c r="E198" s="1" t="e">
        <f>VLOOKUP(A1,Data!$A$1:$DZU$1000000,3355,FALSE)</f>
        <v>#N/A</v>
      </c>
      <c r="F198" s="1" t="e">
        <f>VLOOKUP(A1,Data!$A$1:$DZU$1000000,3356,FALSE)</f>
        <v>#N/A</v>
      </c>
      <c r="G198" s="1" t="e">
        <f>VLOOKUP(A1,Data!$A$1:$DZU$1000000,3357,FALSE)</f>
        <v>#N/A</v>
      </c>
      <c r="H198" s="1" t="e">
        <f>VLOOKUP(A1,Data!$A$1:$DZU$1000000,3358,FALSE)</f>
        <v>#N/A</v>
      </c>
      <c r="I198" s="1" t="e">
        <f>VLOOKUP(A1,Data!$A$1:$DZU$1000000,3359,FALSE)</f>
        <v>#N/A</v>
      </c>
      <c r="J198" s="1" t="e">
        <f>VLOOKUP(A1,Data!$A$1:$DZU$1000000,3360,FALSE)</f>
        <v>#N/A</v>
      </c>
      <c r="K198" s="1" t="e">
        <f>VLOOKUP(A1,Data!$A$1:$DZU$1000000,3361,FALSE)</f>
        <v>#N/A</v>
      </c>
      <c r="L198" s="1" t="e">
        <f>VLOOKUP(A1,Data!$A$1:$DZU$1000000,3362,FALSE)</f>
        <v>#N/A</v>
      </c>
      <c r="M198" s="1" t="e">
        <f>VLOOKUP(A1,Data!$A$1:$DZU$1000000,3363,FALSE)</f>
        <v>#N/A</v>
      </c>
      <c r="N198" s="1" t="e">
        <f>VLOOKUP(A1,Data!$A$1:$DZU$1000000,3364,FALSE)</f>
        <v>#N/A</v>
      </c>
      <c r="O198" s="1" t="e">
        <f>VLOOKUP(A1,Data!$A$1:$DZU$1000000,3365,FALSE)</f>
        <v>#N/A</v>
      </c>
      <c r="P198" s="1" t="e">
        <f>VLOOKUP(A1,Data!$A$1:$DZU$1000000,3366,FALSE)</f>
        <v>#N/A</v>
      </c>
      <c r="Q198" s="1" t="e">
        <f>VLOOKUP(A1,Data!$A$1:$DZU$1000000,3367,FALSE)</f>
        <v>#N/A</v>
      </c>
    </row>
    <row r="199" spans="1:17" x14ac:dyDescent="0.35">
      <c r="A199" s="1" t="e">
        <f>VLOOKUP(A1,Data!$A$1:$DZU$1000000,3368,FALSE)</f>
        <v>#N/A</v>
      </c>
      <c r="B199" s="1" t="e">
        <f>VLOOKUP(A1,Data!$A$1:$DZU$1000000,3369,FALSE)</f>
        <v>#N/A</v>
      </c>
      <c r="C199" s="1" t="e">
        <f>VLOOKUP(A1,Data!$A$1:$DZU$1000000,3370,FALSE)</f>
        <v>#N/A</v>
      </c>
      <c r="D199" s="1" t="e">
        <f>VLOOKUP(A1,Data!$A$1:$DZU$1000000,3371,FALSE)</f>
        <v>#N/A</v>
      </c>
      <c r="E199" s="1" t="e">
        <f>VLOOKUP(A1,Data!$A$1:$DZU$1000000,3372,FALSE)</f>
        <v>#N/A</v>
      </c>
      <c r="F199" s="1" t="e">
        <f>VLOOKUP(A1,Data!$A$1:$DZU$1000000,3373,FALSE)</f>
        <v>#N/A</v>
      </c>
      <c r="G199" s="1" t="e">
        <f>VLOOKUP(A1,Data!$A$1:$DZU$1000000,3374,FALSE)</f>
        <v>#N/A</v>
      </c>
      <c r="H199" s="1" t="e">
        <f>VLOOKUP(A1,Data!$A$1:$DZU$1000000,3375,FALSE)</f>
        <v>#N/A</v>
      </c>
      <c r="I199" s="1" t="e">
        <f>VLOOKUP(A1,Data!$A$1:$DZU$1000000,3376,FALSE)</f>
        <v>#N/A</v>
      </c>
      <c r="J199" s="1" t="e">
        <f>VLOOKUP(A1,Data!$A$1:$DZU$1000000,3377,FALSE)</f>
        <v>#N/A</v>
      </c>
      <c r="K199" s="1" t="e">
        <f>VLOOKUP(A1,Data!$A$1:$DZU$1000000,3378,FALSE)</f>
        <v>#N/A</v>
      </c>
      <c r="L199" s="1" t="e">
        <f>VLOOKUP(A1,Data!$A$1:$DZU$1000000,3379,FALSE)</f>
        <v>#N/A</v>
      </c>
      <c r="M199" s="1" t="e">
        <f>VLOOKUP(A1,Data!$A$1:$DZU$1000000,3380,FALSE)</f>
        <v>#N/A</v>
      </c>
      <c r="N199" s="1" t="e">
        <f>VLOOKUP(A1,Data!$A$1:$DZU$1000000,3381,FALSE)</f>
        <v>#N/A</v>
      </c>
      <c r="O199" s="1" t="e">
        <f>VLOOKUP(A1,Data!$A$1:$DZU$1000000,3382,FALSE)</f>
        <v>#N/A</v>
      </c>
      <c r="P199" s="1" t="e">
        <f>VLOOKUP(A1,Data!$A$1:$DZU$1000000,3383,FALSE)</f>
        <v>#N/A</v>
      </c>
      <c r="Q199" s="1" t="e">
        <f>VLOOKUP(A1,Data!$A$1:$DZU$1000000,3384,FALSE)</f>
        <v>#N/A</v>
      </c>
    </row>
    <row r="200" spans="1:17" x14ac:dyDescent="0.35">
      <c r="A200" s="1" t="e">
        <f>VLOOKUP(A1,Data!$A$1:$DZU$1000000,3385,FALSE)</f>
        <v>#N/A</v>
      </c>
      <c r="B200" s="1" t="e">
        <f>VLOOKUP(A1,Data!$A$1:$DZU$1000000,3386,FALSE)</f>
        <v>#N/A</v>
      </c>
      <c r="C200" s="1" t="e">
        <f>VLOOKUP(A1,Data!$A$1:$DZU$1000000,3387,FALSE)</f>
        <v>#N/A</v>
      </c>
      <c r="D200" s="1" t="e">
        <f>VLOOKUP(A1,Data!$A$1:$DZU$1000000,3388,FALSE)</f>
        <v>#N/A</v>
      </c>
      <c r="E200" s="1" t="e">
        <f>VLOOKUP(A1,Data!$A$1:$DZU$1000000,3389,FALSE)</f>
        <v>#N/A</v>
      </c>
      <c r="F200" s="1" t="e">
        <f>VLOOKUP(A1,Data!$A$1:$DZU$1000000,3390,FALSE)</f>
        <v>#N/A</v>
      </c>
      <c r="G200" s="1" t="e">
        <f>VLOOKUP(A1,Data!$A$1:$DZU$1000000,3391,FALSE)</f>
        <v>#N/A</v>
      </c>
      <c r="H200" s="1" t="e">
        <f>VLOOKUP(A1,Data!$A$1:$DZU$1000000,3392,FALSE)</f>
        <v>#N/A</v>
      </c>
      <c r="I200" s="1" t="e">
        <f>VLOOKUP(A1,Data!$A$1:$DZU$1000000,3393,FALSE)</f>
        <v>#N/A</v>
      </c>
      <c r="J200" s="1" t="e">
        <f>VLOOKUP(A1,Data!$A$1:$DZU$1000000,3394,FALSE)</f>
        <v>#N/A</v>
      </c>
      <c r="K200" s="1" t="e">
        <f>VLOOKUP(A1,Data!$A$1:$DZU$1000000,3395,FALSE)</f>
        <v>#N/A</v>
      </c>
      <c r="L200" s="1" t="e">
        <f>VLOOKUP(A1,Data!$A$1:$DZU$1000000,3396,FALSE)</f>
        <v>#N/A</v>
      </c>
      <c r="M200" s="1" t="e">
        <f>VLOOKUP(A1,Data!$A$1:$DZU$1000000,3397,FALSE)</f>
        <v>#N/A</v>
      </c>
      <c r="N200" s="1" t="e">
        <f>VLOOKUP(A1,Data!$A$1:$DZU$1000000,3398,FALSE)</f>
        <v>#N/A</v>
      </c>
      <c r="O200" s="1" t="e">
        <f>VLOOKUP(A1,Data!$A$1:$DZU$1000000,3399,FALSE)</f>
        <v>#N/A</v>
      </c>
      <c r="P200" s="1" t="e">
        <f>VLOOKUP(A1,Data!$A$1:$DZU$1000000,3400,FALSE)</f>
        <v>#N/A</v>
      </c>
      <c r="Q200" s="1" t="e">
        <f>VLOOKUP(A1,Data!$A$1:$DZU$1000000,3401,FALSE)</f>
        <v>#N/A</v>
      </c>
    </row>
  </sheetData>
  <mergeCells count="55">
    <mergeCell ref="B1:L1"/>
    <mergeCell ref="B2:L2"/>
    <mergeCell ref="A3:J3"/>
    <mergeCell ref="A6:C6"/>
    <mergeCell ref="F6:H6"/>
    <mergeCell ref="B8:D8"/>
    <mergeCell ref="G8:I8"/>
    <mergeCell ref="B4:D4"/>
    <mergeCell ref="F4:H4"/>
    <mergeCell ref="B9:D9"/>
    <mergeCell ref="G9:I9"/>
    <mergeCell ref="B15:C15"/>
    <mergeCell ref="B16:C16"/>
    <mergeCell ref="G16:I16"/>
    <mergeCell ref="B10:D10"/>
    <mergeCell ref="G10:I10"/>
    <mergeCell ref="B12:D12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A29:G29"/>
    <mergeCell ref="A30:G30"/>
    <mergeCell ref="A31:G31"/>
    <mergeCell ref="A32:G32"/>
    <mergeCell ref="A33:G33"/>
    <mergeCell ref="A34:G34"/>
    <mergeCell ref="A41:J41"/>
    <mergeCell ref="I42:J42"/>
    <mergeCell ref="A43:D43"/>
    <mergeCell ref="E43:J43"/>
    <mergeCell ref="A37:B37"/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10"/>
  <sheetViews>
    <sheetView workbookViewId="0">
      <selection activeCell="A10" sqref="A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5" t="s">
        <v>54</v>
      </c>
      <c r="B1" s="176"/>
      <c r="C1" s="177"/>
      <c r="D1" s="177"/>
      <c r="E1" s="177"/>
      <c r="F1" s="177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55</v>
      </c>
      <c r="B3" s="178" t="s">
        <v>11</v>
      </c>
      <c r="C3" s="179"/>
      <c r="D3" s="180" t="s">
        <v>19</v>
      </c>
      <c r="E3" s="110"/>
      <c r="F3" s="110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56</v>
      </c>
      <c r="B5" s="80">
        <f ca="1">TODAY()</f>
        <v>45659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8</v>
      </c>
      <c r="C9" s="1" t="s">
        <v>23</v>
      </c>
      <c r="D9" s="1" t="s">
        <v>39</v>
      </c>
      <c r="E9" s="1" t="s">
        <v>52</v>
      </c>
      <c r="F9" s="1" t="s">
        <v>43</v>
      </c>
      <c r="G9" s="1" t="s">
        <v>42</v>
      </c>
      <c r="H9" s="1" t="s">
        <v>0</v>
      </c>
      <c r="I9" s="1" t="s">
        <v>1</v>
      </c>
      <c r="J9" s="1" t="s">
        <v>2</v>
      </c>
      <c r="K9" s="1" t="s">
        <v>3</v>
      </c>
      <c r="L9" s="1" t="s">
        <v>4</v>
      </c>
      <c r="M9" s="1" t="s">
        <v>50</v>
      </c>
      <c r="N9" s="1" t="s">
        <v>46</v>
      </c>
      <c r="O9" s="1" t="s">
        <v>5</v>
      </c>
    </row>
    <row r="10" spans="1:15" x14ac:dyDescent="0.35">
      <c r="A10" s="1">
        <f>Data!S2</f>
        <v>0</v>
      </c>
      <c r="B10" s="1">
        <f>Data!T2</f>
        <v>0</v>
      </c>
      <c r="C10" s="1">
        <f>Data!U2</f>
        <v>0</v>
      </c>
      <c r="D10" s="1">
        <f>Data!V2</f>
        <v>0</v>
      </c>
      <c r="E10" s="1">
        <f>Data!W2</f>
        <v>0</v>
      </c>
      <c r="F10" s="1">
        <f>Data!X2</f>
        <v>0</v>
      </c>
      <c r="G10" s="1">
        <f>Data!Y2</f>
        <v>0</v>
      </c>
      <c r="H10" s="1">
        <f>Data!Z2</f>
        <v>0</v>
      </c>
      <c r="I10" s="1">
        <f>Data!AA2</f>
        <v>0</v>
      </c>
      <c r="J10" s="1">
        <f>Data!AB2</f>
        <v>0</v>
      </c>
      <c r="K10" s="1">
        <f>Data!AC2</f>
        <v>0</v>
      </c>
      <c r="L10" s="1">
        <f>Data!AD2</f>
        <v>0</v>
      </c>
      <c r="M10" s="1">
        <f>Data!AE2</f>
        <v>0</v>
      </c>
      <c r="N10" s="1">
        <f>Data!AF2</f>
        <v>0</v>
      </c>
      <c r="O10" s="1">
        <f>Data!AG2</f>
        <v>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>
      <selection activeCell="A2" sqref="A2:XFD2"/>
    </sheetView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>
      <selection activeCell="A2" sqref="A2:XFD2"/>
    </sheetView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Sheet1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2025-01-02T18:29:43Z</dcterms:modified>
</cp:coreProperties>
</file>